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tables/table9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tables/table10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Kardexremstar\backend\data\"/>
    </mc:Choice>
  </mc:AlternateContent>
  <xr:revisionPtr revIDLastSave="0" documentId="8_{EF3F775C-6B31-41FD-B970-E75C4591D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45" r:id="rId1"/>
    <sheet name="Yogesh" sheetId="16" r:id="rId2"/>
    <sheet name="Ashraf" sheetId="25" r:id="rId3"/>
    <sheet name="Rahul" sheetId="42" r:id="rId4"/>
    <sheet name="Minesh" sheetId="27" r:id="rId5"/>
    <sheet name="Gajendra" sheetId="28" r:id="rId6"/>
    <sheet name="Pradeep" sheetId="46" r:id="rId7"/>
    <sheet name="Sasi" sheetId="50" r:id="rId8"/>
    <sheet name="Vinay" sheetId="47" r:id="rId9"/>
    <sheet name="Nitin" sheetId="31" r:id="rId10"/>
    <sheet name="Pankaj" sheetId="32" r:id="rId11"/>
    <sheet name="Tabelle1" sheetId="51" state="hidden" r:id="rId12"/>
    <sheet name="Customer" sheetId="20" state="hidden" r:id="rId13"/>
    <sheet name="Location" sheetId="21" state="hidden" r:id="rId14"/>
    <sheet name="Yogesh_copy" sheetId="33" state="hidden" r:id="rId15"/>
    <sheet name="Ashraf_copy" sheetId="34" state="hidden" r:id="rId16"/>
    <sheet name="Rahul_copy" sheetId="35" state="hidden" r:id="rId17"/>
    <sheet name="Minesh_copy" sheetId="36" state="hidden" r:id="rId18"/>
    <sheet name="Gajendra_copy" sheetId="37" state="hidden" r:id="rId19"/>
    <sheet name="Pradeep_copy" sheetId="38" state="hidden" r:id="rId20"/>
    <sheet name="Sasi_copy" sheetId="39" state="hidden" r:id="rId21"/>
    <sheet name="Nitin_copy" sheetId="40" state="hidden" r:id="rId22"/>
    <sheet name="Pankaj_copy" sheetId="41" state="hidden" r:id="rId23"/>
    <sheet name="Month Prod Names" sheetId="17" state="hidden" r:id="rId24"/>
    <sheet name="Machine Serial Numbers" sheetId="18" state="hidden" r:id="rId25"/>
    <sheet name="Sheet1" sheetId="48" state="hidden" r:id="rId26"/>
  </sheets>
  <definedNames>
    <definedName name="_xlnm._FilterDatabase" localSheetId="2" hidden="1">Ashraf!$Z$7:$AA$77</definedName>
    <definedName name="_xlnm._FilterDatabase" localSheetId="5" hidden="1">Gajendra!$Z$7:$AA$19</definedName>
    <definedName name="_xlnm._FilterDatabase" localSheetId="13" hidden="1">Location!$B$1:$B$126</definedName>
    <definedName name="_xlnm._FilterDatabase" localSheetId="24" hidden="1">'Machine Serial Numbers'!$A$1:$C$1376</definedName>
    <definedName name="_xlnm._FilterDatabase" localSheetId="23" hidden="1">'Month Prod Names'!$B$3:$K$3</definedName>
    <definedName name="_xlnm._FilterDatabase" localSheetId="9" hidden="1">Nitin!$Z$6:$AA$6</definedName>
    <definedName name="_xlnm._FilterDatabase" localSheetId="8" hidden="1">Vinay!$Z$6:$AA$6</definedName>
    <definedName name="_Hlk127452852">Gajendra!$L$8</definedName>
    <definedName name="_Hlk133227457" localSheetId="1">Yogesh!$I$86</definedName>
    <definedName name="_Hlk147505528" localSheetId="1">Yogesh!$L$61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V151" i="42" l="1"/>
  <c r="V204" i="27"/>
  <c r="V203" i="27"/>
  <c r="V202" i="27"/>
  <c r="V201" i="27"/>
  <c r="V200" i="27"/>
  <c r="V199" i="27"/>
  <c r="V198" i="27"/>
  <c r="V197" i="27"/>
  <c r="V196" i="27"/>
  <c r="V195" i="27"/>
  <c r="V194" i="27"/>
  <c r="V230" i="25"/>
  <c r="V231" i="25"/>
  <c r="AB12" i="45"/>
  <c r="AB13" i="45"/>
  <c r="AB14" i="45"/>
  <c r="AB15" i="45"/>
  <c r="AB16" i="45"/>
  <c r="V193" i="27"/>
  <c r="V192" i="27"/>
  <c r="V191" i="27"/>
  <c r="V190" i="27"/>
  <c r="V189" i="27"/>
  <c r="V188" i="27"/>
  <c r="V187" i="27"/>
  <c r="V185" i="27"/>
  <c r="V184" i="27"/>
  <c r="V183" i="27"/>
  <c r="V182" i="27"/>
  <c r="V181" i="27"/>
  <c r="V180" i="27"/>
  <c r="V179" i="27"/>
  <c r="V159" i="16"/>
  <c r="V389" i="28"/>
  <c r="V390" i="28"/>
  <c r="U22" i="31"/>
  <c r="U54" i="31"/>
  <c r="U59" i="31"/>
  <c r="U60" i="31"/>
  <c r="U61" i="31"/>
  <c r="U63" i="31"/>
  <c r="U65" i="31"/>
  <c r="U66" i="31"/>
  <c r="U67" i="31"/>
  <c r="U71" i="31"/>
  <c r="U72" i="31"/>
  <c r="U73" i="31"/>
  <c r="U74" i="31"/>
  <c r="U75" i="31"/>
  <c r="U76" i="31"/>
  <c r="U92" i="31"/>
  <c r="U107" i="31"/>
  <c r="U115" i="31"/>
  <c r="U120" i="31"/>
  <c r="U121" i="31"/>
  <c r="U122" i="31"/>
  <c r="U123" i="31"/>
  <c r="U124" i="31"/>
  <c r="U125" i="31"/>
  <c r="U126" i="31"/>
  <c r="U127" i="31"/>
  <c r="U130" i="31"/>
  <c r="U131" i="31"/>
  <c r="U136" i="31"/>
  <c r="U140" i="31"/>
  <c r="U144" i="31"/>
  <c r="U149" i="31"/>
  <c r="U151" i="31"/>
  <c r="U152" i="31"/>
  <c r="U153" i="31"/>
  <c r="U154" i="31"/>
  <c r="U155" i="31"/>
  <c r="U156" i="31"/>
  <c r="U157" i="31"/>
  <c r="U177" i="31"/>
  <c r="U178" i="31"/>
  <c r="U179" i="31"/>
  <c r="U180" i="31"/>
  <c r="U183" i="31"/>
  <c r="U196" i="31"/>
  <c r="U197" i="31"/>
  <c r="U199" i="31"/>
  <c r="U200" i="31"/>
  <c r="U218" i="31"/>
  <c r="V229" i="25"/>
  <c r="V227" i="25"/>
  <c r="V226" i="25"/>
  <c r="AD5" i="46" l="1"/>
  <c r="V182" i="25" l="1"/>
  <c r="V183" i="25"/>
  <c r="V184" i="25"/>
  <c r="V185" i="25"/>
  <c r="V186" i="25"/>
  <c r="V188" i="25"/>
  <c r="V189" i="25"/>
  <c r="V190" i="25"/>
  <c r="V191" i="25"/>
  <c r="V192" i="25"/>
  <c r="V194" i="25"/>
  <c r="V195" i="25"/>
  <c r="V196" i="25"/>
  <c r="V197" i="25"/>
  <c r="V198" i="25"/>
  <c r="V199" i="25"/>
  <c r="V200" i="25"/>
  <c r="V201" i="25"/>
  <c r="V202" i="25"/>
  <c r="V203" i="25"/>
  <c r="V204" i="25"/>
  <c r="V205" i="25"/>
  <c r="V206" i="25"/>
  <c r="V207" i="25"/>
  <c r="V208" i="25"/>
  <c r="V209" i="25"/>
  <c r="V210" i="25"/>
  <c r="V211" i="25"/>
  <c r="V212" i="25"/>
  <c r="V213" i="25"/>
  <c r="V214" i="25"/>
  <c r="V215" i="25"/>
  <c r="V217" i="25"/>
  <c r="V219" i="25"/>
  <c r="V222" i="25"/>
  <c r="V223" i="25"/>
  <c r="V11" i="25"/>
  <c r="V45" i="47"/>
  <c r="U49" i="50"/>
  <c r="U91" i="50"/>
  <c r="V188" i="42"/>
  <c r="V189" i="42"/>
  <c r="V190" i="42"/>
  <c r="V191" i="42"/>
  <c r="V192" i="42"/>
  <c r="V193" i="42"/>
  <c r="V194" i="42"/>
  <c r="V195" i="42"/>
  <c r="V196" i="42"/>
  <c r="V197" i="42"/>
  <c r="V198" i="42"/>
  <c r="V199" i="42"/>
  <c r="V200" i="42"/>
  <c r="V201" i="42"/>
  <c r="V202" i="42"/>
  <c r="V48" i="50"/>
  <c r="U48" i="50"/>
  <c r="O48" i="50"/>
  <c r="A48" i="50"/>
  <c r="O86" i="50"/>
  <c r="V104" i="50"/>
  <c r="O17" i="50"/>
  <c r="O105" i="50"/>
  <c r="O91" i="50"/>
  <c r="O49" i="50"/>
  <c r="O90" i="50"/>
  <c r="O54" i="50"/>
  <c r="O16" i="50"/>
  <c r="O84" i="50"/>
  <c r="O83" i="50"/>
  <c r="O95" i="50"/>
  <c r="O55" i="50"/>
  <c r="O113" i="50"/>
  <c r="O100" i="50"/>
  <c r="V263" i="28"/>
  <c r="V262" i="28"/>
  <c r="V243" i="42"/>
  <c r="V241" i="42"/>
  <c r="V240" i="42"/>
  <c r="V239" i="42"/>
  <c r="V238" i="42"/>
  <c r="V237" i="42"/>
  <c r="V236" i="42"/>
  <c r="V235" i="42"/>
  <c r="V234" i="42"/>
  <c r="V233" i="42"/>
  <c r="V232" i="42"/>
  <c r="V230" i="42"/>
  <c r="V229" i="42"/>
  <c r="V228" i="42"/>
  <c r="V227" i="42"/>
  <c r="V226" i="42"/>
  <c r="V225" i="42"/>
  <c r="V224" i="42"/>
  <c r="V223" i="42"/>
  <c r="V222" i="42"/>
  <c r="V221" i="42"/>
  <c r="V220" i="42"/>
  <c r="V219" i="42"/>
  <c r="V218" i="42"/>
  <c r="V217" i="42"/>
  <c r="V216" i="42"/>
  <c r="V215" i="42"/>
  <c r="V214" i="42"/>
  <c r="V213" i="42"/>
  <c r="V212" i="42"/>
  <c r="V209" i="42"/>
  <c r="V206" i="42"/>
  <c r="V205" i="42"/>
  <c r="V204" i="42"/>
  <c r="V203" i="42"/>
  <c r="V186" i="42"/>
  <c r="V185" i="42"/>
  <c r="AF10" i="47"/>
  <c r="AE10" i="47"/>
  <c r="AD10" i="47"/>
  <c r="AF9" i="47"/>
  <c r="AE9" i="47"/>
  <c r="AD9" i="47"/>
  <c r="AB11" i="45"/>
  <c r="AG10" i="47" l="1"/>
  <c r="AG9" i="47"/>
  <c r="V173" i="25"/>
  <c r="V174" i="25"/>
  <c r="V21" i="16" l="1"/>
  <c r="V22" i="16"/>
  <c r="V63" i="16"/>
  <c r="V136" i="16"/>
  <c r="V83" i="28"/>
  <c r="P54" i="50"/>
  <c r="U54" i="50"/>
  <c r="V54" i="50"/>
  <c r="V16" i="50"/>
  <c r="P105" i="50"/>
  <c r="V105" i="50"/>
  <c r="U105" i="50"/>
  <c r="A105" i="50"/>
  <c r="V17" i="50"/>
  <c r="U17" i="50"/>
  <c r="V15" i="50"/>
  <c r="V92" i="50"/>
  <c r="V82" i="50"/>
  <c r="V102" i="50"/>
  <c r="V107" i="50"/>
  <c r="V81" i="50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151" i="16"/>
  <c r="V64" i="16"/>
  <c r="V65" i="16"/>
  <c r="V66" i="16"/>
  <c r="V67" i="16"/>
  <c r="V68" i="16"/>
  <c r="V69" i="16"/>
  <c r="V70" i="16"/>
  <c r="V71" i="16"/>
  <c r="V72" i="16"/>
  <c r="V73" i="16"/>
  <c r="V14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4" i="16"/>
  <c r="V15" i="16"/>
  <c r="V16" i="16"/>
  <c r="V17" i="16"/>
  <c r="V18" i="16"/>
  <c r="V19" i="16"/>
  <c r="V20" i="16"/>
  <c r="V13" i="16"/>
  <c r="V165" i="42"/>
  <c r="V166" i="42"/>
  <c r="V128" i="31"/>
  <c r="U7" i="32"/>
  <c r="U8" i="32"/>
  <c r="U9" i="32"/>
  <c r="U10" i="32"/>
  <c r="U11" i="32"/>
  <c r="U12" i="32"/>
  <c r="U13" i="32"/>
  <c r="U14" i="32"/>
  <c r="U15" i="32"/>
  <c r="U17" i="32"/>
  <c r="U18" i="32"/>
  <c r="U19" i="32"/>
  <c r="U20" i="32"/>
  <c r="U21" i="32"/>
  <c r="U22" i="32"/>
  <c r="U25" i="32"/>
  <c r="U26" i="32"/>
  <c r="U27" i="32"/>
  <c r="U28" i="32"/>
  <c r="U29" i="32"/>
  <c r="U32" i="32"/>
  <c r="U33" i="32"/>
  <c r="U34" i="32"/>
  <c r="U35" i="32"/>
  <c r="U36" i="32"/>
  <c r="U37" i="32"/>
  <c r="U38" i="32"/>
  <c r="U39" i="32"/>
  <c r="U40" i="32"/>
  <c r="U41" i="32"/>
  <c r="U42" i="32"/>
  <c r="U43" i="32"/>
  <c r="U44" i="32"/>
  <c r="U45" i="32"/>
  <c r="U46" i="32"/>
  <c r="U47" i="32"/>
  <c r="U48" i="32"/>
  <c r="U49" i="32"/>
  <c r="U50" i="32"/>
  <c r="U51" i="32"/>
  <c r="U52" i="32"/>
  <c r="U53" i="32"/>
  <c r="U54" i="32"/>
  <c r="U55" i="32"/>
  <c r="U56" i="32"/>
  <c r="U57" i="32"/>
  <c r="U58" i="32"/>
  <c r="U59" i="32"/>
  <c r="U60" i="32"/>
  <c r="U61" i="32"/>
  <c r="U62" i="32"/>
  <c r="U63" i="32"/>
  <c r="U64" i="32"/>
  <c r="U65" i="32"/>
  <c r="U66" i="32"/>
  <c r="U67" i="32"/>
  <c r="U68" i="32"/>
  <c r="U69" i="32"/>
  <c r="U70" i="32"/>
  <c r="U71" i="32"/>
  <c r="U72" i="32"/>
  <c r="U73" i="32"/>
  <c r="U74" i="32"/>
  <c r="U75" i="32"/>
  <c r="U76" i="32"/>
  <c r="U77" i="32"/>
  <c r="U78" i="32"/>
  <c r="U79" i="32"/>
  <c r="U80" i="32"/>
  <c r="U81" i="32"/>
  <c r="U82" i="32"/>
  <c r="U83" i="32"/>
  <c r="U84" i="32"/>
  <c r="U85" i="32"/>
  <c r="U86" i="32"/>
  <c r="U87" i="32"/>
  <c r="U88" i="32"/>
  <c r="U89" i="32"/>
  <c r="U90" i="32"/>
  <c r="U91" i="32"/>
  <c r="U92" i="32"/>
  <c r="U93" i="32"/>
  <c r="U94" i="32"/>
  <c r="U95" i="32"/>
  <c r="U96" i="32"/>
  <c r="U97" i="32"/>
  <c r="U98" i="32"/>
  <c r="U99" i="32"/>
  <c r="U100" i="32"/>
  <c r="U101" i="32"/>
  <c r="U102" i="32"/>
  <c r="U103" i="32"/>
  <c r="U104" i="32"/>
  <c r="U105" i="32"/>
  <c r="U106" i="32"/>
  <c r="U107" i="32"/>
  <c r="U108" i="32"/>
  <c r="U109" i="32"/>
  <c r="U110" i="32"/>
  <c r="U111" i="32"/>
  <c r="U112" i="32"/>
  <c r="U113" i="32"/>
  <c r="U114" i="32"/>
  <c r="U115" i="32"/>
  <c r="U116" i="32"/>
  <c r="U117" i="32"/>
  <c r="U118" i="32"/>
  <c r="U119" i="32"/>
  <c r="U120" i="32"/>
  <c r="U121" i="32"/>
  <c r="U122" i="32"/>
  <c r="U123" i="32"/>
  <c r="U124" i="32"/>
  <c r="U125" i="32"/>
  <c r="U126" i="32"/>
  <c r="U127" i="32"/>
  <c r="U128" i="32"/>
  <c r="U129" i="32"/>
  <c r="U130" i="32"/>
  <c r="U131" i="32"/>
  <c r="U132" i="32"/>
  <c r="U133" i="32"/>
  <c r="U134" i="32"/>
  <c r="U135" i="32"/>
  <c r="U136" i="32"/>
  <c r="U137" i="32"/>
  <c r="U138" i="32"/>
  <c r="U139" i="32"/>
  <c r="U140" i="32"/>
  <c r="U141" i="32"/>
  <c r="U142" i="32"/>
  <c r="U143" i="32"/>
  <c r="U144" i="32"/>
  <c r="U145" i="32"/>
  <c r="U146" i="32"/>
  <c r="U147" i="32"/>
  <c r="U148" i="32"/>
  <c r="U149" i="32"/>
  <c r="U150" i="32"/>
  <c r="U151" i="32"/>
  <c r="U152" i="32"/>
  <c r="U153" i="32"/>
  <c r="U154" i="32"/>
  <c r="U155" i="32"/>
  <c r="U156" i="32"/>
  <c r="U157" i="32"/>
  <c r="U158" i="32"/>
  <c r="U159" i="32"/>
  <c r="U160" i="32"/>
  <c r="U161" i="32"/>
  <c r="U162" i="32"/>
  <c r="U163" i="32"/>
  <c r="U164" i="32"/>
  <c r="U165" i="32"/>
  <c r="U166" i="32"/>
  <c r="U167" i="32"/>
  <c r="U168" i="32"/>
  <c r="U169" i="32"/>
  <c r="U170" i="32"/>
  <c r="U171" i="32"/>
  <c r="U172" i="32"/>
  <c r="U173" i="32"/>
  <c r="U174" i="32"/>
  <c r="U175" i="32"/>
  <c r="U176" i="32"/>
  <c r="U177" i="32"/>
  <c r="U178" i="32"/>
  <c r="U179" i="32"/>
  <c r="U180" i="32"/>
  <c r="U181" i="32"/>
  <c r="U182" i="32"/>
  <c r="U183" i="32"/>
  <c r="U184" i="32"/>
  <c r="U185" i="32"/>
  <c r="U186" i="32"/>
  <c r="U187" i="32"/>
  <c r="U188" i="32"/>
  <c r="U189" i="32"/>
  <c r="U190" i="32"/>
  <c r="U191" i="32"/>
  <c r="U192" i="32"/>
  <c r="U193" i="32"/>
  <c r="U194" i="32"/>
  <c r="U195" i="32"/>
  <c r="U196" i="32"/>
  <c r="U197" i="32"/>
  <c r="U198" i="32"/>
  <c r="U199" i="32"/>
  <c r="U200" i="32"/>
  <c r="U201" i="32"/>
  <c r="U202" i="32"/>
  <c r="U203" i="32"/>
  <c r="U204" i="32"/>
  <c r="U205" i="32"/>
  <c r="U206" i="32"/>
  <c r="U207" i="32"/>
  <c r="U208" i="32"/>
  <c r="U209" i="32"/>
  <c r="U210" i="32"/>
  <c r="U211" i="32"/>
  <c r="U212" i="32"/>
  <c r="U213" i="32"/>
  <c r="U214" i="32"/>
  <c r="U215" i="32"/>
  <c r="U216" i="32"/>
  <c r="U217" i="32"/>
  <c r="U218" i="32"/>
  <c r="U219" i="32"/>
  <c r="U220" i="32"/>
  <c r="U221" i="32"/>
  <c r="U222" i="32"/>
  <c r="U223" i="32"/>
  <c r="U224" i="32"/>
  <c r="U225" i="32"/>
  <c r="U226" i="32"/>
  <c r="U227" i="32"/>
  <c r="U228" i="32"/>
  <c r="U229" i="32"/>
  <c r="U230" i="32"/>
  <c r="U231" i="32"/>
  <c r="U232" i="32"/>
  <c r="U233" i="32"/>
  <c r="U234" i="32"/>
  <c r="U235" i="32"/>
  <c r="U236" i="32"/>
  <c r="U237" i="32"/>
  <c r="U238" i="32"/>
  <c r="U239" i="32"/>
  <c r="U240" i="32"/>
  <c r="U241" i="32"/>
  <c r="U242" i="32"/>
  <c r="U243" i="32"/>
  <c r="U244" i="32"/>
  <c r="U245" i="32"/>
  <c r="U246" i="32"/>
  <c r="U247" i="32"/>
  <c r="U248" i="32"/>
  <c r="U249" i="32"/>
  <c r="U250" i="32"/>
  <c r="U251" i="32"/>
  <c r="U252" i="32"/>
  <c r="U253" i="32"/>
  <c r="U254" i="32"/>
  <c r="U255" i="32"/>
  <c r="U256" i="32"/>
  <c r="U257" i="32"/>
  <c r="U258" i="32"/>
  <c r="U259" i="32"/>
  <c r="U260" i="32"/>
  <c r="U261" i="32"/>
  <c r="U262" i="32"/>
  <c r="U263" i="32"/>
  <c r="U264" i="32"/>
  <c r="U265" i="32"/>
  <c r="U266" i="32"/>
  <c r="U267" i="32"/>
  <c r="U268" i="32"/>
  <c r="U269" i="32"/>
  <c r="U270" i="32"/>
  <c r="U271" i="32"/>
  <c r="U272" i="32"/>
  <c r="U273" i="32"/>
  <c r="U274" i="32"/>
  <c r="U275" i="32"/>
  <c r="U276" i="32"/>
  <c r="U277" i="32"/>
  <c r="U278" i="32"/>
  <c r="U279" i="32"/>
  <c r="U280" i="32"/>
  <c r="U281" i="32"/>
  <c r="U282" i="32"/>
  <c r="U283" i="32"/>
  <c r="U284" i="32"/>
  <c r="U285" i="32"/>
  <c r="U286" i="32"/>
  <c r="U287" i="32"/>
  <c r="U288" i="32"/>
  <c r="U289" i="32"/>
  <c r="U290" i="32"/>
  <c r="U291" i="32"/>
  <c r="U292" i="32"/>
  <c r="U293" i="32"/>
  <c r="U294" i="32"/>
  <c r="U295" i="32"/>
  <c r="U296" i="32"/>
  <c r="U297" i="32"/>
  <c r="U298" i="32"/>
  <c r="U299" i="32"/>
  <c r="U300" i="32"/>
  <c r="U301" i="32"/>
  <c r="U302" i="32"/>
  <c r="U303" i="32"/>
  <c r="U304" i="32"/>
  <c r="U305" i="32"/>
  <c r="U306" i="32"/>
  <c r="U307" i="32"/>
  <c r="U308" i="32"/>
  <c r="U309" i="32"/>
  <c r="U310" i="32"/>
  <c r="U311" i="32"/>
  <c r="U312" i="32"/>
  <c r="U313" i="32"/>
  <c r="U314" i="32"/>
  <c r="U315" i="32"/>
  <c r="U316" i="32"/>
  <c r="U317" i="32"/>
  <c r="U318" i="32"/>
  <c r="U319" i="32"/>
  <c r="U320" i="32"/>
  <c r="U321" i="32"/>
  <c r="U322" i="32"/>
  <c r="U323" i="32"/>
  <c r="U324" i="32"/>
  <c r="U325" i="32"/>
  <c r="U326" i="32"/>
  <c r="U327" i="32"/>
  <c r="U328" i="32"/>
  <c r="U329" i="32"/>
  <c r="U330" i="32"/>
  <c r="U331" i="32"/>
  <c r="U332" i="32"/>
  <c r="U333" i="32"/>
  <c r="U334" i="32"/>
  <c r="U335" i="32"/>
  <c r="U336" i="32"/>
  <c r="U337" i="32"/>
  <c r="U338" i="32"/>
  <c r="U339" i="32"/>
  <c r="U340" i="32"/>
  <c r="U341" i="32"/>
  <c r="U342" i="32"/>
  <c r="U343" i="32"/>
  <c r="U344" i="32"/>
  <c r="U345" i="32"/>
  <c r="U346" i="32"/>
  <c r="U347" i="32"/>
  <c r="U348" i="32"/>
  <c r="U349" i="32"/>
  <c r="U350" i="32"/>
  <c r="U351" i="32"/>
  <c r="U352" i="32"/>
  <c r="U353" i="32"/>
  <c r="U354" i="32"/>
  <c r="U355" i="32"/>
  <c r="U356" i="32"/>
  <c r="U357" i="32"/>
  <c r="U358" i="32"/>
  <c r="U359" i="32"/>
  <c r="U360" i="32"/>
  <c r="U361" i="32"/>
  <c r="U362" i="32"/>
  <c r="U363" i="32"/>
  <c r="U364" i="32"/>
  <c r="U365" i="32"/>
  <c r="U366" i="32"/>
  <c r="U367" i="32"/>
  <c r="U368" i="32"/>
  <c r="U369" i="32"/>
  <c r="U370" i="32"/>
  <c r="U371" i="32"/>
  <c r="U372" i="32"/>
  <c r="U373" i="32"/>
  <c r="U374" i="32"/>
  <c r="U375" i="32"/>
  <c r="U376" i="32"/>
  <c r="U377" i="32"/>
  <c r="U378" i="32"/>
  <c r="U379" i="32"/>
  <c r="U380" i="32"/>
  <c r="U381" i="32"/>
  <c r="U382" i="32"/>
  <c r="U383" i="32"/>
  <c r="U384" i="32"/>
  <c r="U385" i="32"/>
  <c r="U386" i="32"/>
  <c r="U387" i="32"/>
  <c r="U388" i="32"/>
  <c r="U389" i="32"/>
  <c r="U390" i="32"/>
  <c r="U391" i="32"/>
  <c r="U392" i="32"/>
  <c r="U393" i="32"/>
  <c r="U394" i="32"/>
  <c r="U395" i="32"/>
  <c r="U396" i="32"/>
  <c r="U397" i="32"/>
  <c r="U398" i="32"/>
  <c r="U399" i="32"/>
  <c r="U400" i="32"/>
  <c r="U401" i="32"/>
  <c r="U402" i="32"/>
  <c r="U403" i="32"/>
  <c r="U404" i="32"/>
  <c r="U405" i="32"/>
  <c r="U406" i="32"/>
  <c r="U407" i="32"/>
  <c r="U408" i="32"/>
  <c r="U409" i="32"/>
  <c r="U410" i="32"/>
  <c r="U411" i="32"/>
  <c r="U412" i="32"/>
  <c r="U413" i="32"/>
  <c r="U414" i="32"/>
  <c r="U415" i="32"/>
  <c r="U416" i="32"/>
  <c r="U417" i="32"/>
  <c r="U418" i="32"/>
  <c r="U419" i="32"/>
  <c r="U420" i="32"/>
  <c r="U421" i="32"/>
  <c r="U422" i="32"/>
  <c r="U423" i="32"/>
  <c r="U424" i="32"/>
  <c r="U425" i="32"/>
  <c r="U426" i="32"/>
  <c r="U427" i="32"/>
  <c r="U428" i="32"/>
  <c r="U429" i="32"/>
  <c r="U430" i="32"/>
  <c r="U431" i="32"/>
  <c r="U432" i="32"/>
  <c r="U433" i="32"/>
  <c r="U434" i="32"/>
  <c r="U435" i="32"/>
  <c r="U436" i="32"/>
  <c r="U437" i="32"/>
  <c r="U438" i="32"/>
  <c r="U439" i="32"/>
  <c r="U440" i="32"/>
  <c r="U441" i="32"/>
  <c r="U442" i="32"/>
  <c r="U443" i="32"/>
  <c r="U444" i="32"/>
  <c r="U445" i="32"/>
  <c r="U446" i="32"/>
  <c r="U447" i="32"/>
  <c r="U448" i="32"/>
  <c r="U449" i="32"/>
  <c r="U450" i="32"/>
  <c r="U451" i="32"/>
  <c r="U452" i="32"/>
  <c r="U453" i="32"/>
  <c r="U454" i="32"/>
  <c r="U455" i="32"/>
  <c r="U456" i="32"/>
  <c r="U457" i="32"/>
  <c r="U458" i="32"/>
  <c r="U459" i="32"/>
  <c r="U460" i="32"/>
  <c r="U461" i="32"/>
  <c r="U462" i="32"/>
  <c r="U463" i="32"/>
  <c r="U464" i="32"/>
  <c r="U465" i="32"/>
  <c r="U466" i="32"/>
  <c r="U467" i="32"/>
  <c r="U468" i="32"/>
  <c r="U469" i="32"/>
  <c r="U470" i="32"/>
  <c r="U471" i="32"/>
  <c r="U472" i="32"/>
  <c r="U473" i="32"/>
  <c r="U474" i="32"/>
  <c r="U475" i="32"/>
  <c r="U476" i="32"/>
  <c r="U477" i="32"/>
  <c r="U478" i="32"/>
  <c r="U479" i="32"/>
  <c r="U480" i="32"/>
  <c r="U481" i="32"/>
  <c r="U482" i="32"/>
  <c r="U483" i="32"/>
  <c r="U484" i="32"/>
  <c r="U485" i="32"/>
  <c r="U486" i="32"/>
  <c r="U487" i="32"/>
  <c r="U488" i="32"/>
  <c r="U489" i="32"/>
  <c r="U490" i="32"/>
  <c r="U491" i="32"/>
  <c r="U492" i="32"/>
  <c r="U493" i="32"/>
  <c r="U494" i="32"/>
  <c r="U495" i="32"/>
  <c r="U496" i="32"/>
  <c r="U497" i="32"/>
  <c r="U498" i="32"/>
  <c r="U499" i="32"/>
  <c r="U500" i="32"/>
  <c r="U501" i="32"/>
  <c r="B4" i="46"/>
  <c r="H10" i="45"/>
  <c r="V239" i="28" l="1"/>
  <c r="V116" i="50"/>
  <c r="V153" i="25"/>
  <c r="V152" i="25"/>
  <c r="V151" i="25"/>
  <c r="V150" i="25"/>
  <c r="V149" i="25"/>
  <c r="V148" i="25"/>
  <c r="V147" i="25"/>
  <c r="V146" i="25"/>
  <c r="V145" i="25"/>
  <c r="V144" i="25"/>
  <c r="V143" i="25"/>
  <c r="V142" i="25"/>
  <c r="V141" i="25"/>
  <c r="V140" i="25"/>
  <c r="V139" i="25"/>
  <c r="V122" i="25"/>
  <c r="V123" i="25"/>
  <c r="S18" i="45"/>
  <c r="AB8" i="45"/>
  <c r="AB7" i="45"/>
  <c r="AB9" i="45"/>
  <c r="AB10" i="45"/>
  <c r="AB6" i="45"/>
  <c r="V4" i="32"/>
  <c r="AF7" i="47"/>
  <c r="AE7" i="47"/>
  <c r="AD7" i="47"/>
  <c r="AD8" i="47"/>
  <c r="AE8" i="47"/>
  <c r="AF8" i="47"/>
  <c r="AD11" i="47"/>
  <c r="AE11" i="47"/>
  <c r="AF11" i="47"/>
  <c r="AD12" i="47"/>
  <c r="AE12" i="47"/>
  <c r="AF12" i="47"/>
  <c r="AD13" i="47"/>
  <c r="AE13" i="47"/>
  <c r="AF13" i="47"/>
  <c r="AD14" i="47"/>
  <c r="AE14" i="47"/>
  <c r="AF14" i="47"/>
  <c r="AC7" i="25"/>
  <c r="V77" i="50"/>
  <c r="A77" i="50"/>
  <c r="A60" i="50"/>
  <c r="V60" i="50"/>
  <c r="V501" i="32"/>
  <c r="V14" i="32"/>
  <c r="AZ138" i="45"/>
  <c r="AY138" i="45"/>
  <c r="AX138" i="45"/>
  <c r="AW138" i="45"/>
  <c r="AV138" i="45"/>
  <c r="AU138" i="45"/>
  <c r="AT138" i="45"/>
  <c r="AS138" i="45"/>
  <c r="AR138" i="45"/>
  <c r="AQ138" i="45"/>
  <c r="AZ137" i="45"/>
  <c r="AY137" i="45"/>
  <c r="AX137" i="45"/>
  <c r="AW137" i="45"/>
  <c r="AV137" i="45"/>
  <c r="AU137" i="45"/>
  <c r="AT137" i="45"/>
  <c r="AS137" i="45"/>
  <c r="AR137" i="45"/>
  <c r="AQ137" i="45"/>
  <c r="AZ136" i="45"/>
  <c r="AY136" i="45"/>
  <c r="AX136" i="45"/>
  <c r="AW136" i="45"/>
  <c r="AV136" i="45"/>
  <c r="AU136" i="45"/>
  <c r="AT136" i="45"/>
  <c r="AS136" i="45"/>
  <c r="AR136" i="45"/>
  <c r="AQ136" i="45"/>
  <c r="AZ135" i="45"/>
  <c r="AY135" i="45"/>
  <c r="AX135" i="45"/>
  <c r="AW135" i="45"/>
  <c r="AV135" i="45"/>
  <c r="AU135" i="45"/>
  <c r="AT135" i="45"/>
  <c r="AS135" i="45"/>
  <c r="AR135" i="45"/>
  <c r="AQ135" i="45"/>
  <c r="AZ134" i="45"/>
  <c r="AY134" i="45"/>
  <c r="AX134" i="45"/>
  <c r="AW134" i="45"/>
  <c r="AV134" i="45"/>
  <c r="AU134" i="45"/>
  <c r="AT134" i="45"/>
  <c r="AS134" i="45"/>
  <c r="AR134" i="45"/>
  <c r="AQ134" i="45"/>
  <c r="AZ133" i="45"/>
  <c r="AY133" i="45"/>
  <c r="AX133" i="45"/>
  <c r="AW133" i="45"/>
  <c r="AV133" i="45"/>
  <c r="AU133" i="45"/>
  <c r="AT133" i="45"/>
  <c r="AS133" i="45"/>
  <c r="AR133" i="45"/>
  <c r="AQ133" i="45"/>
  <c r="AZ132" i="45"/>
  <c r="AY132" i="45"/>
  <c r="AX132" i="45"/>
  <c r="AW132" i="45"/>
  <c r="AV132" i="45"/>
  <c r="AU132" i="45"/>
  <c r="AT132" i="45"/>
  <c r="AS132" i="45"/>
  <c r="AR132" i="45"/>
  <c r="AQ132" i="45"/>
  <c r="AZ131" i="45"/>
  <c r="AY131" i="45"/>
  <c r="AX131" i="45"/>
  <c r="AW131" i="45"/>
  <c r="AV131" i="45"/>
  <c r="AU131" i="45"/>
  <c r="AT131" i="45"/>
  <c r="AS131" i="45"/>
  <c r="AR131" i="45"/>
  <c r="AQ131" i="45"/>
  <c r="AZ130" i="45"/>
  <c r="AY130" i="45"/>
  <c r="AX130" i="45"/>
  <c r="AW130" i="45"/>
  <c r="AV130" i="45"/>
  <c r="AU130" i="45"/>
  <c r="AT130" i="45"/>
  <c r="AS130" i="45"/>
  <c r="AR130" i="45"/>
  <c r="AQ130" i="45"/>
  <c r="AZ129" i="45"/>
  <c r="AY129" i="45"/>
  <c r="AX129" i="45"/>
  <c r="AW129" i="45"/>
  <c r="AV129" i="45"/>
  <c r="AU129" i="45"/>
  <c r="AT129" i="45"/>
  <c r="AS129" i="45"/>
  <c r="AR129" i="45"/>
  <c r="AQ129" i="45"/>
  <c r="AZ125" i="45"/>
  <c r="AY125" i="45"/>
  <c r="AX125" i="45"/>
  <c r="AW125" i="45"/>
  <c r="AV125" i="45"/>
  <c r="AU125" i="45"/>
  <c r="AT125" i="45"/>
  <c r="AS125" i="45"/>
  <c r="AR125" i="45"/>
  <c r="AQ125" i="45"/>
  <c r="AZ124" i="45"/>
  <c r="AY124" i="45"/>
  <c r="AX124" i="45"/>
  <c r="AW124" i="45"/>
  <c r="AV124" i="45"/>
  <c r="AU124" i="45"/>
  <c r="AT124" i="45"/>
  <c r="AS124" i="45"/>
  <c r="AR124" i="45"/>
  <c r="AQ124" i="45"/>
  <c r="AZ123" i="45"/>
  <c r="AY123" i="45"/>
  <c r="AX123" i="45"/>
  <c r="AW123" i="45"/>
  <c r="AV123" i="45"/>
  <c r="AU123" i="45"/>
  <c r="AT123" i="45"/>
  <c r="AS123" i="45"/>
  <c r="AR123" i="45"/>
  <c r="AQ123" i="45"/>
  <c r="AZ122" i="45"/>
  <c r="AY122" i="45"/>
  <c r="AX122" i="45"/>
  <c r="AW122" i="45"/>
  <c r="AV122" i="45"/>
  <c r="AU122" i="45"/>
  <c r="AT122" i="45"/>
  <c r="AS122" i="45"/>
  <c r="AR122" i="45"/>
  <c r="AQ122" i="45"/>
  <c r="AZ121" i="45"/>
  <c r="AY121" i="45"/>
  <c r="AX121" i="45"/>
  <c r="AW121" i="45"/>
  <c r="AV121" i="45"/>
  <c r="AU121" i="45"/>
  <c r="AT121" i="45"/>
  <c r="AS121" i="45"/>
  <c r="AR121" i="45"/>
  <c r="AQ121" i="45"/>
  <c r="AZ120" i="45"/>
  <c r="AY120" i="45"/>
  <c r="AX120" i="45"/>
  <c r="AW120" i="45"/>
  <c r="AV120" i="45"/>
  <c r="AU120" i="45"/>
  <c r="AT120" i="45"/>
  <c r="AS120" i="45"/>
  <c r="AR120" i="45"/>
  <c r="AQ120" i="45"/>
  <c r="AZ119" i="45"/>
  <c r="AY119" i="45"/>
  <c r="AX119" i="45"/>
  <c r="AW119" i="45"/>
  <c r="AV119" i="45"/>
  <c r="AU119" i="45"/>
  <c r="AT119" i="45"/>
  <c r="AS119" i="45"/>
  <c r="AR119" i="45"/>
  <c r="AQ119" i="45"/>
  <c r="AZ118" i="45"/>
  <c r="AY118" i="45"/>
  <c r="AX118" i="45"/>
  <c r="AW118" i="45"/>
  <c r="AV118" i="45"/>
  <c r="AU118" i="45"/>
  <c r="AT118" i="45"/>
  <c r="AS118" i="45"/>
  <c r="AR118" i="45"/>
  <c r="AQ118" i="45"/>
  <c r="AZ117" i="45"/>
  <c r="AY117" i="45"/>
  <c r="AX117" i="45"/>
  <c r="AW117" i="45"/>
  <c r="AV117" i="45"/>
  <c r="AU117" i="45"/>
  <c r="AT117" i="45"/>
  <c r="AS117" i="45"/>
  <c r="AR117" i="45"/>
  <c r="AQ117" i="45"/>
  <c r="AZ116" i="45"/>
  <c r="AY116" i="45"/>
  <c r="AX116" i="45"/>
  <c r="AW116" i="45"/>
  <c r="AV116" i="45"/>
  <c r="AU116" i="45"/>
  <c r="AT116" i="45"/>
  <c r="AS116" i="45"/>
  <c r="AR116" i="45"/>
  <c r="AQ116" i="45"/>
  <c r="AZ112" i="45"/>
  <c r="AY112" i="45"/>
  <c r="AX112" i="45"/>
  <c r="AW112" i="45"/>
  <c r="AV112" i="45"/>
  <c r="AU112" i="45"/>
  <c r="AT112" i="45"/>
  <c r="AS112" i="45"/>
  <c r="AR112" i="45"/>
  <c r="AQ112" i="45"/>
  <c r="AZ111" i="45"/>
  <c r="AY111" i="45"/>
  <c r="AX111" i="45"/>
  <c r="AW111" i="45"/>
  <c r="AV111" i="45"/>
  <c r="AU111" i="45"/>
  <c r="AT111" i="45"/>
  <c r="AS111" i="45"/>
  <c r="AR111" i="45"/>
  <c r="AQ111" i="45"/>
  <c r="AZ110" i="45"/>
  <c r="AY110" i="45"/>
  <c r="AX110" i="45"/>
  <c r="AW110" i="45"/>
  <c r="AV110" i="45"/>
  <c r="AU110" i="45"/>
  <c r="AT110" i="45"/>
  <c r="AS110" i="45"/>
  <c r="AR110" i="45"/>
  <c r="AQ110" i="45"/>
  <c r="AZ109" i="45"/>
  <c r="AY109" i="45"/>
  <c r="AX109" i="45"/>
  <c r="AW109" i="45"/>
  <c r="AV109" i="45"/>
  <c r="AU109" i="45"/>
  <c r="AT109" i="45"/>
  <c r="AS109" i="45"/>
  <c r="AR109" i="45"/>
  <c r="AQ109" i="45"/>
  <c r="AZ108" i="45"/>
  <c r="AY108" i="45"/>
  <c r="AX108" i="45"/>
  <c r="AW108" i="45"/>
  <c r="AV108" i="45"/>
  <c r="AU108" i="45"/>
  <c r="AT108" i="45"/>
  <c r="AS108" i="45"/>
  <c r="AR108" i="45"/>
  <c r="AQ108" i="45"/>
  <c r="AZ107" i="45"/>
  <c r="AY107" i="45"/>
  <c r="AX107" i="45"/>
  <c r="AW107" i="45"/>
  <c r="AV107" i="45"/>
  <c r="AU107" i="45"/>
  <c r="AT107" i="45"/>
  <c r="AS107" i="45"/>
  <c r="AR107" i="45"/>
  <c r="AQ107" i="45"/>
  <c r="AZ106" i="45"/>
  <c r="AY106" i="45"/>
  <c r="AX106" i="45"/>
  <c r="AW106" i="45"/>
  <c r="AV106" i="45"/>
  <c r="AU106" i="45"/>
  <c r="AT106" i="45"/>
  <c r="AS106" i="45"/>
  <c r="AR106" i="45"/>
  <c r="AQ106" i="45"/>
  <c r="AZ105" i="45"/>
  <c r="AY105" i="45"/>
  <c r="AX105" i="45"/>
  <c r="AW105" i="45"/>
  <c r="AV105" i="45"/>
  <c r="AU105" i="45"/>
  <c r="AT105" i="45"/>
  <c r="AS105" i="45"/>
  <c r="AR105" i="45"/>
  <c r="AQ105" i="45"/>
  <c r="AZ104" i="45"/>
  <c r="AY104" i="45"/>
  <c r="AX104" i="45"/>
  <c r="AW104" i="45"/>
  <c r="AV104" i="45"/>
  <c r="AU104" i="45"/>
  <c r="AT104" i="45"/>
  <c r="AS104" i="45"/>
  <c r="AR104" i="45"/>
  <c r="AQ104" i="45"/>
  <c r="AZ103" i="45"/>
  <c r="AY103" i="45"/>
  <c r="AX103" i="45"/>
  <c r="AW103" i="45"/>
  <c r="AV103" i="45"/>
  <c r="AU103" i="45"/>
  <c r="AT103" i="45"/>
  <c r="AS103" i="45"/>
  <c r="AR103" i="45"/>
  <c r="AQ103" i="45"/>
  <c r="AM138" i="45"/>
  <c r="AL138" i="45"/>
  <c r="AK138" i="45"/>
  <c r="AJ138" i="45"/>
  <c r="AI138" i="45"/>
  <c r="AH138" i="45"/>
  <c r="AG138" i="45"/>
  <c r="AF138" i="45"/>
  <c r="AE138" i="45"/>
  <c r="AM137" i="45"/>
  <c r="AL137" i="45"/>
  <c r="AK137" i="45"/>
  <c r="AJ137" i="45"/>
  <c r="AI137" i="45"/>
  <c r="AH137" i="45"/>
  <c r="AG137" i="45"/>
  <c r="AF137" i="45"/>
  <c r="AE137" i="45"/>
  <c r="AM136" i="45"/>
  <c r="AL136" i="45"/>
  <c r="AK136" i="45"/>
  <c r="AJ136" i="45"/>
  <c r="AI136" i="45"/>
  <c r="AH136" i="45"/>
  <c r="AG136" i="45"/>
  <c r="AF136" i="45"/>
  <c r="AE136" i="45"/>
  <c r="AM135" i="45"/>
  <c r="AL135" i="45"/>
  <c r="AK135" i="45"/>
  <c r="AJ135" i="45"/>
  <c r="AI135" i="45"/>
  <c r="AH135" i="45"/>
  <c r="AG135" i="45"/>
  <c r="AF135" i="45"/>
  <c r="AE135" i="45"/>
  <c r="AM134" i="45"/>
  <c r="AL134" i="45"/>
  <c r="AK134" i="45"/>
  <c r="AJ134" i="45"/>
  <c r="AI134" i="45"/>
  <c r="AH134" i="45"/>
  <c r="AG134" i="45"/>
  <c r="AF134" i="45"/>
  <c r="AE134" i="45"/>
  <c r="AM133" i="45"/>
  <c r="AL133" i="45"/>
  <c r="AK133" i="45"/>
  <c r="AJ133" i="45"/>
  <c r="AI133" i="45"/>
  <c r="AH133" i="45"/>
  <c r="AG133" i="45"/>
  <c r="AF133" i="45"/>
  <c r="AE133" i="45"/>
  <c r="AM132" i="45"/>
  <c r="AL132" i="45"/>
  <c r="AK132" i="45"/>
  <c r="AJ132" i="45"/>
  <c r="AI132" i="45"/>
  <c r="AH132" i="45"/>
  <c r="AG132" i="45"/>
  <c r="AF132" i="45"/>
  <c r="AE132" i="45"/>
  <c r="AM131" i="45"/>
  <c r="AL131" i="45"/>
  <c r="AK131" i="45"/>
  <c r="AJ131" i="45"/>
  <c r="AI131" i="45"/>
  <c r="AH131" i="45"/>
  <c r="AG131" i="45"/>
  <c r="AF131" i="45"/>
  <c r="AE131" i="45"/>
  <c r="AM130" i="45"/>
  <c r="AL130" i="45"/>
  <c r="AK130" i="45"/>
  <c r="AJ130" i="45"/>
  <c r="AI130" i="45"/>
  <c r="AH130" i="45"/>
  <c r="AG130" i="45"/>
  <c r="AF130" i="45"/>
  <c r="AE130" i="45"/>
  <c r="AM129" i="45"/>
  <c r="AL129" i="45"/>
  <c r="AK129" i="45"/>
  <c r="AJ129" i="45"/>
  <c r="AI129" i="45"/>
  <c r="AH129" i="45"/>
  <c r="AG129" i="45"/>
  <c r="AF129" i="45"/>
  <c r="AE129" i="45"/>
  <c r="AM125" i="45"/>
  <c r="AL125" i="45"/>
  <c r="AK125" i="45"/>
  <c r="AJ125" i="45"/>
  <c r="AI125" i="45"/>
  <c r="AH125" i="45"/>
  <c r="AG125" i="45"/>
  <c r="AF125" i="45"/>
  <c r="AE125" i="45"/>
  <c r="AM124" i="45"/>
  <c r="AL124" i="45"/>
  <c r="AK124" i="45"/>
  <c r="AJ124" i="45"/>
  <c r="AI124" i="45"/>
  <c r="AH124" i="45"/>
  <c r="AG124" i="45"/>
  <c r="AF124" i="45"/>
  <c r="AE124" i="45"/>
  <c r="AM123" i="45"/>
  <c r="AL123" i="45"/>
  <c r="AK123" i="45"/>
  <c r="AJ123" i="45"/>
  <c r="AI123" i="45"/>
  <c r="AH123" i="45"/>
  <c r="AG123" i="45"/>
  <c r="AF123" i="45"/>
  <c r="AE123" i="45"/>
  <c r="AM122" i="45"/>
  <c r="AL122" i="45"/>
  <c r="AK122" i="45"/>
  <c r="AJ122" i="45"/>
  <c r="AI122" i="45"/>
  <c r="AH122" i="45"/>
  <c r="AG122" i="45"/>
  <c r="AF122" i="45"/>
  <c r="AE122" i="45"/>
  <c r="AM121" i="45"/>
  <c r="AL121" i="45"/>
  <c r="AK121" i="45"/>
  <c r="AJ121" i="45"/>
  <c r="AI121" i="45"/>
  <c r="AH121" i="45"/>
  <c r="AG121" i="45"/>
  <c r="AF121" i="45"/>
  <c r="AE121" i="45"/>
  <c r="AM120" i="45"/>
  <c r="AL120" i="45"/>
  <c r="AK120" i="45"/>
  <c r="AJ120" i="45"/>
  <c r="AI120" i="45"/>
  <c r="AH120" i="45"/>
  <c r="AG120" i="45"/>
  <c r="AF120" i="45"/>
  <c r="AE120" i="45"/>
  <c r="AM119" i="45"/>
  <c r="AL119" i="45"/>
  <c r="AK119" i="45"/>
  <c r="AJ119" i="45"/>
  <c r="AI119" i="45"/>
  <c r="AH119" i="45"/>
  <c r="AG119" i="45"/>
  <c r="AF119" i="45"/>
  <c r="AE119" i="45"/>
  <c r="AM118" i="45"/>
  <c r="AL118" i="45"/>
  <c r="AK118" i="45"/>
  <c r="AJ118" i="45"/>
  <c r="AI118" i="45"/>
  <c r="AH118" i="45"/>
  <c r="AG118" i="45"/>
  <c r="AF118" i="45"/>
  <c r="AE118" i="45"/>
  <c r="AM117" i="45"/>
  <c r="AL117" i="45"/>
  <c r="AK117" i="45"/>
  <c r="AJ117" i="45"/>
  <c r="AI117" i="45"/>
  <c r="AH117" i="45"/>
  <c r="AG117" i="45"/>
  <c r="AF117" i="45"/>
  <c r="AE117" i="45"/>
  <c r="AM116" i="45"/>
  <c r="AL116" i="45"/>
  <c r="AK116" i="45"/>
  <c r="AJ116" i="45"/>
  <c r="AI116" i="45"/>
  <c r="AH116" i="45"/>
  <c r="AG116" i="45"/>
  <c r="AF116" i="45"/>
  <c r="AE116" i="45"/>
  <c r="AM112" i="45"/>
  <c r="AL112" i="45"/>
  <c r="AK112" i="45"/>
  <c r="AJ112" i="45"/>
  <c r="AI112" i="45"/>
  <c r="AH112" i="45"/>
  <c r="AG112" i="45"/>
  <c r="AF112" i="45"/>
  <c r="AE112" i="45"/>
  <c r="AM111" i="45"/>
  <c r="AL111" i="45"/>
  <c r="AK111" i="45"/>
  <c r="AJ111" i="45"/>
  <c r="AI111" i="45"/>
  <c r="AH111" i="45"/>
  <c r="AG111" i="45"/>
  <c r="AF111" i="45"/>
  <c r="AE111" i="45"/>
  <c r="AM110" i="45"/>
  <c r="AL110" i="45"/>
  <c r="AK110" i="45"/>
  <c r="AJ110" i="45"/>
  <c r="AI110" i="45"/>
  <c r="AH110" i="45"/>
  <c r="AG110" i="45"/>
  <c r="AF110" i="45"/>
  <c r="AE110" i="45"/>
  <c r="AM109" i="45"/>
  <c r="AL109" i="45"/>
  <c r="AK109" i="45"/>
  <c r="AJ109" i="45"/>
  <c r="AI109" i="45"/>
  <c r="AH109" i="45"/>
  <c r="AG109" i="45"/>
  <c r="AF109" i="45"/>
  <c r="AE109" i="45"/>
  <c r="AM108" i="45"/>
  <c r="AL108" i="45"/>
  <c r="AK108" i="45"/>
  <c r="AJ108" i="45"/>
  <c r="AI108" i="45"/>
  <c r="AH108" i="45"/>
  <c r="AG108" i="45"/>
  <c r="AF108" i="45"/>
  <c r="AE108" i="45"/>
  <c r="AM107" i="45"/>
  <c r="AL107" i="45"/>
  <c r="AK107" i="45"/>
  <c r="AJ107" i="45"/>
  <c r="AI107" i="45"/>
  <c r="AH107" i="45"/>
  <c r="AG107" i="45"/>
  <c r="AF107" i="45"/>
  <c r="AE107" i="45"/>
  <c r="AM106" i="45"/>
  <c r="AL106" i="45"/>
  <c r="AK106" i="45"/>
  <c r="AJ106" i="45"/>
  <c r="AI106" i="45"/>
  <c r="AH106" i="45"/>
  <c r="AG106" i="45"/>
  <c r="AF106" i="45"/>
  <c r="AE106" i="45"/>
  <c r="AM105" i="45"/>
  <c r="AL105" i="45"/>
  <c r="AK105" i="45"/>
  <c r="AJ105" i="45"/>
  <c r="AI105" i="45"/>
  <c r="AH105" i="45"/>
  <c r="AG105" i="45"/>
  <c r="AF105" i="45"/>
  <c r="AE105" i="45"/>
  <c r="AM104" i="45"/>
  <c r="AL104" i="45"/>
  <c r="AK104" i="45"/>
  <c r="AJ104" i="45"/>
  <c r="AI104" i="45"/>
  <c r="AH104" i="45"/>
  <c r="AG104" i="45"/>
  <c r="AF104" i="45"/>
  <c r="AE104" i="45"/>
  <c r="AM103" i="45"/>
  <c r="AL103" i="45"/>
  <c r="AK103" i="45"/>
  <c r="AJ103" i="45"/>
  <c r="AI103" i="45"/>
  <c r="AH103" i="45"/>
  <c r="AG103" i="45"/>
  <c r="AF103" i="45"/>
  <c r="AE103" i="45"/>
  <c r="AA151" i="45"/>
  <c r="Z151" i="45"/>
  <c r="Y151" i="45"/>
  <c r="X151" i="45"/>
  <c r="W151" i="45"/>
  <c r="V151" i="45"/>
  <c r="U151" i="45"/>
  <c r="T151" i="45"/>
  <c r="S151" i="45"/>
  <c r="R151" i="45"/>
  <c r="AA150" i="45"/>
  <c r="Z150" i="45"/>
  <c r="Y150" i="45"/>
  <c r="X150" i="45"/>
  <c r="W150" i="45"/>
  <c r="V150" i="45"/>
  <c r="U150" i="45"/>
  <c r="T150" i="45"/>
  <c r="S150" i="45"/>
  <c r="R150" i="45"/>
  <c r="AA149" i="45"/>
  <c r="Z149" i="45"/>
  <c r="Y149" i="45"/>
  <c r="X149" i="45"/>
  <c r="W149" i="45"/>
  <c r="V149" i="45"/>
  <c r="U149" i="45"/>
  <c r="T149" i="45"/>
  <c r="S149" i="45"/>
  <c r="R149" i="45"/>
  <c r="AA148" i="45"/>
  <c r="Z148" i="45"/>
  <c r="Y148" i="45"/>
  <c r="X148" i="45"/>
  <c r="W148" i="45"/>
  <c r="V148" i="45"/>
  <c r="U148" i="45"/>
  <c r="T148" i="45"/>
  <c r="S148" i="45"/>
  <c r="R148" i="45"/>
  <c r="AA147" i="45"/>
  <c r="Z147" i="45"/>
  <c r="Y147" i="45"/>
  <c r="X147" i="45"/>
  <c r="W147" i="45"/>
  <c r="V147" i="45"/>
  <c r="U147" i="45"/>
  <c r="T147" i="45"/>
  <c r="S147" i="45"/>
  <c r="R147" i="45"/>
  <c r="AA146" i="45"/>
  <c r="Z146" i="45"/>
  <c r="Y146" i="45"/>
  <c r="X146" i="45"/>
  <c r="W146" i="45"/>
  <c r="V146" i="45"/>
  <c r="U146" i="45"/>
  <c r="T146" i="45"/>
  <c r="S146" i="45"/>
  <c r="R146" i="45"/>
  <c r="AA145" i="45"/>
  <c r="Z145" i="45"/>
  <c r="Y145" i="45"/>
  <c r="X145" i="45"/>
  <c r="W145" i="45"/>
  <c r="V145" i="45"/>
  <c r="U145" i="45"/>
  <c r="T145" i="45"/>
  <c r="S145" i="45"/>
  <c r="R145" i="45"/>
  <c r="AA144" i="45"/>
  <c r="Z144" i="45"/>
  <c r="Y144" i="45"/>
  <c r="X144" i="45"/>
  <c r="W144" i="45"/>
  <c r="V144" i="45"/>
  <c r="U144" i="45"/>
  <c r="T144" i="45"/>
  <c r="S144" i="45"/>
  <c r="R144" i="45"/>
  <c r="AA143" i="45"/>
  <c r="Z143" i="45"/>
  <c r="Y143" i="45"/>
  <c r="X143" i="45"/>
  <c r="W143" i="45"/>
  <c r="V143" i="45"/>
  <c r="U143" i="45"/>
  <c r="T143" i="45"/>
  <c r="S143" i="45"/>
  <c r="R143" i="45"/>
  <c r="AA142" i="45"/>
  <c r="Z142" i="45"/>
  <c r="Y142" i="45"/>
  <c r="X142" i="45"/>
  <c r="W142" i="45"/>
  <c r="V142" i="45"/>
  <c r="U142" i="45"/>
  <c r="T142" i="45"/>
  <c r="S142" i="45"/>
  <c r="R142" i="45"/>
  <c r="AA138" i="45"/>
  <c r="Z138" i="45"/>
  <c r="Y138" i="45"/>
  <c r="X138" i="45"/>
  <c r="W138" i="45"/>
  <c r="V138" i="45"/>
  <c r="U138" i="45"/>
  <c r="T138" i="45"/>
  <c r="S138" i="45"/>
  <c r="R138" i="45"/>
  <c r="AA137" i="45"/>
  <c r="Z137" i="45"/>
  <c r="Y137" i="45"/>
  <c r="X137" i="45"/>
  <c r="W137" i="45"/>
  <c r="V137" i="45"/>
  <c r="U137" i="45"/>
  <c r="T137" i="45"/>
  <c r="S137" i="45"/>
  <c r="R137" i="45"/>
  <c r="AA136" i="45"/>
  <c r="Z136" i="45"/>
  <c r="Y136" i="45"/>
  <c r="X136" i="45"/>
  <c r="W136" i="45"/>
  <c r="V136" i="45"/>
  <c r="U136" i="45"/>
  <c r="T136" i="45"/>
  <c r="S136" i="45"/>
  <c r="R136" i="45"/>
  <c r="AA135" i="45"/>
  <c r="Z135" i="45"/>
  <c r="Y135" i="45"/>
  <c r="X135" i="45"/>
  <c r="W135" i="45"/>
  <c r="V135" i="45"/>
  <c r="U135" i="45"/>
  <c r="T135" i="45"/>
  <c r="S135" i="45"/>
  <c r="R135" i="45"/>
  <c r="AA134" i="45"/>
  <c r="Z134" i="45"/>
  <c r="Y134" i="45"/>
  <c r="X134" i="45"/>
  <c r="W134" i="45"/>
  <c r="V134" i="45"/>
  <c r="U134" i="45"/>
  <c r="T134" i="45"/>
  <c r="S134" i="45"/>
  <c r="R134" i="45"/>
  <c r="AA133" i="45"/>
  <c r="Z133" i="45"/>
  <c r="Y133" i="45"/>
  <c r="X133" i="45"/>
  <c r="W133" i="45"/>
  <c r="V133" i="45"/>
  <c r="U133" i="45"/>
  <c r="T133" i="45"/>
  <c r="S133" i="45"/>
  <c r="R133" i="45"/>
  <c r="AA132" i="45"/>
  <c r="Z132" i="45"/>
  <c r="Y132" i="45"/>
  <c r="X132" i="45"/>
  <c r="W132" i="45"/>
  <c r="V132" i="45"/>
  <c r="U132" i="45"/>
  <c r="T132" i="45"/>
  <c r="S132" i="45"/>
  <c r="R132" i="45"/>
  <c r="AA131" i="45"/>
  <c r="Z131" i="45"/>
  <c r="Y131" i="45"/>
  <c r="X131" i="45"/>
  <c r="W131" i="45"/>
  <c r="V131" i="45"/>
  <c r="U131" i="45"/>
  <c r="T131" i="45"/>
  <c r="S131" i="45"/>
  <c r="R131" i="45"/>
  <c r="AA130" i="45"/>
  <c r="Z130" i="45"/>
  <c r="Y130" i="45"/>
  <c r="X130" i="45"/>
  <c r="W130" i="45"/>
  <c r="V130" i="45"/>
  <c r="U130" i="45"/>
  <c r="T130" i="45"/>
  <c r="S130" i="45"/>
  <c r="R130" i="45"/>
  <c r="AA129" i="45"/>
  <c r="Z129" i="45"/>
  <c r="Y129" i="45"/>
  <c r="X129" i="45"/>
  <c r="W129" i="45"/>
  <c r="V129" i="45"/>
  <c r="U129" i="45"/>
  <c r="T129" i="45"/>
  <c r="S129" i="45"/>
  <c r="R129" i="45"/>
  <c r="R116" i="45"/>
  <c r="AA125" i="45"/>
  <c r="Z125" i="45"/>
  <c r="Y125" i="45"/>
  <c r="X125" i="45"/>
  <c r="W125" i="45"/>
  <c r="V125" i="45"/>
  <c r="U125" i="45"/>
  <c r="T125" i="45"/>
  <c r="S125" i="45"/>
  <c r="R125" i="45"/>
  <c r="AA124" i="45"/>
  <c r="Z124" i="45"/>
  <c r="Y124" i="45"/>
  <c r="X124" i="45"/>
  <c r="W124" i="45"/>
  <c r="V124" i="45"/>
  <c r="U124" i="45"/>
  <c r="T124" i="45"/>
  <c r="S124" i="45"/>
  <c r="R124" i="45"/>
  <c r="AA123" i="45"/>
  <c r="Z123" i="45"/>
  <c r="Y123" i="45"/>
  <c r="X123" i="45"/>
  <c r="W123" i="45"/>
  <c r="V123" i="45"/>
  <c r="U123" i="45"/>
  <c r="T123" i="45"/>
  <c r="S123" i="45"/>
  <c r="R123" i="45"/>
  <c r="AA122" i="45"/>
  <c r="Z122" i="45"/>
  <c r="Y122" i="45"/>
  <c r="X122" i="45"/>
  <c r="W122" i="45"/>
  <c r="V122" i="45"/>
  <c r="U122" i="45"/>
  <c r="T122" i="45"/>
  <c r="S122" i="45"/>
  <c r="R122" i="45"/>
  <c r="AA121" i="45"/>
  <c r="Z121" i="45"/>
  <c r="Y121" i="45"/>
  <c r="X121" i="45"/>
  <c r="W121" i="45"/>
  <c r="V121" i="45"/>
  <c r="U121" i="45"/>
  <c r="T121" i="45"/>
  <c r="S121" i="45"/>
  <c r="R121" i="45"/>
  <c r="AA120" i="45"/>
  <c r="Z120" i="45"/>
  <c r="Y120" i="45"/>
  <c r="X120" i="45"/>
  <c r="W120" i="45"/>
  <c r="V120" i="45"/>
  <c r="U120" i="45"/>
  <c r="T120" i="45"/>
  <c r="S120" i="45"/>
  <c r="R120" i="45"/>
  <c r="AA119" i="45"/>
  <c r="Z119" i="45"/>
  <c r="Y119" i="45"/>
  <c r="X119" i="45"/>
  <c r="W119" i="45"/>
  <c r="V119" i="45"/>
  <c r="U119" i="45"/>
  <c r="T119" i="45"/>
  <c r="S119" i="45"/>
  <c r="R119" i="45"/>
  <c r="AA118" i="45"/>
  <c r="Z118" i="45"/>
  <c r="Y118" i="45"/>
  <c r="X118" i="45"/>
  <c r="W118" i="45"/>
  <c r="V118" i="45"/>
  <c r="U118" i="45"/>
  <c r="T118" i="45"/>
  <c r="S118" i="45"/>
  <c r="R118" i="45"/>
  <c r="AA117" i="45"/>
  <c r="Z117" i="45"/>
  <c r="Y117" i="45"/>
  <c r="X117" i="45"/>
  <c r="W117" i="45"/>
  <c r="V117" i="45"/>
  <c r="U117" i="45"/>
  <c r="T117" i="45"/>
  <c r="S117" i="45"/>
  <c r="R117" i="45"/>
  <c r="AA116" i="45"/>
  <c r="Z116" i="45"/>
  <c r="Y116" i="45"/>
  <c r="X116" i="45"/>
  <c r="W116" i="45"/>
  <c r="V116" i="45"/>
  <c r="U116" i="45"/>
  <c r="T116" i="45"/>
  <c r="S116" i="45"/>
  <c r="S27" i="45"/>
  <c r="S26" i="45"/>
  <c r="S25" i="45"/>
  <c r="S24" i="45"/>
  <c r="S23" i="45"/>
  <c r="S22" i="45"/>
  <c r="S21" i="45"/>
  <c r="S20" i="45"/>
  <c r="S19" i="45"/>
  <c r="AA112" i="45"/>
  <c r="Z112" i="45"/>
  <c r="Y112" i="45"/>
  <c r="X112" i="45"/>
  <c r="W112" i="45"/>
  <c r="V112" i="45"/>
  <c r="U112" i="45"/>
  <c r="T112" i="45"/>
  <c r="S112" i="45"/>
  <c r="R112" i="45"/>
  <c r="AA111" i="45"/>
  <c r="Z111" i="45"/>
  <c r="Y111" i="45"/>
  <c r="X111" i="45"/>
  <c r="W111" i="45"/>
  <c r="V111" i="45"/>
  <c r="U111" i="45"/>
  <c r="T111" i="45"/>
  <c r="S111" i="45"/>
  <c r="R111" i="45"/>
  <c r="AA110" i="45"/>
  <c r="Z110" i="45"/>
  <c r="Y110" i="45"/>
  <c r="X110" i="45"/>
  <c r="W110" i="45"/>
  <c r="V110" i="45"/>
  <c r="U110" i="45"/>
  <c r="T110" i="45"/>
  <c r="S110" i="45"/>
  <c r="R110" i="45"/>
  <c r="AA109" i="45"/>
  <c r="Z109" i="45"/>
  <c r="Y109" i="45"/>
  <c r="X109" i="45"/>
  <c r="W109" i="45"/>
  <c r="V109" i="45"/>
  <c r="U109" i="45"/>
  <c r="T109" i="45"/>
  <c r="S109" i="45"/>
  <c r="R109" i="45"/>
  <c r="AA108" i="45"/>
  <c r="Z108" i="45"/>
  <c r="Y108" i="45"/>
  <c r="X108" i="45"/>
  <c r="W108" i="45"/>
  <c r="V108" i="45"/>
  <c r="U108" i="45"/>
  <c r="T108" i="45"/>
  <c r="S108" i="45"/>
  <c r="AA107" i="45"/>
  <c r="Z107" i="45"/>
  <c r="Y107" i="45"/>
  <c r="X107" i="45"/>
  <c r="W107" i="45"/>
  <c r="V107" i="45"/>
  <c r="U107" i="45"/>
  <c r="T107" i="45"/>
  <c r="S107" i="45"/>
  <c r="AA106" i="45"/>
  <c r="Z106" i="45"/>
  <c r="Y106" i="45"/>
  <c r="X106" i="45"/>
  <c r="W106" i="45"/>
  <c r="V106" i="45"/>
  <c r="U106" i="45"/>
  <c r="T106" i="45"/>
  <c r="S106" i="45"/>
  <c r="R106" i="45"/>
  <c r="R108" i="45"/>
  <c r="R107" i="45"/>
  <c r="R105" i="45"/>
  <c r="R104" i="45"/>
  <c r="AA105" i="45"/>
  <c r="Z105" i="45"/>
  <c r="Y105" i="45"/>
  <c r="X105" i="45"/>
  <c r="W105" i="45"/>
  <c r="V105" i="45"/>
  <c r="U105" i="45"/>
  <c r="T105" i="45"/>
  <c r="S105" i="45"/>
  <c r="AA104" i="45"/>
  <c r="Z104" i="45"/>
  <c r="Y104" i="45"/>
  <c r="X104" i="45"/>
  <c r="W104" i="45"/>
  <c r="V104" i="45"/>
  <c r="U104" i="45"/>
  <c r="T104" i="45"/>
  <c r="S104" i="45"/>
  <c r="AA103" i="45"/>
  <c r="Z103" i="45"/>
  <c r="Y103" i="45"/>
  <c r="X103" i="45"/>
  <c r="W103" i="45"/>
  <c r="V103" i="45"/>
  <c r="U103" i="45"/>
  <c r="T103" i="45"/>
  <c r="S103" i="45"/>
  <c r="R103" i="45"/>
  <c r="R4" i="16"/>
  <c r="AD159" i="45" l="1"/>
  <c r="AD161" i="45"/>
  <c r="AD160" i="45"/>
  <c r="AD158" i="45"/>
  <c r="AD162" i="45"/>
  <c r="AD155" i="45"/>
  <c r="AD163" i="45"/>
  <c r="AE155" i="45"/>
  <c r="AD156" i="45"/>
  <c r="AD164" i="45"/>
  <c r="AD157" i="45"/>
  <c r="R155" i="45"/>
  <c r="AG12" i="47"/>
  <c r="AG8" i="47"/>
  <c r="AG13" i="47"/>
  <c r="AG14" i="47"/>
  <c r="AG11" i="47"/>
  <c r="AV163" i="45"/>
  <c r="AR161" i="45"/>
  <c r="AP162" i="45"/>
  <c r="AX162" i="45"/>
  <c r="AV155" i="45"/>
  <c r="AT156" i="45"/>
  <c r="AR157" i="45"/>
  <c r="AP158" i="45"/>
  <c r="AV159" i="45"/>
  <c r="AS159" i="45"/>
  <c r="AY160" i="45"/>
  <c r="AS155" i="45"/>
  <c r="AU158" i="45"/>
  <c r="AQ160" i="45"/>
  <c r="AQ164" i="45"/>
  <c r="AY157" i="45"/>
  <c r="AW158" i="45"/>
  <c r="AU159" i="45"/>
  <c r="AQ161" i="45"/>
  <c r="AW162" i="45"/>
  <c r="AU163" i="45"/>
  <c r="AJ164" i="45"/>
  <c r="AG162" i="45"/>
  <c r="AE163" i="45"/>
  <c r="AK164" i="45"/>
  <c r="AE158" i="45"/>
  <c r="AS164" i="45"/>
  <c r="AI156" i="45"/>
  <c r="AI161" i="45"/>
  <c r="AL158" i="45"/>
  <c r="AH160" i="45"/>
  <c r="AH161" i="45"/>
  <c r="AF162" i="45"/>
  <c r="AG157" i="45"/>
  <c r="AL155" i="45"/>
  <c r="AJ156" i="45"/>
  <c r="AH157" i="45"/>
  <c r="AH156" i="45"/>
  <c r="AF157" i="45"/>
  <c r="AK156" i="45"/>
  <c r="AI157" i="45"/>
  <c r="AJ163" i="45"/>
  <c r="AL162" i="45"/>
  <c r="AH164" i="45"/>
  <c r="AK163" i="45"/>
  <c r="AI164" i="45"/>
  <c r="AT155" i="45"/>
  <c r="AX157" i="45"/>
  <c r="AV158" i="45"/>
  <c r="AT159" i="45"/>
  <c r="AP161" i="45"/>
  <c r="AV162" i="45"/>
  <c r="AT163" i="45"/>
  <c r="AR164" i="45"/>
  <c r="AX155" i="45"/>
  <c r="AT161" i="45"/>
  <c r="AX163" i="45"/>
  <c r="AY164" i="45"/>
  <c r="AS158" i="45"/>
  <c r="AY159" i="45"/>
  <c r="AL160" i="45"/>
  <c r="AJ161" i="45"/>
  <c r="AL164" i="45"/>
  <c r="AW155" i="45"/>
  <c r="AU156" i="45"/>
  <c r="AS157" i="45"/>
  <c r="AQ158" i="45"/>
  <c r="AS161" i="45"/>
  <c r="AQ162" i="45"/>
  <c r="AY162" i="45"/>
  <c r="AW163" i="45"/>
  <c r="AX156" i="45"/>
  <c r="AR159" i="45"/>
  <c r="AX160" i="45"/>
  <c r="AT162" i="45"/>
  <c r="AP164" i="45"/>
  <c r="AX164" i="45"/>
  <c r="S158" i="45"/>
  <c r="X159" i="45"/>
  <c r="Z156" i="45"/>
  <c r="R159" i="45"/>
  <c r="W159" i="45"/>
  <c r="X156" i="45"/>
  <c r="AR158" i="45"/>
  <c r="AX159" i="45"/>
  <c r="T162" i="45"/>
  <c r="Z163" i="45"/>
  <c r="X164" i="45"/>
  <c r="AW156" i="45"/>
  <c r="AS162" i="45"/>
  <c r="AY163" i="45"/>
  <c r="S156" i="45"/>
  <c r="S160" i="45"/>
  <c r="Y161" i="45"/>
  <c r="U163" i="45"/>
  <c r="AT158" i="45"/>
  <c r="AP160" i="45"/>
  <c r="Z157" i="45"/>
  <c r="T158" i="45"/>
  <c r="T160" i="45"/>
  <c r="Y156" i="45"/>
  <c r="Y164" i="45"/>
  <c r="V158" i="45"/>
  <c r="R164" i="45"/>
  <c r="U162" i="45"/>
  <c r="Y155" i="45"/>
  <c r="U161" i="45"/>
  <c r="T155" i="45"/>
  <c r="Z160" i="45"/>
  <c r="W162" i="45"/>
  <c r="AU155" i="45"/>
  <c r="Z127" i="45"/>
  <c r="Z159" i="45"/>
  <c r="V161" i="45"/>
  <c r="R157" i="45"/>
  <c r="AA160" i="45"/>
  <c r="U159" i="45"/>
  <c r="R161" i="45"/>
  <c r="V164" i="45"/>
  <c r="AA159" i="45"/>
  <c r="W161" i="45"/>
  <c r="W140" i="45"/>
  <c r="S161" i="45"/>
  <c r="AW159" i="45"/>
  <c r="U155" i="45"/>
  <c r="AA157" i="45"/>
  <c r="V155" i="45"/>
  <c r="V159" i="45"/>
  <c r="AA162" i="45"/>
  <c r="W164" i="45"/>
  <c r="X155" i="45"/>
  <c r="T161" i="45"/>
  <c r="AG155" i="45"/>
  <c r="AE156" i="45"/>
  <c r="AG159" i="45"/>
  <c r="AE160" i="45"/>
  <c r="AK161" i="45"/>
  <c r="AG163" i="45"/>
  <c r="AL114" i="45"/>
  <c r="AV156" i="45"/>
  <c r="AV160" i="45"/>
  <c r="AR162" i="45"/>
  <c r="V162" i="45"/>
  <c r="R163" i="45"/>
  <c r="W158" i="45"/>
  <c r="S164" i="45"/>
  <c r="Y159" i="45"/>
  <c r="AF156" i="45"/>
  <c r="AJ158" i="45"/>
  <c r="AH159" i="45"/>
  <c r="AF160" i="45"/>
  <c r="AL161" i="45"/>
  <c r="AH163" i="45"/>
  <c r="AF164" i="45"/>
  <c r="AW160" i="45"/>
  <c r="AU161" i="45"/>
  <c r="AQ157" i="45"/>
  <c r="X163" i="45"/>
  <c r="Y163" i="45"/>
  <c r="AA155" i="45"/>
  <c r="X158" i="45"/>
  <c r="X162" i="45"/>
  <c r="T164" i="45"/>
  <c r="AG156" i="45"/>
  <c r="AK158" i="45"/>
  <c r="AI159" i="45"/>
  <c r="AG160" i="45"/>
  <c r="AI163" i="45"/>
  <c r="AG164" i="45"/>
  <c r="AP157" i="45"/>
  <c r="R158" i="45"/>
  <c r="R156" i="45"/>
  <c r="X157" i="45"/>
  <c r="X161" i="45"/>
  <c r="T163" i="45"/>
  <c r="Z164" i="45"/>
  <c r="Y162" i="45"/>
  <c r="U164" i="45"/>
  <c r="U158" i="45"/>
  <c r="AY156" i="45"/>
  <c r="AU162" i="45"/>
  <c r="AL157" i="45"/>
  <c r="AH158" i="45"/>
  <c r="AI158" i="45"/>
  <c r="AF159" i="45"/>
  <c r="AL159" i="45"/>
  <c r="AJ160" i="45"/>
  <c r="AK160" i="45"/>
  <c r="AF161" i="45"/>
  <c r="AG161" i="45"/>
  <c r="AE162" i="45"/>
  <c r="AJ162" i="45"/>
  <c r="AK162" i="45"/>
  <c r="AE164" i="45"/>
  <c r="AL156" i="45"/>
  <c r="AJ157" i="45"/>
  <c r="AK157" i="45"/>
  <c r="AF158" i="45"/>
  <c r="AG158" i="45"/>
  <c r="AE159" i="45"/>
  <c r="AJ159" i="45"/>
  <c r="AK159" i="45"/>
  <c r="AI160" i="45"/>
  <c r="AE161" i="45"/>
  <c r="AH162" i="45"/>
  <c r="AI162" i="45"/>
  <c r="AF163" i="45"/>
  <c r="AA156" i="45"/>
  <c r="AI127" i="45"/>
  <c r="AH155" i="45"/>
  <c r="S127" i="45"/>
  <c r="S157" i="45"/>
  <c r="R160" i="45"/>
  <c r="AQ101" i="45"/>
  <c r="AP155" i="45"/>
  <c r="S163" i="45"/>
  <c r="Z155" i="45"/>
  <c r="Z162" i="45"/>
  <c r="W155" i="45"/>
  <c r="AR101" i="45"/>
  <c r="AQ155" i="45"/>
  <c r="AA127" i="45"/>
  <c r="T157" i="45"/>
  <c r="AA140" i="45"/>
  <c r="R140" i="45"/>
  <c r="V157" i="45"/>
  <c r="W157" i="45"/>
  <c r="AG101" i="45"/>
  <c r="Y157" i="45"/>
  <c r="U160" i="45"/>
  <c r="AL101" i="45"/>
  <c r="AF114" i="45"/>
  <c r="U156" i="45"/>
  <c r="Z158" i="45"/>
  <c r="Z161" i="45"/>
  <c r="AM101" i="45"/>
  <c r="AG114" i="45"/>
  <c r="AP156" i="45"/>
  <c r="AT157" i="45"/>
  <c r="AX158" i="45"/>
  <c r="AR160" i="45"/>
  <c r="AV161" i="45"/>
  <c r="AP163" i="45"/>
  <c r="AT164" i="45"/>
  <c r="AW127" i="45"/>
  <c r="V156" i="45"/>
  <c r="AA158" i="45"/>
  <c r="W160" i="45"/>
  <c r="AA161" i="45"/>
  <c r="AJ101" i="45"/>
  <c r="AI155" i="45"/>
  <c r="AH114" i="45"/>
  <c r="AF127" i="45"/>
  <c r="AJ127" i="45"/>
  <c r="AF155" i="45"/>
  <c r="AQ156" i="45"/>
  <c r="AU157" i="45"/>
  <c r="AY158" i="45"/>
  <c r="AS160" i="45"/>
  <c r="AW161" i="45"/>
  <c r="AQ163" i="45"/>
  <c r="AU164" i="45"/>
  <c r="AS101" i="45"/>
  <c r="AA163" i="45"/>
  <c r="Z140" i="45"/>
  <c r="AK101" i="45"/>
  <c r="AE114" i="45"/>
  <c r="T156" i="45"/>
  <c r="Y158" i="45"/>
  <c r="AH101" i="45"/>
  <c r="AJ114" i="45"/>
  <c r="AZ101" i="45"/>
  <c r="AY155" i="45"/>
  <c r="AX114" i="45"/>
  <c r="V160" i="45"/>
  <c r="AI101" i="45"/>
  <c r="AL163" i="45"/>
  <c r="AK114" i="45"/>
  <c r="W156" i="45"/>
  <c r="S159" i="45"/>
  <c r="X160" i="45"/>
  <c r="R162" i="45"/>
  <c r="V163" i="45"/>
  <c r="W127" i="45"/>
  <c r="U140" i="45"/>
  <c r="Y140" i="45"/>
  <c r="AJ155" i="45"/>
  <c r="AI114" i="45"/>
  <c r="AG127" i="45"/>
  <c r="AK127" i="45"/>
  <c r="AE127" i="45"/>
  <c r="AR156" i="45"/>
  <c r="AV157" i="45"/>
  <c r="AP159" i="45"/>
  <c r="AT160" i="45"/>
  <c r="AX161" i="45"/>
  <c r="AR163" i="45"/>
  <c r="AV164" i="45"/>
  <c r="AQ114" i="45"/>
  <c r="AY127" i="45"/>
  <c r="AR155" i="45"/>
  <c r="U157" i="45"/>
  <c r="S155" i="45"/>
  <c r="T159" i="45"/>
  <c r="Y160" i="45"/>
  <c r="S162" i="45"/>
  <c r="W163" i="45"/>
  <c r="AA164" i="45"/>
  <c r="R127" i="45"/>
  <c r="V140" i="45"/>
  <c r="AK155" i="45"/>
  <c r="AE157" i="45"/>
  <c r="AH127" i="45"/>
  <c r="AS156" i="45"/>
  <c r="AW157" i="45"/>
  <c r="AQ159" i="45"/>
  <c r="AU160" i="45"/>
  <c r="AY161" i="45"/>
  <c r="AS163" i="45"/>
  <c r="AW164" i="45"/>
  <c r="AZ127" i="45"/>
  <c r="AE101" i="45"/>
  <c r="AT101" i="45"/>
  <c r="AS114" i="45"/>
  <c r="AQ127" i="45"/>
  <c r="AM127" i="45"/>
  <c r="AV101" i="45"/>
  <c r="AT114" i="45"/>
  <c r="AR127" i="45"/>
  <c r="AV127" i="45"/>
  <c r="T127" i="45"/>
  <c r="X127" i="45"/>
  <c r="AW101" i="45"/>
  <c r="AU114" i="45"/>
  <c r="AY114" i="45"/>
  <c r="AS127" i="45"/>
  <c r="AM114" i="45"/>
  <c r="AR114" i="45"/>
  <c r="AL127" i="45"/>
  <c r="AU101" i="45"/>
  <c r="U127" i="45"/>
  <c r="Y127" i="45"/>
  <c r="AX101" i="45"/>
  <c r="AV114" i="45"/>
  <c r="AZ114" i="45"/>
  <c r="AT127" i="45"/>
  <c r="AX127" i="45"/>
  <c r="S140" i="45"/>
  <c r="V127" i="45"/>
  <c r="T140" i="45"/>
  <c r="X140" i="45"/>
  <c r="AF101" i="45"/>
  <c r="AY101" i="45"/>
  <c r="AW114" i="45"/>
  <c r="AU127" i="45"/>
  <c r="Z114" i="45"/>
  <c r="R101" i="45"/>
  <c r="S101" i="45"/>
  <c r="T101" i="45"/>
  <c r="U101" i="45"/>
  <c r="V101" i="45"/>
  <c r="X101" i="45"/>
  <c r="Z101" i="45"/>
  <c r="W101" i="45"/>
  <c r="Y101" i="45"/>
  <c r="AA101" i="45"/>
  <c r="U114" i="45"/>
  <c r="V114" i="45"/>
  <c r="X114" i="45"/>
  <c r="Y114" i="45"/>
  <c r="AA114" i="45"/>
  <c r="W114" i="45"/>
  <c r="R114" i="45"/>
  <c r="T114" i="45"/>
  <c r="S114" i="45"/>
  <c r="R168" i="45" l="1"/>
  <c r="S174" i="45"/>
  <c r="S168" i="45"/>
  <c r="S173" i="45"/>
  <c r="S170" i="45"/>
  <c r="S177" i="45"/>
  <c r="S169" i="45"/>
  <c r="S171" i="45"/>
  <c r="S176" i="45"/>
  <c r="S172" i="45"/>
  <c r="S175" i="45"/>
  <c r="AA169" i="45"/>
  <c r="Z176" i="45"/>
  <c r="R174" i="45"/>
  <c r="V169" i="45"/>
  <c r="U172" i="45"/>
  <c r="U170" i="45"/>
  <c r="W171" i="45"/>
  <c r="W168" i="45"/>
  <c r="Z175" i="45"/>
  <c r="T174" i="45"/>
  <c r="Z168" i="45"/>
  <c r="X168" i="45"/>
  <c r="AA175" i="45"/>
  <c r="R177" i="45"/>
  <c r="V171" i="45"/>
  <c r="Z172" i="45"/>
  <c r="W173" i="45"/>
  <c r="AA171" i="45"/>
  <c r="Z171" i="45"/>
  <c r="U169" i="45"/>
  <c r="X174" i="45"/>
  <c r="R176" i="45"/>
  <c r="W177" i="45"/>
  <c r="Y177" i="45"/>
  <c r="X177" i="45"/>
  <c r="V174" i="45"/>
  <c r="U171" i="45"/>
  <c r="V172" i="45"/>
  <c r="T173" i="45"/>
  <c r="Y171" i="45"/>
  <c r="Y170" i="45"/>
  <c r="AA177" i="45"/>
  <c r="X169" i="45"/>
  <c r="T175" i="45"/>
  <c r="V176" i="45"/>
  <c r="U177" i="45"/>
  <c r="V168" i="45"/>
  <c r="T171" i="45"/>
  <c r="R175" i="45"/>
  <c r="T169" i="45"/>
  <c r="Y175" i="45"/>
  <c r="AA170" i="45"/>
  <c r="Z170" i="45"/>
  <c r="U173" i="45"/>
  <c r="W176" i="45"/>
  <c r="V170" i="45"/>
  <c r="W175" i="45"/>
  <c r="Y173" i="45"/>
  <c r="AA176" i="45"/>
  <c r="X170" i="45"/>
  <c r="X171" i="45"/>
  <c r="T168" i="45"/>
  <c r="Y174" i="45"/>
  <c r="Z169" i="45"/>
  <c r="V175" i="45"/>
  <c r="Y169" i="45"/>
  <c r="R173" i="45"/>
  <c r="R172" i="45"/>
  <c r="T172" i="45"/>
  <c r="T170" i="45"/>
  <c r="R169" i="45"/>
  <c r="AA168" i="45"/>
  <c r="W174" i="45"/>
  <c r="U174" i="45"/>
  <c r="X172" i="45"/>
  <c r="R170" i="45"/>
  <c r="Z177" i="45"/>
  <c r="T177" i="45"/>
  <c r="W172" i="45"/>
  <c r="X175" i="45"/>
  <c r="U176" i="45"/>
  <c r="R171" i="45"/>
  <c r="Y176" i="45"/>
  <c r="Y172" i="45"/>
  <c r="AA172" i="45"/>
  <c r="Y168" i="45"/>
  <c r="AA173" i="45"/>
  <c r="X173" i="45"/>
  <c r="W170" i="45"/>
  <c r="U168" i="45"/>
  <c r="T176" i="45"/>
  <c r="W169" i="45"/>
  <c r="Z173" i="45"/>
  <c r="V173" i="45"/>
  <c r="AA174" i="45"/>
  <c r="Z174" i="45"/>
  <c r="X176" i="45"/>
  <c r="V177" i="45"/>
  <c r="U175" i="45"/>
  <c r="AX153" i="45"/>
  <c r="AL153" i="45"/>
  <c r="AK153" i="45"/>
  <c r="AH153" i="45"/>
  <c r="AJ153" i="45"/>
  <c r="AF153" i="45"/>
  <c r="AG153" i="45"/>
  <c r="AV153" i="45"/>
  <c r="X153" i="45"/>
  <c r="AA153" i="45"/>
  <c r="T153" i="45"/>
  <c r="AP153" i="45"/>
  <c r="U153" i="45"/>
  <c r="AW153" i="45"/>
  <c r="V153" i="45"/>
  <c r="R153" i="45"/>
  <c r="AS153" i="45"/>
  <c r="Y153" i="45"/>
  <c r="AY153" i="45"/>
  <c r="AT153" i="45"/>
  <c r="AU153" i="45"/>
  <c r="AI153" i="45"/>
  <c r="AQ153" i="45"/>
  <c r="Z153" i="45"/>
  <c r="W153" i="45"/>
  <c r="AE153" i="45"/>
  <c r="AD153" i="45"/>
  <c r="S153" i="45"/>
  <c r="AR153" i="45"/>
  <c r="V7" i="45"/>
  <c r="U1" i="45"/>
  <c r="V25" i="50"/>
  <c r="V26" i="50"/>
  <c r="V27" i="50"/>
  <c r="V28" i="50"/>
  <c r="V29" i="50"/>
  <c r="V30" i="50"/>
  <c r="V20" i="50"/>
  <c r="V21" i="50"/>
  <c r="V22" i="50"/>
  <c r="V18" i="50"/>
  <c r="V89" i="50"/>
  <c r="V24" i="50"/>
  <c r="V109" i="50"/>
  <c r="V110" i="50"/>
  <c r="V111" i="50"/>
  <c r="V39" i="50"/>
  <c r="V56" i="50"/>
  <c r="V96" i="50"/>
  <c r="V14" i="50"/>
  <c r="V63" i="50"/>
  <c r="V64" i="50"/>
  <c r="V8" i="50"/>
  <c r="V46" i="50"/>
  <c r="V47" i="50"/>
  <c r="V67" i="50"/>
  <c r="V76" i="50"/>
  <c r="V7" i="50"/>
  <c r="V57" i="50"/>
  <c r="V98" i="50"/>
  <c r="V85" i="50"/>
  <c r="V65" i="50"/>
  <c r="V99" i="50"/>
  <c r="V50" i="50"/>
  <c r="V12" i="50"/>
  <c r="V19" i="50"/>
  <c r="V61" i="50"/>
  <c r="V62" i="50"/>
  <c r="V78" i="50"/>
  <c r="V87" i="50"/>
  <c r="V115" i="50"/>
  <c r="V119" i="50"/>
  <c r="V70" i="50"/>
  <c r="V118" i="50"/>
  <c r="V37" i="50"/>
  <c r="V38" i="50"/>
  <c r="V51" i="50"/>
  <c r="V52" i="50"/>
  <c r="V101" i="50"/>
  <c r="V10" i="50"/>
  <c r="V80" i="50"/>
  <c r="V79" i="50"/>
  <c r="V74" i="50"/>
  <c r="V69" i="50"/>
  <c r="V66" i="50"/>
  <c r="V13" i="50"/>
  <c r="V11" i="50"/>
  <c r="V9" i="50"/>
  <c r="V72" i="50"/>
  <c r="V117" i="50"/>
  <c r="V31" i="50"/>
  <c r="V32" i="50"/>
  <c r="V33" i="50"/>
  <c r="V34" i="50"/>
  <c r="V35" i="50"/>
  <c r="V36" i="50"/>
  <c r="V53" i="50"/>
  <c r="V44" i="50"/>
  <c r="V73" i="50"/>
  <c r="V108" i="50"/>
  <c r="V71" i="50"/>
  <c r="V103" i="50"/>
  <c r="V58" i="50"/>
  <c r="V68" i="50"/>
  <c r="V88" i="50"/>
  <c r="V94" i="50"/>
  <c r="V112" i="50"/>
  <c r="V97" i="50"/>
  <c r="V75" i="50"/>
  <c r="V45" i="50"/>
  <c r="V91" i="50"/>
  <c r="V49" i="50"/>
  <c r="V90" i="50"/>
  <c r="V84" i="50"/>
  <c r="V83" i="50"/>
  <c r="V95" i="50"/>
  <c r="V55" i="50"/>
  <c r="V113" i="50"/>
  <c r="V100" i="50"/>
  <c r="V59" i="50"/>
  <c r="V106" i="50"/>
  <c r="V114" i="50"/>
  <c r="V93" i="50"/>
  <c r="V40" i="50"/>
  <c r="V41" i="50"/>
  <c r="V42" i="50"/>
  <c r="V43" i="50"/>
  <c r="V86" i="50"/>
  <c r="V120" i="50"/>
  <c r="V121" i="50"/>
  <c r="V122" i="50"/>
  <c r="V123" i="50"/>
  <c r="V124" i="50"/>
  <c r="V125" i="50"/>
  <c r="V126" i="50"/>
  <c r="V127" i="50"/>
  <c r="V128" i="50"/>
  <c r="V129" i="50"/>
  <c r="V130" i="50"/>
  <c r="V131" i="50"/>
  <c r="V132" i="50"/>
  <c r="V133" i="50"/>
  <c r="V134" i="50"/>
  <c r="V135" i="50"/>
  <c r="V136" i="50"/>
  <c r="V137" i="50"/>
  <c r="V138" i="50"/>
  <c r="V139" i="50"/>
  <c r="V140" i="50"/>
  <c r="V141" i="50"/>
  <c r="V142" i="50"/>
  <c r="V143" i="50"/>
  <c r="V144" i="50"/>
  <c r="V145" i="50"/>
  <c r="V146" i="50"/>
  <c r="V147" i="50"/>
  <c r="V148" i="50"/>
  <c r="V149" i="50"/>
  <c r="V150" i="50"/>
  <c r="V151" i="50"/>
  <c r="V152" i="50"/>
  <c r="V153" i="50"/>
  <c r="V154" i="50"/>
  <c r="V155" i="50"/>
  <c r="V156" i="50"/>
  <c r="V157" i="50"/>
  <c r="V158" i="50"/>
  <c r="V159" i="50"/>
  <c r="V160" i="50"/>
  <c r="V161" i="50"/>
  <c r="V162" i="50"/>
  <c r="V163" i="50"/>
  <c r="V164" i="50"/>
  <c r="V165" i="50"/>
  <c r="V166" i="50"/>
  <c r="V167" i="50"/>
  <c r="V168" i="50"/>
  <c r="V169" i="50"/>
  <c r="V170" i="50"/>
  <c r="V171" i="50"/>
  <c r="V172" i="50"/>
  <c r="V173" i="50"/>
  <c r="V174" i="50"/>
  <c r="V175" i="50"/>
  <c r="V176" i="50"/>
  <c r="V177" i="50"/>
  <c r="V178" i="50"/>
  <c r="V179" i="50"/>
  <c r="V180" i="50"/>
  <c r="V181" i="50"/>
  <c r="V182" i="50"/>
  <c r="V183" i="50"/>
  <c r="V184" i="50"/>
  <c r="V185" i="50"/>
  <c r="V186" i="50"/>
  <c r="V187" i="50"/>
  <c r="V188" i="50"/>
  <c r="V189" i="50"/>
  <c r="V190" i="50"/>
  <c r="V191" i="50"/>
  <c r="V192" i="50"/>
  <c r="V193" i="50"/>
  <c r="V194" i="50"/>
  <c r="V195" i="50"/>
  <c r="V196" i="50"/>
  <c r="V197" i="50"/>
  <c r="V198" i="50"/>
  <c r="V199" i="50"/>
  <c r="V200" i="50"/>
  <c r="V201" i="50"/>
  <c r="V202" i="50"/>
  <c r="V203" i="50"/>
  <c r="V204" i="50"/>
  <c r="V205" i="50"/>
  <c r="V206" i="50"/>
  <c r="V207" i="50"/>
  <c r="V208" i="50"/>
  <c r="V209" i="50"/>
  <c r="V210" i="50"/>
  <c r="V211" i="50"/>
  <c r="V212" i="50"/>
  <c r="V213" i="50"/>
  <c r="V214" i="50"/>
  <c r="V215" i="50"/>
  <c r="V216" i="50"/>
  <c r="V217" i="50"/>
  <c r="V218" i="50"/>
  <c r="V219" i="50"/>
  <c r="V220" i="50"/>
  <c r="V221" i="50"/>
  <c r="V222" i="50"/>
  <c r="V223" i="50"/>
  <c r="V224" i="50"/>
  <c r="V225" i="50"/>
  <c r="V226" i="50"/>
  <c r="V227" i="50"/>
  <c r="V228" i="50"/>
  <c r="V229" i="50"/>
  <c r="V230" i="50"/>
  <c r="V231" i="50"/>
  <c r="V232" i="50"/>
  <c r="V233" i="50"/>
  <c r="V234" i="50"/>
  <c r="V235" i="50"/>
  <c r="V236" i="50"/>
  <c r="V237" i="50"/>
  <c r="V238" i="50"/>
  <c r="V239" i="50"/>
  <c r="V240" i="50"/>
  <c r="V241" i="50"/>
  <c r="V242" i="50"/>
  <c r="V243" i="50"/>
  <c r="V244" i="50"/>
  <c r="V245" i="50"/>
  <c r="V246" i="50"/>
  <c r="V247" i="50"/>
  <c r="V248" i="50"/>
  <c r="V249" i="50"/>
  <c r="V250" i="50"/>
  <c r="V251" i="50"/>
  <c r="V252" i="50"/>
  <c r="V253" i="50"/>
  <c r="V254" i="50"/>
  <c r="V255" i="50"/>
  <c r="V256" i="50"/>
  <c r="V257" i="50"/>
  <c r="V258" i="50"/>
  <c r="V259" i="50"/>
  <c r="V260" i="50"/>
  <c r="V261" i="50"/>
  <c r="V262" i="50"/>
  <c r="V263" i="50"/>
  <c r="V264" i="50"/>
  <c r="V265" i="50"/>
  <c r="V266" i="50"/>
  <c r="V267" i="50"/>
  <c r="V268" i="50"/>
  <c r="V269" i="50"/>
  <c r="V270" i="50"/>
  <c r="V271" i="50"/>
  <c r="V272" i="50"/>
  <c r="V273" i="50"/>
  <c r="V274" i="50"/>
  <c r="V275" i="50"/>
  <c r="V276" i="50"/>
  <c r="V277" i="50"/>
  <c r="V278" i="50"/>
  <c r="V279" i="50"/>
  <c r="V280" i="50"/>
  <c r="V281" i="50"/>
  <c r="V282" i="50"/>
  <c r="V283" i="50"/>
  <c r="V284" i="50"/>
  <c r="V285" i="50"/>
  <c r="V286" i="50"/>
  <c r="V287" i="50"/>
  <c r="V288" i="50"/>
  <c r="V289" i="50"/>
  <c r="V290" i="50"/>
  <c r="V291" i="50"/>
  <c r="V292" i="50"/>
  <c r="V293" i="50"/>
  <c r="V294" i="50"/>
  <c r="V295" i="50"/>
  <c r="V296" i="50"/>
  <c r="V297" i="50"/>
  <c r="V298" i="50"/>
  <c r="V299" i="50"/>
  <c r="V300" i="50"/>
  <c r="V301" i="50"/>
  <c r="V302" i="50"/>
  <c r="V303" i="50"/>
  <c r="V304" i="50"/>
  <c r="V305" i="50"/>
  <c r="V306" i="50"/>
  <c r="V307" i="50"/>
  <c r="V308" i="50"/>
  <c r="V309" i="50"/>
  <c r="V310" i="50"/>
  <c r="V311" i="50"/>
  <c r="V312" i="50"/>
  <c r="V313" i="50"/>
  <c r="V314" i="50"/>
  <c r="V315" i="50"/>
  <c r="V316" i="50"/>
  <c r="V317" i="50"/>
  <c r="V318" i="50"/>
  <c r="V319" i="50"/>
  <c r="V320" i="50"/>
  <c r="V321" i="50"/>
  <c r="V322" i="50"/>
  <c r="V323" i="50"/>
  <c r="V324" i="50"/>
  <c r="V325" i="50"/>
  <c r="V326" i="50"/>
  <c r="V327" i="50"/>
  <c r="V328" i="50"/>
  <c r="V329" i="50"/>
  <c r="V330" i="50"/>
  <c r="V331" i="50"/>
  <c r="V332" i="50"/>
  <c r="V333" i="50"/>
  <c r="V334" i="50"/>
  <c r="V335" i="50"/>
  <c r="V336" i="50"/>
  <c r="V337" i="50"/>
  <c r="V338" i="50"/>
  <c r="V339" i="50"/>
  <c r="V340" i="50"/>
  <c r="V341" i="50"/>
  <c r="V342" i="50"/>
  <c r="V343" i="50"/>
  <c r="V344" i="50"/>
  <c r="V345" i="50"/>
  <c r="V346" i="50"/>
  <c r="V347" i="50"/>
  <c r="V348" i="50"/>
  <c r="V349" i="50"/>
  <c r="V350" i="50"/>
  <c r="V351" i="50"/>
  <c r="V352" i="50"/>
  <c r="V353" i="50"/>
  <c r="V354" i="50"/>
  <c r="V355" i="50"/>
  <c r="V356" i="50"/>
  <c r="V357" i="50"/>
  <c r="V358" i="50"/>
  <c r="V359" i="50"/>
  <c r="V360" i="50"/>
  <c r="V361" i="50"/>
  <c r="V362" i="50"/>
  <c r="V363" i="50"/>
  <c r="V364" i="50"/>
  <c r="V365" i="50"/>
  <c r="V366" i="50"/>
  <c r="V367" i="50"/>
  <c r="V368" i="50"/>
  <c r="V369" i="50"/>
  <c r="V370" i="50"/>
  <c r="V371" i="50"/>
  <c r="V372" i="50"/>
  <c r="V373" i="50"/>
  <c r="V374" i="50"/>
  <c r="V375" i="50"/>
  <c r="V376" i="50"/>
  <c r="V377" i="50"/>
  <c r="V378" i="50"/>
  <c r="V379" i="50"/>
  <c r="V380" i="50"/>
  <c r="V381" i="50"/>
  <c r="V382" i="50"/>
  <c r="V383" i="50"/>
  <c r="V384" i="50"/>
  <c r="V385" i="50"/>
  <c r="V386" i="50"/>
  <c r="V387" i="50"/>
  <c r="V388" i="50"/>
  <c r="V389" i="50"/>
  <c r="V390" i="50"/>
  <c r="V391" i="50"/>
  <c r="V392" i="50"/>
  <c r="V393" i="50"/>
  <c r="V394" i="50"/>
  <c r="V395" i="50"/>
  <c r="V396" i="50"/>
  <c r="V397" i="50"/>
  <c r="V398" i="50"/>
  <c r="V399" i="50"/>
  <c r="V400" i="50"/>
  <c r="V401" i="50"/>
  <c r="V402" i="50"/>
  <c r="V403" i="50"/>
  <c r="V404" i="50"/>
  <c r="V405" i="50"/>
  <c r="V406" i="50"/>
  <c r="V407" i="50"/>
  <c r="V408" i="50"/>
  <c r="V409" i="50"/>
  <c r="V410" i="50"/>
  <c r="V411" i="50"/>
  <c r="V412" i="50"/>
  <c r="V413" i="50"/>
  <c r="V414" i="50"/>
  <c r="V415" i="50"/>
  <c r="V416" i="50"/>
  <c r="V417" i="50"/>
  <c r="V418" i="50"/>
  <c r="V419" i="50"/>
  <c r="V420" i="50"/>
  <c r="V421" i="50"/>
  <c r="V422" i="50"/>
  <c r="V423" i="50"/>
  <c r="V424" i="50"/>
  <c r="V425" i="50"/>
  <c r="V426" i="50"/>
  <c r="V427" i="50"/>
  <c r="V428" i="50"/>
  <c r="V429" i="50"/>
  <c r="V430" i="50"/>
  <c r="V431" i="50"/>
  <c r="V432" i="50"/>
  <c r="V433" i="50"/>
  <c r="V434" i="50"/>
  <c r="V435" i="50"/>
  <c r="V436" i="50"/>
  <c r="V437" i="50"/>
  <c r="V438" i="50"/>
  <c r="V439" i="50"/>
  <c r="V440" i="50"/>
  <c r="V441" i="50"/>
  <c r="V442" i="50"/>
  <c r="AC3" i="16"/>
  <c r="E79" i="45"/>
  <c r="A87" i="50" l="1"/>
  <c r="S1" i="45"/>
  <c r="X12" i="45" s="1"/>
  <c r="B4" i="50"/>
  <c r="B4" i="47"/>
  <c r="V17" i="31"/>
  <c r="AE3" i="25"/>
  <c r="AC5" i="16"/>
  <c r="Q93" i="45"/>
  <c r="Q94" i="45"/>
  <c r="Q95" i="45"/>
  <c r="A446" i="50"/>
  <c r="V446" i="50"/>
  <c r="V33" i="25"/>
  <c r="B5" i="25"/>
  <c r="B4" i="16"/>
  <c r="A70" i="50"/>
  <c r="T86" i="45"/>
  <c r="T87" i="45"/>
  <c r="T88" i="45"/>
  <c r="T89" i="45"/>
  <c r="T90" i="45"/>
  <c r="T91" i="45"/>
  <c r="T92" i="45"/>
  <c r="T93" i="45"/>
  <c r="T94" i="45"/>
  <c r="T95" i="45"/>
  <c r="T97" i="45"/>
  <c r="X6" i="45" l="1"/>
  <c r="X15" i="45"/>
  <c r="X9" i="45"/>
  <c r="T85" i="45"/>
  <c r="T73" i="45"/>
  <c r="T74" i="45"/>
  <c r="T75" i="45"/>
  <c r="T76" i="45"/>
  <c r="T77" i="45"/>
  <c r="T78" i="45"/>
  <c r="T79" i="45"/>
  <c r="T80" i="45"/>
  <c r="T81" i="45"/>
  <c r="T82" i="45"/>
  <c r="T72" i="45"/>
  <c r="T53" i="45"/>
  <c r="T52" i="45"/>
  <c r="T51" i="45"/>
  <c r="T50" i="45"/>
  <c r="T49" i="45"/>
  <c r="T48" i="45"/>
  <c r="T47" i="45"/>
  <c r="T46" i="45"/>
  <c r="T45" i="45"/>
  <c r="T44" i="45"/>
  <c r="S53" i="45"/>
  <c r="S52" i="45"/>
  <c r="S51" i="45"/>
  <c r="S50" i="45"/>
  <c r="S49" i="45"/>
  <c r="S48" i="45"/>
  <c r="S47" i="45"/>
  <c r="S46" i="45"/>
  <c r="S45" i="45"/>
  <c r="S44" i="45"/>
  <c r="R53" i="45"/>
  <c r="R52" i="45"/>
  <c r="R51" i="45"/>
  <c r="R50" i="45"/>
  <c r="R49" i="45"/>
  <c r="R48" i="45"/>
  <c r="R47" i="45"/>
  <c r="R46" i="45"/>
  <c r="R45" i="45"/>
  <c r="R44" i="45"/>
  <c r="T40" i="45"/>
  <c r="T39" i="45"/>
  <c r="T38" i="45"/>
  <c r="T37" i="45"/>
  <c r="T36" i="45"/>
  <c r="T35" i="45"/>
  <c r="T34" i="45"/>
  <c r="T33" i="45"/>
  <c r="T32" i="45"/>
  <c r="T31" i="45"/>
  <c r="S40" i="45"/>
  <c r="S39" i="45"/>
  <c r="S38" i="45"/>
  <c r="S37" i="45"/>
  <c r="S36" i="45"/>
  <c r="S35" i="45"/>
  <c r="S34" i="45"/>
  <c r="S33" i="45"/>
  <c r="S32" i="45"/>
  <c r="S31" i="45"/>
  <c r="R40" i="45"/>
  <c r="R39" i="45"/>
  <c r="R38" i="45"/>
  <c r="R37" i="45"/>
  <c r="R36" i="45"/>
  <c r="R35" i="45"/>
  <c r="R34" i="45"/>
  <c r="R33" i="45"/>
  <c r="R32" i="45"/>
  <c r="R31" i="45"/>
  <c r="U27" i="45"/>
  <c r="U26" i="45"/>
  <c r="U25" i="45"/>
  <c r="U24" i="45"/>
  <c r="U23" i="45"/>
  <c r="U22" i="45"/>
  <c r="U21" i="45"/>
  <c r="U20" i="45"/>
  <c r="T20" i="45"/>
  <c r="R20" i="45"/>
  <c r="U19" i="45"/>
  <c r="U18" i="45"/>
  <c r="T27" i="45"/>
  <c r="T26" i="45"/>
  <c r="T25" i="45"/>
  <c r="T24" i="45"/>
  <c r="T23" i="45"/>
  <c r="T22" i="45"/>
  <c r="T21" i="45"/>
  <c r="T19" i="45"/>
  <c r="T18" i="45"/>
  <c r="R27" i="45"/>
  <c r="R26" i="45"/>
  <c r="R25" i="45"/>
  <c r="R24" i="45"/>
  <c r="R23" i="45"/>
  <c r="R22" i="45"/>
  <c r="R21" i="45"/>
  <c r="R19" i="45"/>
  <c r="R18" i="45"/>
  <c r="AD5" i="28"/>
  <c r="V35" i="45" l="1"/>
  <c r="V34" i="45"/>
  <c r="V53" i="45"/>
  <c r="V46" i="45"/>
  <c r="V44" i="45"/>
  <c r="V47" i="45"/>
  <c r="V48" i="45"/>
  <c r="V49" i="45"/>
  <c r="V50" i="45"/>
  <c r="V51" i="45"/>
  <c r="V52" i="45"/>
  <c r="V36" i="45"/>
  <c r="V37" i="45"/>
  <c r="V38" i="45"/>
  <c r="V45" i="45"/>
  <c r="V39" i="45"/>
  <c r="V40" i="45"/>
  <c r="V31" i="45"/>
  <c r="V32" i="45"/>
  <c r="V33" i="45"/>
  <c r="V25" i="45"/>
  <c r="Y25" i="45" s="1"/>
  <c r="V26" i="45"/>
  <c r="Y26" i="45" s="1"/>
  <c r="V27" i="45"/>
  <c r="Y27" i="45" s="1"/>
  <c r="V21" i="45"/>
  <c r="Y21" i="45" s="1"/>
  <c r="V22" i="45"/>
  <c r="Y22" i="45" s="1"/>
  <c r="V23" i="45"/>
  <c r="Y23" i="45" s="1"/>
  <c r="V18" i="45"/>
  <c r="Y18" i="45" s="1"/>
  <c r="V24" i="45"/>
  <c r="Y24" i="45" s="1"/>
  <c r="V20" i="45"/>
  <c r="Y20" i="45" s="1"/>
  <c r="V19" i="45"/>
  <c r="T54" i="45"/>
  <c r="S54" i="45"/>
  <c r="R54" i="45"/>
  <c r="T41" i="45"/>
  <c r="S41" i="45"/>
  <c r="R41" i="45"/>
  <c r="U28" i="45"/>
  <c r="T28" i="45"/>
  <c r="S28" i="45"/>
  <c r="R28" i="45"/>
  <c r="V54" i="45" l="1"/>
  <c r="V41" i="45"/>
  <c r="Y19" i="45"/>
  <c r="Y28" i="45" s="1"/>
  <c r="V28" i="45"/>
  <c r="U22" i="50" l="1"/>
  <c r="U21" i="50"/>
  <c r="U20" i="50"/>
  <c r="A20" i="50"/>
  <c r="A21" i="50"/>
  <c r="A22" i="50"/>
  <c r="U26" i="50" l="1"/>
  <c r="U27" i="50"/>
  <c r="U28" i="50"/>
  <c r="U29" i="50"/>
  <c r="U30" i="50"/>
  <c r="A26" i="50"/>
  <c r="A27" i="50"/>
  <c r="A28" i="50"/>
  <c r="A29" i="50"/>
  <c r="A30" i="50"/>
  <c r="U25" i="50"/>
  <c r="A25" i="50"/>
  <c r="A7" i="50"/>
  <c r="V30" i="28" l="1"/>
  <c r="V188" i="28"/>
  <c r="V189" i="28"/>
  <c r="V190" i="28"/>
  <c r="V191" i="28"/>
  <c r="V192" i="28"/>
  <c r="V193" i="28"/>
  <c r="V194" i="28"/>
  <c r="V195" i="28"/>
  <c r="V196" i="28"/>
  <c r="V197" i="28"/>
  <c r="V198" i="28"/>
  <c r="V199" i="28"/>
  <c r="V200" i="28"/>
  <c r="V201" i="28"/>
  <c r="V202" i="28"/>
  <c r="V203" i="28"/>
  <c r="V204" i="28"/>
  <c r="V205" i="28"/>
  <c r="V206" i="28"/>
  <c r="V207" i="28"/>
  <c r="V208" i="28"/>
  <c r="V209" i="28"/>
  <c r="V210" i="28"/>
  <c r="V211" i="28"/>
  <c r="V212" i="28"/>
  <c r="V8" i="32"/>
  <c r="V18" i="31"/>
  <c r="V19" i="31"/>
  <c r="V20" i="31"/>
  <c r="V21" i="31"/>
  <c r="V22" i="31"/>
  <c r="V23" i="31"/>
  <c r="V24" i="31"/>
  <c r="V38" i="31"/>
  <c r="V40" i="31"/>
  <c r="V41" i="31"/>
  <c r="V42" i="31"/>
  <c r="V43" i="31"/>
  <c r="V44" i="31"/>
  <c r="V45" i="31"/>
  <c r="V46" i="31"/>
  <c r="V47" i="31"/>
  <c r="V48" i="31"/>
  <c r="V49" i="31"/>
  <c r="V50" i="31"/>
  <c r="V52" i="31"/>
  <c r="V53" i="31"/>
  <c r="V54" i="31"/>
  <c r="V55" i="31"/>
  <c r="V56" i="31"/>
  <c r="V57" i="31"/>
  <c r="V58" i="31"/>
  <c r="V63" i="31"/>
  <c r="V66" i="31"/>
  <c r="V67" i="31"/>
  <c r="V73" i="31"/>
  <c r="V75" i="31"/>
  <c r="V76" i="31"/>
  <c r="V80" i="31"/>
  <c r="V81" i="31"/>
  <c r="V82" i="31"/>
  <c r="V83" i="31"/>
  <c r="V84" i="31"/>
  <c r="V85" i="31"/>
  <c r="V86" i="31"/>
  <c r="V89" i="31"/>
  <c r="V90" i="31"/>
  <c r="V91" i="31"/>
  <c r="V92" i="31"/>
  <c r="V93" i="31"/>
  <c r="V94" i="31"/>
  <c r="V95" i="31"/>
  <c r="V96" i="31"/>
  <c r="V97" i="31"/>
  <c r="V98" i="31"/>
  <c r="V99" i="31"/>
  <c r="V100" i="31"/>
  <c r="V101" i="31"/>
  <c r="V102" i="31"/>
  <c r="V103" i="31"/>
  <c r="V104" i="31"/>
  <c r="V105" i="31"/>
  <c r="V106" i="31"/>
  <c r="V107" i="31"/>
  <c r="V108" i="31"/>
  <c r="V109" i="31"/>
  <c r="V110" i="31"/>
  <c r="V111" i="31"/>
  <c r="V112" i="31"/>
  <c r="V113" i="31"/>
  <c r="V115" i="31"/>
  <c r="V116" i="31"/>
  <c r="V117" i="31"/>
  <c r="V118" i="31"/>
  <c r="V119" i="31"/>
  <c r="V120" i="31"/>
  <c r="V131" i="31"/>
  <c r="V132" i="31"/>
  <c r="V133" i="31"/>
  <c r="V134" i="31"/>
  <c r="V135" i="31"/>
  <c r="V136" i="31"/>
  <c r="V137" i="31"/>
  <c r="V138" i="31"/>
  <c r="V142" i="31"/>
  <c r="V143" i="31"/>
  <c r="V145" i="31"/>
  <c r="V146" i="31"/>
  <c r="V147" i="31"/>
  <c r="V148" i="31"/>
  <c r="V151" i="31"/>
  <c r="V155" i="31"/>
  <c r="V156" i="31"/>
  <c r="V157" i="31"/>
  <c r="V158" i="31"/>
  <c r="V159" i="31"/>
  <c r="V160" i="31"/>
  <c r="V161" i="31"/>
  <c r="V162" i="31"/>
  <c r="V163" i="31"/>
  <c r="V164" i="31"/>
  <c r="V165" i="31"/>
  <c r="V166" i="31"/>
  <c r="V167" i="31"/>
  <c r="V168" i="31"/>
  <c r="V169" i="31"/>
  <c r="V170" i="31"/>
  <c r="V171" i="31"/>
  <c r="V172" i="31"/>
  <c r="V173" i="31"/>
  <c r="V174" i="31"/>
  <c r="V177" i="31"/>
  <c r="V178" i="31"/>
  <c r="V181" i="31"/>
  <c r="V182" i="31"/>
  <c r="V183" i="31"/>
  <c r="V184" i="31"/>
  <c r="V185" i="31"/>
  <c r="V9" i="47"/>
  <c r="V10" i="47"/>
  <c r="V11" i="47"/>
  <c r="V14" i="47"/>
  <c r="V16" i="47"/>
  <c r="V17" i="47"/>
  <c r="V19" i="47"/>
  <c r="V24" i="47"/>
  <c r="V25" i="47"/>
  <c r="V26" i="47"/>
  <c r="V27" i="47"/>
  <c r="V28" i="47"/>
  <c r="V29" i="47"/>
  <c r="V30" i="47"/>
  <c r="V32" i="47"/>
  <c r="V36" i="47"/>
  <c r="V37" i="47"/>
  <c r="V38" i="47"/>
  <c r="V39" i="47"/>
  <c r="V40" i="47"/>
  <c r="V41" i="47"/>
  <c r="V42" i="47"/>
  <c r="V44" i="47"/>
  <c r="V47" i="47"/>
  <c r="V49" i="47"/>
  <c r="V50" i="47"/>
  <c r="V51" i="47"/>
  <c r="V52" i="47"/>
  <c r="V53" i="47"/>
  <c r="V54" i="47"/>
  <c r="V55" i="47"/>
  <c r="V56" i="47"/>
  <c r="V59" i="47"/>
  <c r="V60" i="47"/>
  <c r="V65" i="47"/>
  <c r="V68" i="47"/>
  <c r="V69" i="47"/>
  <c r="V70" i="47"/>
  <c r="V71" i="47"/>
  <c r="V73" i="47"/>
  <c r="V74" i="47"/>
  <c r="V76" i="47"/>
  <c r="V77" i="47"/>
  <c r="V78" i="47"/>
  <c r="V79" i="47"/>
  <c r="V81" i="47"/>
  <c r="V83" i="47"/>
  <c r="V85" i="47"/>
  <c r="V86" i="47"/>
  <c r="V87" i="47"/>
  <c r="V88" i="47"/>
  <c r="V89" i="47"/>
  <c r="V90" i="47"/>
  <c r="V91" i="47"/>
  <c r="V92" i="47"/>
  <c r="V93" i="47"/>
  <c r="V94" i="47"/>
  <c r="V95" i="47"/>
  <c r="V96" i="47"/>
  <c r="V97" i="47"/>
  <c r="V98" i="47"/>
  <c r="V99" i="47"/>
  <c r="V100" i="47"/>
  <c r="V101" i="47"/>
  <c r="V102" i="47"/>
  <c r="V103" i="47"/>
  <c r="V104" i="47"/>
  <c r="V105" i="47"/>
  <c r="V106" i="47"/>
  <c r="V107" i="47"/>
  <c r="V108" i="47"/>
  <c r="V109" i="47"/>
  <c r="V110" i="47"/>
  <c r="V111" i="47"/>
  <c r="V112" i="47"/>
  <c r="V113" i="47"/>
  <c r="V114" i="47"/>
  <c r="V115" i="47"/>
  <c r="V116" i="47"/>
  <c r="V117" i="47"/>
  <c r="V118" i="47"/>
  <c r="V119" i="47"/>
  <c r="V120" i="47"/>
  <c r="V121" i="47"/>
  <c r="V122" i="47"/>
  <c r="V123" i="47"/>
  <c r="V124" i="47"/>
  <c r="V125" i="47"/>
  <c r="V126" i="47"/>
  <c r="V127" i="47"/>
  <c r="V128" i="47"/>
  <c r="V129" i="47"/>
  <c r="V130" i="47"/>
  <c r="V131" i="47"/>
  <c r="V132" i="47"/>
  <c r="V133" i="47"/>
  <c r="V134" i="47"/>
  <c r="V135" i="47"/>
  <c r="V136" i="47"/>
  <c r="V137" i="47"/>
  <c r="V138" i="47"/>
  <c r="V139" i="47"/>
  <c r="V140" i="47"/>
  <c r="V141" i="47"/>
  <c r="V142" i="47"/>
  <c r="V143" i="47"/>
  <c r="V144" i="47"/>
  <c r="V145" i="47"/>
  <c r="V146" i="47"/>
  <c r="V147" i="47"/>
  <c r="V148" i="47"/>
  <c r="V149" i="47"/>
  <c r="V150" i="47"/>
  <c r="V151" i="47"/>
  <c r="V152" i="47"/>
  <c r="V153" i="47"/>
  <c r="V154" i="47"/>
  <c r="V155" i="47"/>
  <c r="V156" i="47"/>
  <c r="V157" i="47"/>
  <c r="V158" i="47"/>
  <c r="V159" i="47"/>
  <c r="V160" i="47"/>
  <c r="V161" i="47"/>
  <c r="V162" i="47"/>
  <c r="V163" i="47"/>
  <c r="V164" i="47"/>
  <c r="V165" i="47"/>
  <c r="V166" i="47"/>
  <c r="V167" i="47"/>
  <c r="V168" i="47"/>
  <c r="V169" i="47"/>
  <c r="V170" i="47"/>
  <c r="V171" i="47"/>
  <c r="V172" i="47"/>
  <c r="V173" i="47"/>
  <c r="V174" i="47"/>
  <c r="V175" i="47"/>
  <c r="V176" i="47"/>
  <c r="V177" i="47"/>
  <c r="V178" i="47"/>
  <c r="V8" i="16"/>
  <c r="V9" i="16"/>
  <c r="V10" i="16"/>
  <c r="V11" i="16"/>
  <c r="V12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7" i="16"/>
  <c r="V138" i="16"/>
  <c r="V149" i="16"/>
  <c r="V142" i="16"/>
  <c r="V162" i="16"/>
  <c r="V140" i="16"/>
  <c r="V143" i="16"/>
  <c r="V74" i="16"/>
  <c r="V23" i="16"/>
  <c r="V146" i="16"/>
  <c r="V147" i="16"/>
  <c r="V148" i="16"/>
  <c r="V141" i="16"/>
  <c r="V145" i="16"/>
  <c r="V139" i="16"/>
  <c r="V152" i="16"/>
  <c r="V153" i="16"/>
  <c r="V154" i="16"/>
  <c r="V155" i="16"/>
  <c r="V157" i="16"/>
  <c r="V158" i="16"/>
  <c r="V163" i="16"/>
  <c r="V156" i="16"/>
  <c r="V161" i="16"/>
  <c r="V150" i="16"/>
  <c r="V160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246" i="16"/>
  <c r="V247" i="16"/>
  <c r="V248" i="16"/>
  <c r="V249" i="16"/>
  <c r="V250" i="16"/>
  <c r="V251" i="16"/>
  <c r="V252" i="16"/>
  <c r="V253" i="16"/>
  <c r="V254" i="16"/>
  <c r="V255" i="16"/>
  <c r="V256" i="16"/>
  <c r="V257" i="16"/>
  <c r="V258" i="16"/>
  <c r="V259" i="16"/>
  <c r="V260" i="16"/>
  <c r="V261" i="16"/>
  <c r="V262" i="16"/>
  <c r="V263" i="16"/>
  <c r="V264" i="16"/>
  <c r="V265" i="16"/>
  <c r="V266" i="16"/>
  <c r="V267" i="16"/>
  <c r="V268" i="16"/>
  <c r="V269" i="16"/>
  <c r="V270" i="16"/>
  <c r="V271" i="16"/>
  <c r="V272" i="16"/>
  <c r="V273" i="16"/>
  <c r="V274" i="16"/>
  <c r="V275" i="16"/>
  <c r="V276" i="16"/>
  <c r="V277" i="16"/>
  <c r="V278" i="16"/>
  <c r="V279" i="16"/>
  <c r="V280" i="16"/>
  <c r="V281" i="16"/>
  <c r="V282" i="16"/>
  <c r="V283" i="16"/>
  <c r="V284" i="16"/>
  <c r="V285" i="16"/>
  <c r="V286" i="16"/>
  <c r="V287" i="16"/>
  <c r="V288" i="16"/>
  <c r="V289" i="16"/>
  <c r="V290" i="16"/>
  <c r="V291" i="16"/>
  <c r="V292" i="16"/>
  <c r="V293" i="16"/>
  <c r="V294" i="16"/>
  <c r="V295" i="16"/>
  <c r="V296" i="16"/>
  <c r="V297" i="16"/>
  <c r="V298" i="16"/>
  <c r="V299" i="16"/>
  <c r="V300" i="16"/>
  <c r="V301" i="16"/>
  <c r="V302" i="16"/>
  <c r="V303" i="16"/>
  <c r="V304" i="16"/>
  <c r="V305" i="16"/>
  <c r="V306" i="16"/>
  <c r="V307" i="16"/>
  <c r="V308" i="16"/>
  <c r="V309" i="16"/>
  <c r="V310" i="16"/>
  <c r="V311" i="16"/>
  <c r="V312" i="16"/>
  <c r="V313" i="16"/>
  <c r="V314" i="16"/>
  <c r="V315" i="16"/>
  <c r="V316" i="16"/>
  <c r="V317" i="16"/>
  <c r="V318" i="16"/>
  <c r="V319" i="16"/>
  <c r="V320" i="16"/>
  <c r="V321" i="16"/>
  <c r="V322" i="16"/>
  <c r="V323" i="16"/>
  <c r="V324" i="16"/>
  <c r="V325" i="16"/>
  <c r="V326" i="16"/>
  <c r="V327" i="16"/>
  <c r="V328" i="16"/>
  <c r="V329" i="16"/>
  <c r="V330" i="16"/>
  <c r="V331" i="16"/>
  <c r="V332" i="16"/>
  <c r="V333" i="16"/>
  <c r="V334" i="16"/>
  <c r="V335" i="16"/>
  <c r="V336" i="16"/>
  <c r="V337" i="16"/>
  <c r="V338" i="16"/>
  <c r="V339" i="16"/>
  <c r="V340" i="16"/>
  <c r="V341" i="16"/>
  <c r="V342" i="16"/>
  <c r="V343" i="16"/>
  <c r="V344" i="16"/>
  <c r="V345" i="16"/>
  <c r="V346" i="16"/>
  <c r="V347" i="16"/>
  <c r="V348" i="16"/>
  <c r="V349" i="16"/>
  <c r="V350" i="16"/>
  <c r="V351" i="16"/>
  <c r="V352" i="16"/>
  <c r="V353" i="16"/>
  <c r="V354" i="16"/>
  <c r="V355" i="16"/>
  <c r="V356" i="16"/>
  <c r="V357" i="16"/>
  <c r="V358" i="16"/>
  <c r="V359" i="16"/>
  <c r="V360" i="16"/>
  <c r="V361" i="16"/>
  <c r="V362" i="16"/>
  <c r="V363" i="16"/>
  <c r="V364" i="16"/>
  <c r="V365" i="16"/>
  <c r="V366" i="16"/>
  <c r="V367" i="16"/>
  <c r="V368" i="16"/>
  <c r="V369" i="16"/>
  <c r="V370" i="16"/>
  <c r="V371" i="16"/>
  <c r="V372" i="16"/>
  <c r="V373" i="16"/>
  <c r="V374" i="16"/>
  <c r="V375" i="16"/>
  <c r="V376" i="16"/>
  <c r="V377" i="16"/>
  <c r="V378" i="16"/>
  <c r="V379" i="16"/>
  <c r="V380" i="16"/>
  <c r="V381" i="16"/>
  <c r="V382" i="16"/>
  <c r="V383" i="16"/>
  <c r="V7" i="16"/>
  <c r="V12" i="25"/>
  <c r="V20" i="25"/>
  <c r="V27" i="25"/>
  <c r="V31" i="25"/>
  <c r="V34" i="25"/>
  <c r="V37" i="25"/>
  <c r="V38" i="25"/>
  <c r="V39" i="25"/>
  <c r="V40" i="25"/>
  <c r="V43" i="25"/>
  <c r="V46" i="25"/>
  <c r="V56" i="25"/>
  <c r="V57" i="25"/>
  <c r="V60" i="25"/>
  <c r="V62" i="25"/>
  <c r="V13" i="25"/>
  <c r="V14" i="25"/>
  <c r="V21" i="25"/>
  <c r="V22" i="25"/>
  <c r="V23" i="25"/>
  <c r="V24" i="25"/>
  <c r="V25" i="25"/>
  <c r="V26" i="25"/>
  <c r="V29" i="25"/>
  <c r="V30" i="25"/>
  <c r="V28" i="25"/>
  <c r="V32" i="25"/>
  <c r="V35" i="25"/>
  <c r="V36" i="25"/>
  <c r="V44" i="25"/>
  <c r="V45" i="25"/>
  <c r="V47" i="25"/>
  <c r="V48" i="25"/>
  <c r="V49" i="25"/>
  <c r="V50" i="25"/>
  <c r="V51" i="25"/>
  <c r="V52" i="25"/>
  <c r="V53" i="25"/>
  <c r="V54" i="25"/>
  <c r="V55" i="25"/>
  <c r="V58" i="25"/>
  <c r="V65" i="25"/>
  <c r="V67" i="25"/>
  <c r="V70" i="25"/>
  <c r="V71" i="25"/>
  <c r="V72" i="25"/>
  <c r="V73" i="25"/>
  <c r="V74" i="25"/>
  <c r="V75" i="25"/>
  <c r="V76" i="25"/>
  <c r="V77" i="25"/>
  <c r="V78" i="25"/>
  <c r="V79" i="25"/>
  <c r="V80" i="25"/>
  <c r="V81" i="25"/>
  <c r="V82" i="25"/>
  <c r="V83" i="25"/>
  <c r="V84" i="25"/>
  <c r="V87" i="25"/>
  <c r="V88" i="25"/>
  <c r="V89" i="25"/>
  <c r="V90" i="25"/>
  <c r="V91" i="25"/>
  <c r="V92" i="25"/>
  <c r="V99" i="25"/>
  <c r="V100" i="25"/>
  <c r="V101" i="25"/>
  <c r="V102" i="25"/>
  <c r="V103" i="25"/>
  <c r="V108" i="25"/>
  <c r="V109" i="25"/>
  <c r="V110" i="25"/>
  <c r="V113" i="25"/>
  <c r="V115" i="25"/>
  <c r="V124" i="25"/>
  <c r="V125" i="25"/>
  <c r="V126" i="25"/>
  <c r="V127" i="25"/>
  <c r="V128" i="25"/>
  <c r="V129" i="25"/>
  <c r="V130" i="25"/>
  <c r="V131" i="25"/>
  <c r="V132" i="25"/>
  <c r="V133" i="25"/>
  <c r="V134" i="25"/>
  <c r="V135" i="25"/>
  <c r="V136" i="25"/>
  <c r="V138" i="25"/>
  <c r="V160" i="25"/>
  <c r="V168" i="25"/>
  <c r="V168" i="42"/>
  <c r="V169" i="42"/>
  <c r="V176" i="42"/>
  <c r="V177" i="42"/>
  <c r="V178" i="42"/>
  <c r="V179" i="42"/>
  <c r="V180" i="42"/>
  <c r="V181" i="42"/>
  <c r="V250" i="42"/>
  <c r="V251" i="42"/>
  <c r="V252" i="42"/>
  <c r="V253" i="42"/>
  <c r="V254" i="42"/>
  <c r="V255" i="42"/>
  <c r="V256" i="42"/>
  <c r="V257" i="42"/>
  <c r="V258" i="42"/>
  <c r="V259" i="42"/>
  <c r="V260" i="42"/>
  <c r="V261" i="42"/>
  <c r="V262" i="42"/>
  <c r="V263" i="42"/>
  <c r="V264" i="42"/>
  <c r="V265" i="42"/>
  <c r="V266" i="42"/>
  <c r="V267" i="42"/>
  <c r="V268" i="42"/>
  <c r="V269" i="42"/>
  <c r="V270" i="42"/>
  <c r="V271" i="42"/>
  <c r="V272" i="42"/>
  <c r="V273" i="42"/>
  <c r="V274" i="42"/>
  <c r="V275" i="42"/>
  <c r="V276" i="42"/>
  <c r="V277" i="42"/>
  <c r="V278" i="42"/>
  <c r="V279" i="42"/>
  <c r="V280" i="42"/>
  <c r="V281" i="42"/>
  <c r="V282" i="42"/>
  <c r="V283" i="42"/>
  <c r="V284" i="42"/>
  <c r="V285" i="42"/>
  <c r="V286" i="42"/>
  <c r="V287" i="42"/>
  <c r="V288" i="42"/>
  <c r="V289" i="42"/>
  <c r="V290" i="42"/>
  <c r="V291" i="42"/>
  <c r="V292" i="42"/>
  <c r="V293" i="42"/>
  <c r="V294" i="42"/>
  <c r="V295" i="42"/>
  <c r="V296" i="42"/>
  <c r="V297" i="42"/>
  <c r="V298" i="42"/>
  <c r="V299" i="42"/>
  <c r="V300" i="42"/>
  <c r="V301" i="42"/>
  <c r="V302" i="42"/>
  <c r="V303" i="42"/>
  <c r="V304" i="42"/>
  <c r="V305" i="42"/>
  <c r="V306" i="42"/>
  <c r="V307" i="42"/>
  <c r="V308" i="42"/>
  <c r="V309" i="42"/>
  <c r="V310" i="42"/>
  <c r="V311" i="42"/>
  <c r="V312" i="42"/>
  <c r="V313" i="42"/>
  <c r="V314" i="42"/>
  <c r="V315" i="42"/>
  <c r="V316" i="42"/>
  <c r="V317" i="42"/>
  <c r="V318" i="42"/>
  <c r="V319" i="42"/>
  <c r="V320" i="42"/>
  <c r="V321" i="42"/>
  <c r="V322" i="42"/>
  <c r="V323" i="42"/>
  <c r="V324" i="42"/>
  <c r="V325" i="42"/>
  <c r="V326" i="42"/>
  <c r="V327" i="42"/>
  <c r="V328" i="42"/>
  <c r="V329" i="42"/>
  <c r="V330" i="42"/>
  <c r="V331" i="42"/>
  <c r="V332" i="42"/>
  <c r="V333" i="42"/>
  <c r="V334" i="42"/>
  <c r="V335" i="42"/>
  <c r="V336" i="42"/>
  <c r="V337" i="42"/>
  <c r="V338" i="42"/>
  <c r="V339" i="42"/>
  <c r="V340" i="42"/>
  <c r="V341" i="42"/>
  <c r="V342" i="42"/>
  <c r="V343" i="42"/>
  <c r="V344" i="42"/>
  <c r="V345" i="42"/>
  <c r="V346" i="42"/>
  <c r="V347" i="42"/>
  <c r="V348" i="42"/>
  <c r="V349" i="42"/>
  <c r="V350" i="42"/>
  <c r="V351" i="42"/>
  <c r="V352" i="42"/>
  <c r="V353" i="42"/>
  <c r="V354" i="42"/>
  <c r="V355" i="42"/>
  <c r="V356" i="42"/>
  <c r="V357" i="42"/>
  <c r="V358" i="42"/>
  <c r="V359" i="42"/>
  <c r="V360" i="42"/>
  <c r="V361" i="42"/>
  <c r="V362" i="42"/>
  <c r="V363" i="42"/>
  <c r="V364" i="42"/>
  <c r="V365" i="42"/>
  <c r="V366" i="42"/>
  <c r="V367" i="42"/>
  <c r="V368" i="42"/>
  <c r="V369" i="42"/>
  <c r="V370" i="42"/>
  <c r="V371" i="42"/>
  <c r="V372" i="42"/>
  <c r="V373" i="42"/>
  <c r="V374" i="42"/>
  <c r="V375" i="42"/>
  <c r="V376" i="42"/>
  <c r="V377" i="42"/>
  <c r="V378" i="42"/>
  <c r="V379" i="42"/>
  <c r="V380" i="42"/>
  <c r="V381" i="42"/>
  <c r="V382" i="42"/>
  <c r="V383" i="42"/>
  <c r="V384" i="42"/>
  <c r="V385" i="42"/>
  <c r="V386" i="42"/>
  <c r="V387" i="42"/>
  <c r="V388" i="42"/>
  <c r="V389" i="42"/>
  <c r="V390" i="42"/>
  <c r="V391" i="42"/>
  <c r="V392" i="42"/>
  <c r="V393" i="42"/>
  <c r="V394" i="42"/>
  <c r="V395" i="42"/>
  <c r="V396" i="42"/>
  <c r="V397" i="42"/>
  <c r="V398" i="42"/>
  <c r="V399" i="42"/>
  <c r="V400" i="42"/>
  <c r="V401" i="42"/>
  <c r="V402" i="42"/>
  <c r="V403" i="42"/>
  <c r="V404" i="42"/>
  <c r="V405" i="42"/>
  <c r="V406" i="42"/>
  <c r="V407" i="42"/>
  <c r="V408" i="42"/>
  <c r="V8" i="27"/>
  <c r="V9" i="27"/>
  <c r="V10" i="27"/>
  <c r="V11" i="27"/>
  <c r="V12" i="27"/>
  <c r="V13" i="27"/>
  <c r="V14" i="27"/>
  <c r="V15" i="27"/>
  <c r="V16" i="27"/>
  <c r="V19" i="27"/>
  <c r="V21" i="27"/>
  <c r="V22" i="27"/>
  <c r="V23" i="27"/>
  <c r="V24" i="27"/>
  <c r="V25" i="27"/>
  <c r="V26" i="27"/>
  <c r="V27" i="27"/>
  <c r="V28" i="27"/>
  <c r="V29" i="27"/>
  <c r="V30" i="27"/>
  <c r="V31" i="27"/>
  <c r="V32" i="27"/>
  <c r="V33" i="27"/>
  <c r="V34" i="27"/>
  <c r="V35" i="27"/>
  <c r="V36" i="27"/>
  <c r="V37" i="27"/>
  <c r="V38" i="27"/>
  <c r="V39" i="27"/>
  <c r="V40" i="27"/>
  <c r="V41" i="27"/>
  <c r="V42" i="27"/>
  <c r="V43" i="27"/>
  <c r="V44" i="27"/>
  <c r="V45" i="27"/>
  <c r="V46" i="27"/>
  <c r="V49" i="27"/>
  <c r="V53" i="27"/>
  <c r="V54" i="27"/>
  <c r="V55" i="27"/>
  <c r="V56" i="27"/>
  <c r="V57" i="27"/>
  <c r="V58" i="27"/>
  <c r="V59" i="27"/>
  <c r="V60" i="27"/>
  <c r="V61" i="27"/>
  <c r="V62" i="27"/>
  <c r="V63" i="27"/>
  <c r="V64" i="27"/>
  <c r="V65" i="27"/>
  <c r="V66" i="27"/>
  <c r="V67" i="27"/>
  <c r="V68" i="27"/>
  <c r="V69" i="27"/>
  <c r="V70" i="27"/>
  <c r="V71" i="27"/>
  <c r="V72" i="27"/>
  <c r="V73" i="27"/>
  <c r="V74" i="27"/>
  <c r="V75" i="27"/>
  <c r="V76" i="27"/>
  <c r="V77" i="27"/>
  <c r="V78" i="27"/>
  <c r="V79" i="27"/>
  <c r="V80" i="27"/>
  <c r="V81" i="27"/>
  <c r="V82" i="27"/>
  <c r="V83" i="27"/>
  <c r="V86" i="27"/>
  <c r="V87" i="27"/>
  <c r="V89" i="27"/>
  <c r="V91" i="27"/>
  <c r="V92" i="27"/>
  <c r="V95" i="27"/>
  <c r="V96" i="27"/>
  <c r="V97" i="27"/>
  <c r="V98" i="27"/>
  <c r="V99" i="27"/>
  <c r="V100" i="27"/>
  <c r="V101" i="27"/>
  <c r="V102" i="27"/>
  <c r="V103" i="27"/>
  <c r="V105" i="27"/>
  <c r="V113" i="27"/>
  <c r="V114" i="27"/>
  <c r="V116" i="27"/>
  <c r="V117" i="27"/>
  <c r="V118" i="27"/>
  <c r="V119" i="27"/>
  <c r="V120" i="27"/>
  <c r="V121" i="27"/>
  <c r="V122" i="27"/>
  <c r="V123" i="27"/>
  <c r="V124" i="27"/>
  <c r="V125" i="27"/>
  <c r="V126" i="27"/>
  <c r="V127" i="27"/>
  <c r="V128" i="27"/>
  <c r="V129" i="27"/>
  <c r="V134" i="27"/>
  <c r="V135" i="27"/>
  <c r="V136" i="27"/>
  <c r="V137" i="27"/>
  <c r="V138" i="27"/>
  <c r="V139" i="27"/>
  <c r="V142" i="27"/>
  <c r="V143" i="27"/>
  <c r="V144" i="27"/>
  <c r="V145" i="27"/>
  <c r="V147" i="27"/>
  <c r="V150" i="27"/>
  <c r="V151" i="27"/>
  <c r="V152" i="27"/>
  <c r="V153" i="27"/>
  <c r="V154" i="27"/>
  <c r="V156" i="27"/>
  <c r="V157" i="27"/>
  <c r="V158" i="27"/>
  <c r="V163" i="27"/>
  <c r="V164" i="27"/>
  <c r="V166" i="27"/>
  <c r="V167" i="27"/>
  <c r="V169" i="27"/>
  <c r="V170" i="27"/>
  <c r="V171" i="27"/>
  <c r="V172" i="27"/>
  <c r="V173" i="27"/>
  <c r="V174" i="27"/>
  <c r="V175" i="27"/>
  <c r="V176" i="27"/>
  <c r="V177" i="27"/>
  <c r="V178" i="27"/>
  <c r="V7" i="27"/>
  <c r="V121" i="28"/>
  <c r="V122" i="28"/>
  <c r="V123" i="28"/>
  <c r="V9" i="28"/>
  <c r="V227" i="28"/>
  <c r="V10" i="28"/>
  <c r="V11" i="28"/>
  <c r="V129" i="28"/>
  <c r="V130" i="28"/>
  <c r="V12" i="28"/>
  <c r="V241" i="28"/>
  <c r="V242" i="28"/>
  <c r="V243" i="28"/>
  <c r="V13" i="28"/>
  <c r="V14" i="28"/>
  <c r="V15" i="28"/>
  <c r="V16" i="28"/>
  <c r="V17" i="28"/>
  <c r="V120" i="28"/>
  <c r="V18" i="28"/>
  <c r="V21" i="28"/>
  <c r="V139" i="28"/>
  <c r="V22" i="28"/>
  <c r="V258" i="28"/>
  <c r="V259" i="28"/>
  <c r="V23" i="28"/>
  <c r="V179" i="28"/>
  <c r="V180" i="28"/>
  <c r="V181" i="28"/>
  <c r="V182" i="28"/>
  <c r="V183" i="28"/>
  <c r="V184" i="28"/>
  <c r="V185" i="28"/>
  <c r="V186" i="28"/>
  <c r="V187" i="28"/>
  <c r="V24" i="28"/>
  <c r="V25" i="28"/>
  <c r="V252" i="28"/>
  <c r="V26" i="28"/>
  <c r="V236" i="28"/>
  <c r="V28" i="28"/>
  <c r="V131" i="28"/>
  <c r="V132" i="28"/>
  <c r="V31" i="28"/>
  <c r="V228" i="28"/>
  <c r="V229" i="28"/>
  <c r="V230" i="28"/>
  <c r="V231" i="28"/>
  <c r="V232" i="28"/>
  <c r="V233" i="28"/>
  <c r="V234" i="28"/>
  <c r="V32" i="28"/>
  <c r="V127" i="28"/>
  <c r="V128" i="28"/>
  <c r="V33" i="28"/>
  <c r="V124" i="28"/>
  <c r="V125" i="28"/>
  <c r="V126" i="28"/>
  <c r="V34" i="28"/>
  <c r="V35" i="28"/>
  <c r="V244" i="28"/>
  <c r="V36" i="28"/>
  <c r="V213" i="28"/>
  <c r="V37" i="28"/>
  <c r="V38" i="28"/>
  <c r="V39" i="28"/>
  <c r="V41" i="28"/>
  <c r="V43" i="28"/>
  <c r="V137" i="28"/>
  <c r="V138" i="28"/>
  <c r="V44" i="28"/>
  <c r="V45" i="28"/>
  <c r="V224" i="28"/>
  <c r="V225" i="28"/>
  <c r="V226" i="28"/>
  <c r="V46" i="28"/>
  <c r="V237" i="28"/>
  <c r="V47" i="28"/>
  <c r="V49" i="28"/>
  <c r="V50" i="28"/>
  <c r="V51" i="28"/>
  <c r="V52" i="28"/>
  <c r="V53" i="28"/>
  <c r="V54" i="28"/>
  <c r="V55" i="28"/>
  <c r="V56" i="28"/>
  <c r="V57" i="28"/>
  <c r="V58" i="28"/>
  <c r="V59" i="28"/>
  <c r="V60" i="28"/>
  <c r="V61" i="28"/>
  <c r="V62" i="28"/>
  <c r="V133" i="28"/>
  <c r="V134" i="28"/>
  <c r="V63" i="28"/>
  <c r="V64" i="28"/>
  <c r="V238" i="28"/>
  <c r="V65" i="28"/>
  <c r="V135" i="28"/>
  <c r="V136" i="28"/>
  <c r="V66" i="28"/>
  <c r="V67" i="28"/>
  <c r="V68" i="28"/>
  <c r="V261" i="28"/>
  <c r="V69" i="28"/>
  <c r="V265" i="28"/>
  <c r="V70" i="28"/>
  <c r="V71" i="28"/>
  <c r="V73" i="28"/>
  <c r="V74" i="28"/>
  <c r="V75" i="28"/>
  <c r="V76" i="28"/>
  <c r="V77" i="28"/>
  <c r="V162" i="28"/>
  <c r="V163" i="28"/>
  <c r="V164" i="28"/>
  <c r="V165" i="28"/>
  <c r="V166" i="28"/>
  <c r="V167" i="28"/>
  <c r="V168" i="28"/>
  <c r="V8" i="28"/>
  <c r="V78" i="28"/>
  <c r="V255" i="28"/>
  <c r="V256" i="28"/>
  <c r="V79" i="28"/>
  <c r="V80" i="28"/>
  <c r="V260" i="28"/>
  <c r="V81" i="28"/>
  <c r="V84" i="28"/>
  <c r="V220" i="28"/>
  <c r="V221" i="28"/>
  <c r="V222" i="28"/>
  <c r="V223" i="28"/>
  <c r="V85" i="28"/>
  <c r="V117" i="28"/>
  <c r="V86" i="28"/>
  <c r="V87" i="28"/>
  <c r="V88" i="28"/>
  <c r="V89" i="28"/>
  <c r="V90" i="28"/>
  <c r="V91" i="28"/>
  <c r="V92" i="28"/>
  <c r="V240" i="28"/>
  <c r="V93" i="28"/>
  <c r="V94" i="28"/>
  <c r="V95" i="28"/>
  <c r="V96" i="28"/>
  <c r="V97" i="28"/>
  <c r="V98" i="28"/>
  <c r="V99" i="28"/>
  <c r="V100" i="28"/>
  <c r="V217" i="28"/>
  <c r="V218" i="28"/>
  <c r="V219" i="28"/>
  <c r="V101" i="28"/>
  <c r="V140" i="28"/>
  <c r="V141" i="28"/>
  <c r="V142" i="28"/>
  <c r="V143" i="28"/>
  <c r="V144" i="28"/>
  <c r="V145" i="28"/>
  <c r="V146" i="28"/>
  <c r="V147" i="28"/>
  <c r="V148" i="28"/>
  <c r="V149" i="28"/>
  <c r="V150" i="28"/>
  <c r="V151" i="28"/>
  <c r="V152" i="28"/>
  <c r="V153" i="28"/>
  <c r="V154" i="28"/>
  <c r="V155" i="28"/>
  <c r="V156" i="28"/>
  <c r="V157" i="28"/>
  <c r="V158" i="28"/>
  <c r="V159" i="28"/>
  <c r="V160" i="28"/>
  <c r="V161" i="28"/>
  <c r="V102" i="28"/>
  <c r="V245" i="28"/>
  <c r="V246" i="28"/>
  <c r="V247" i="28"/>
  <c r="V248" i="28"/>
  <c r="V249" i="28"/>
  <c r="V250" i="28"/>
  <c r="V251" i="28"/>
  <c r="V103" i="28"/>
  <c r="V104" i="28"/>
  <c r="V169" i="28"/>
  <c r="V170" i="28"/>
  <c r="V171" i="28"/>
  <c r="V172" i="28"/>
  <c r="V173" i="28"/>
  <c r="V174" i="28"/>
  <c r="V175" i="28"/>
  <c r="V176" i="28"/>
  <c r="V177" i="28"/>
  <c r="V178" i="28"/>
  <c r="V105" i="28"/>
  <c r="V253" i="28"/>
  <c r="V254" i="28"/>
  <c r="V107" i="28"/>
  <c r="V109" i="28"/>
  <c r="V110" i="28"/>
  <c r="V111" i="28"/>
  <c r="V112" i="28"/>
  <c r="V113" i="28"/>
  <c r="V114" i="28"/>
  <c r="V115" i="28"/>
  <c r="V264" i="28"/>
  <c r="V116" i="28"/>
  <c r="V118" i="28"/>
  <c r="V119" i="28"/>
  <c r="V266" i="28"/>
  <c r="V267" i="28"/>
  <c r="V268" i="28"/>
  <c r="V269" i="28"/>
  <c r="V270" i="28"/>
  <c r="V271" i="28"/>
  <c r="V272" i="28"/>
  <c r="V273" i="28"/>
  <c r="V274" i="28"/>
  <c r="V275" i="28"/>
  <c r="V276" i="28"/>
  <c r="V277" i="28"/>
  <c r="V278" i="28"/>
  <c r="V279" i="28"/>
  <c r="V280" i="28"/>
  <c r="V281" i="28"/>
  <c r="V282" i="28"/>
  <c r="V283" i="28"/>
  <c r="V284" i="28"/>
  <c r="V285" i="28"/>
  <c r="V286" i="28"/>
  <c r="V287" i="28"/>
  <c r="V288" i="28"/>
  <c r="V289" i="28"/>
  <c r="V290" i="28"/>
  <c r="V291" i="28"/>
  <c r="V292" i="28"/>
  <c r="V293" i="28"/>
  <c r="V294" i="28"/>
  <c r="V295" i="28"/>
  <c r="V296" i="28"/>
  <c r="V297" i="28"/>
  <c r="V298" i="28"/>
  <c r="V299" i="28"/>
  <c r="V300" i="28"/>
  <c r="V301" i="28"/>
  <c r="V302" i="28"/>
  <c r="V303" i="28"/>
  <c r="V304" i="28"/>
  <c r="V305" i="28"/>
  <c r="V306" i="28"/>
  <c r="V307" i="28"/>
  <c r="V308" i="28"/>
  <c r="V309" i="28"/>
  <c r="V310" i="28"/>
  <c r="V311" i="28"/>
  <c r="V312" i="28"/>
  <c r="V313" i="28"/>
  <c r="V314" i="28"/>
  <c r="V315" i="28"/>
  <c r="V316" i="28"/>
  <c r="V317" i="28"/>
  <c r="V318" i="28"/>
  <c r="V319" i="28"/>
  <c r="V320" i="28"/>
  <c r="V321" i="28"/>
  <c r="V322" i="28"/>
  <c r="V323" i="28"/>
  <c r="V324" i="28"/>
  <c r="V325" i="28"/>
  <c r="V326" i="28"/>
  <c r="V327" i="28"/>
  <c r="V328" i="28"/>
  <c r="V329" i="28"/>
  <c r="V330" i="28"/>
  <c r="V331" i="28"/>
  <c r="V332" i="28"/>
  <c r="V333" i="28"/>
  <c r="V334" i="28"/>
  <c r="V335" i="28"/>
  <c r="V336" i="28"/>
  <c r="V337" i="28"/>
  <c r="V338" i="28"/>
  <c r="V339" i="28"/>
  <c r="V340" i="28"/>
  <c r="V341" i="28"/>
  <c r="V342" i="28"/>
  <c r="V343" i="28"/>
  <c r="V344" i="28"/>
  <c r="V345" i="28"/>
  <c r="V346" i="28"/>
  <c r="V347" i="28"/>
  <c r="V348" i="28"/>
  <c r="V349" i="28"/>
  <c r="V350" i="28"/>
  <c r="V351" i="28"/>
  <c r="V352" i="28"/>
  <c r="V353" i="28"/>
  <c r="V354" i="28"/>
  <c r="V355" i="28"/>
  <c r="V356" i="28"/>
  <c r="V357" i="28"/>
  <c r="V358" i="28"/>
  <c r="V359" i="28"/>
  <c r="V360" i="28"/>
  <c r="V361" i="28"/>
  <c r="V362" i="28"/>
  <c r="V363" i="28"/>
  <c r="V364" i="28"/>
  <c r="V365" i="28"/>
  <c r="V366" i="28"/>
  <c r="V367" i="28"/>
  <c r="V368" i="28"/>
  <c r="V369" i="28"/>
  <c r="V370" i="28"/>
  <c r="V371" i="28"/>
  <c r="V372" i="28"/>
  <c r="V373" i="28"/>
  <c r="V374" i="28"/>
  <c r="V375" i="28"/>
  <c r="V376" i="28"/>
  <c r="V377" i="28"/>
  <c r="V378" i="28"/>
  <c r="V379" i="28"/>
  <c r="V380" i="28"/>
  <c r="V381" i="28"/>
  <c r="V382" i="28"/>
  <c r="V383" i="28"/>
  <c r="V384" i="28"/>
  <c r="V385" i="28"/>
  <c r="V386" i="28"/>
  <c r="V387" i="28"/>
  <c r="V388" i="28"/>
  <c r="V23" i="50" l="1"/>
  <c r="V9" i="32"/>
  <c r="V11" i="32"/>
  <c r="V12" i="32"/>
  <c r="V13" i="32"/>
  <c r="V16" i="32"/>
  <c r="V17" i="32"/>
  <c r="V18" i="32"/>
  <c r="V19" i="32"/>
  <c r="V20" i="32"/>
  <c r="V21" i="32"/>
  <c r="V22" i="32"/>
  <c r="V24" i="32"/>
  <c r="V25" i="32"/>
  <c r="V26" i="32"/>
  <c r="V27" i="32"/>
  <c r="V28" i="32"/>
  <c r="V29" i="32"/>
  <c r="V30" i="32"/>
  <c r="V31" i="32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V101" i="32"/>
  <c r="V102" i="32"/>
  <c r="V103" i="32"/>
  <c r="V104" i="32"/>
  <c r="V105" i="32"/>
  <c r="V106" i="32"/>
  <c r="V107" i="32"/>
  <c r="V108" i="32"/>
  <c r="V109" i="32"/>
  <c r="V110" i="32"/>
  <c r="V111" i="32"/>
  <c r="V112" i="32"/>
  <c r="V113" i="32"/>
  <c r="V114" i="32"/>
  <c r="V115" i="32"/>
  <c r="V116" i="32"/>
  <c r="V117" i="32"/>
  <c r="V118" i="32"/>
  <c r="V119" i="32"/>
  <c r="V120" i="32"/>
  <c r="V121" i="32"/>
  <c r="V122" i="32"/>
  <c r="V123" i="32"/>
  <c r="V124" i="32"/>
  <c r="V125" i="32"/>
  <c r="V126" i="32"/>
  <c r="V127" i="32"/>
  <c r="V128" i="32"/>
  <c r="V129" i="32"/>
  <c r="V130" i="32"/>
  <c r="V131" i="32"/>
  <c r="V132" i="32"/>
  <c r="V133" i="32"/>
  <c r="V134" i="32"/>
  <c r="V135" i="32"/>
  <c r="V136" i="32"/>
  <c r="V137" i="32"/>
  <c r="V138" i="32"/>
  <c r="V139" i="32"/>
  <c r="V140" i="32"/>
  <c r="V141" i="32"/>
  <c r="V142" i="32"/>
  <c r="V143" i="32"/>
  <c r="V144" i="32"/>
  <c r="V145" i="32"/>
  <c r="V146" i="32"/>
  <c r="V147" i="32"/>
  <c r="V148" i="32"/>
  <c r="V149" i="32"/>
  <c r="V150" i="32"/>
  <c r="V151" i="32"/>
  <c r="V152" i="32"/>
  <c r="V153" i="32"/>
  <c r="V154" i="32"/>
  <c r="V155" i="32"/>
  <c r="V156" i="32"/>
  <c r="V157" i="32"/>
  <c r="V158" i="32"/>
  <c r="V159" i="32"/>
  <c r="V160" i="32"/>
  <c r="V161" i="32"/>
  <c r="V162" i="32"/>
  <c r="V163" i="32"/>
  <c r="V164" i="32"/>
  <c r="V165" i="32"/>
  <c r="V166" i="32"/>
  <c r="V167" i="32"/>
  <c r="V168" i="32"/>
  <c r="V169" i="32"/>
  <c r="V170" i="32"/>
  <c r="V171" i="32"/>
  <c r="V172" i="32"/>
  <c r="V173" i="32"/>
  <c r="V174" i="32"/>
  <c r="V175" i="32"/>
  <c r="V176" i="32"/>
  <c r="V177" i="32"/>
  <c r="V178" i="32"/>
  <c r="V179" i="32"/>
  <c r="V180" i="32"/>
  <c r="V181" i="32"/>
  <c r="V182" i="32"/>
  <c r="V183" i="32"/>
  <c r="V184" i="32"/>
  <c r="V185" i="32"/>
  <c r="V186" i="32"/>
  <c r="V187" i="32"/>
  <c r="V188" i="32"/>
  <c r="V189" i="32"/>
  <c r="V190" i="32"/>
  <c r="V191" i="32"/>
  <c r="V192" i="32"/>
  <c r="V193" i="32"/>
  <c r="V194" i="32"/>
  <c r="V195" i="32"/>
  <c r="V196" i="32"/>
  <c r="V197" i="32"/>
  <c r="V198" i="32"/>
  <c r="V199" i="32"/>
  <c r="V200" i="32"/>
  <c r="V201" i="32"/>
  <c r="V202" i="32"/>
  <c r="V203" i="32"/>
  <c r="V204" i="32"/>
  <c r="V205" i="32"/>
  <c r="V206" i="32"/>
  <c r="V207" i="32"/>
  <c r="V208" i="32"/>
  <c r="V209" i="32"/>
  <c r="V210" i="32"/>
  <c r="V211" i="32"/>
  <c r="V212" i="32"/>
  <c r="V213" i="32"/>
  <c r="V214" i="32"/>
  <c r="V215" i="32"/>
  <c r="V216" i="32"/>
  <c r="V217" i="32"/>
  <c r="V218" i="32"/>
  <c r="V219" i="32"/>
  <c r="V220" i="32"/>
  <c r="V221" i="32"/>
  <c r="V222" i="32"/>
  <c r="V223" i="32"/>
  <c r="V224" i="32"/>
  <c r="V225" i="32"/>
  <c r="V226" i="32"/>
  <c r="V227" i="32"/>
  <c r="V228" i="32"/>
  <c r="V229" i="32"/>
  <c r="V230" i="32"/>
  <c r="V231" i="32"/>
  <c r="V232" i="32"/>
  <c r="V233" i="32"/>
  <c r="V234" i="32"/>
  <c r="V235" i="32"/>
  <c r="V236" i="32"/>
  <c r="V237" i="32"/>
  <c r="V238" i="32"/>
  <c r="V239" i="32"/>
  <c r="V240" i="32"/>
  <c r="V241" i="32"/>
  <c r="V242" i="32"/>
  <c r="V243" i="32"/>
  <c r="V244" i="32"/>
  <c r="V245" i="32"/>
  <c r="V246" i="32"/>
  <c r="V247" i="32"/>
  <c r="V248" i="32"/>
  <c r="V249" i="32"/>
  <c r="V250" i="32"/>
  <c r="V251" i="32"/>
  <c r="V252" i="32"/>
  <c r="V253" i="32"/>
  <c r="V254" i="32"/>
  <c r="V255" i="32"/>
  <c r="V256" i="32"/>
  <c r="V257" i="32"/>
  <c r="V258" i="32"/>
  <c r="V259" i="32"/>
  <c r="V260" i="32"/>
  <c r="V261" i="32"/>
  <c r="V262" i="32"/>
  <c r="V263" i="32"/>
  <c r="V264" i="32"/>
  <c r="V265" i="32"/>
  <c r="V266" i="32"/>
  <c r="V267" i="32"/>
  <c r="V268" i="32"/>
  <c r="V269" i="32"/>
  <c r="V270" i="32"/>
  <c r="V271" i="32"/>
  <c r="V272" i="32"/>
  <c r="V273" i="32"/>
  <c r="V274" i="32"/>
  <c r="V275" i="32"/>
  <c r="V276" i="32"/>
  <c r="V277" i="32"/>
  <c r="V278" i="32"/>
  <c r="V279" i="32"/>
  <c r="V280" i="32"/>
  <c r="V281" i="32"/>
  <c r="V282" i="32"/>
  <c r="V283" i="32"/>
  <c r="V284" i="32"/>
  <c r="V285" i="32"/>
  <c r="V286" i="32"/>
  <c r="V287" i="32"/>
  <c r="V288" i="32"/>
  <c r="V289" i="32"/>
  <c r="V290" i="32"/>
  <c r="V291" i="32"/>
  <c r="V292" i="32"/>
  <c r="V293" i="32"/>
  <c r="V294" i="32"/>
  <c r="V295" i="32"/>
  <c r="V296" i="32"/>
  <c r="V297" i="32"/>
  <c r="V298" i="32"/>
  <c r="V299" i="32"/>
  <c r="V300" i="32"/>
  <c r="V301" i="32"/>
  <c r="V302" i="32"/>
  <c r="V303" i="32"/>
  <c r="V304" i="32"/>
  <c r="V305" i="32"/>
  <c r="V306" i="32"/>
  <c r="V307" i="32"/>
  <c r="V308" i="32"/>
  <c r="V309" i="32"/>
  <c r="V310" i="32"/>
  <c r="V311" i="32"/>
  <c r="V312" i="32"/>
  <c r="V313" i="32"/>
  <c r="V314" i="32"/>
  <c r="V315" i="32"/>
  <c r="V316" i="32"/>
  <c r="V317" i="32"/>
  <c r="V318" i="32"/>
  <c r="V319" i="32"/>
  <c r="V320" i="32"/>
  <c r="V321" i="32"/>
  <c r="V322" i="32"/>
  <c r="V323" i="32"/>
  <c r="V324" i="32"/>
  <c r="V325" i="32"/>
  <c r="V326" i="32"/>
  <c r="V327" i="32"/>
  <c r="V328" i="32"/>
  <c r="V329" i="32"/>
  <c r="V330" i="32"/>
  <c r="V331" i="32"/>
  <c r="V332" i="32"/>
  <c r="V333" i="32"/>
  <c r="V334" i="32"/>
  <c r="V335" i="32"/>
  <c r="V336" i="32"/>
  <c r="V337" i="32"/>
  <c r="V338" i="32"/>
  <c r="V339" i="32"/>
  <c r="V340" i="32"/>
  <c r="V341" i="32"/>
  <c r="V342" i="32"/>
  <c r="V343" i="32"/>
  <c r="V344" i="32"/>
  <c r="V345" i="32"/>
  <c r="V346" i="32"/>
  <c r="V347" i="32"/>
  <c r="V348" i="32"/>
  <c r="V349" i="32"/>
  <c r="V350" i="32"/>
  <c r="V351" i="32"/>
  <c r="V352" i="32"/>
  <c r="V353" i="32"/>
  <c r="V354" i="32"/>
  <c r="V355" i="32"/>
  <c r="V356" i="32"/>
  <c r="V357" i="32"/>
  <c r="V358" i="32"/>
  <c r="V359" i="32"/>
  <c r="V360" i="32"/>
  <c r="V361" i="32"/>
  <c r="V362" i="32"/>
  <c r="V363" i="32"/>
  <c r="V364" i="32"/>
  <c r="V365" i="32"/>
  <c r="V366" i="32"/>
  <c r="V367" i="32"/>
  <c r="V368" i="32"/>
  <c r="V369" i="32"/>
  <c r="V370" i="32"/>
  <c r="V371" i="32"/>
  <c r="V372" i="32"/>
  <c r="V373" i="32"/>
  <c r="V374" i="32"/>
  <c r="V375" i="32"/>
  <c r="V376" i="32"/>
  <c r="V377" i="32"/>
  <c r="V378" i="32"/>
  <c r="V379" i="32"/>
  <c r="V380" i="32"/>
  <c r="V381" i="32"/>
  <c r="V382" i="32"/>
  <c r="V383" i="32"/>
  <c r="V384" i="32"/>
  <c r="V385" i="32"/>
  <c r="V386" i="32"/>
  <c r="V387" i="32"/>
  <c r="V388" i="32"/>
  <c r="V389" i="32"/>
  <c r="V390" i="32"/>
  <c r="V391" i="32"/>
  <c r="V392" i="32"/>
  <c r="V393" i="32"/>
  <c r="V394" i="32"/>
  <c r="V395" i="32"/>
  <c r="V396" i="32"/>
  <c r="V397" i="32"/>
  <c r="V398" i="32"/>
  <c r="V399" i="32"/>
  <c r="V400" i="32"/>
  <c r="V401" i="32"/>
  <c r="V402" i="32"/>
  <c r="V403" i="32"/>
  <c r="V404" i="32"/>
  <c r="V405" i="32"/>
  <c r="V406" i="32"/>
  <c r="V407" i="32"/>
  <c r="V408" i="32"/>
  <c r="V409" i="32"/>
  <c r="V410" i="32"/>
  <c r="V411" i="32"/>
  <c r="V412" i="32"/>
  <c r="V413" i="32"/>
  <c r="V414" i="32"/>
  <c r="V415" i="32"/>
  <c r="V416" i="32"/>
  <c r="V417" i="32"/>
  <c r="V418" i="32"/>
  <c r="V419" i="32"/>
  <c r="V420" i="32"/>
  <c r="V421" i="32"/>
  <c r="V422" i="32"/>
  <c r="V423" i="32"/>
  <c r="V424" i="32"/>
  <c r="V425" i="32"/>
  <c r="V426" i="32"/>
  <c r="V427" i="32"/>
  <c r="V428" i="32"/>
  <c r="V429" i="32"/>
  <c r="V430" i="32"/>
  <c r="V431" i="32"/>
  <c r="V432" i="32"/>
  <c r="V433" i="32"/>
  <c r="V434" i="32"/>
  <c r="V435" i="32"/>
  <c r="V436" i="32"/>
  <c r="V437" i="32"/>
  <c r="V438" i="32"/>
  <c r="V439" i="32"/>
  <c r="V440" i="32"/>
  <c r="V441" i="32"/>
  <c r="V442" i="32"/>
  <c r="V443" i="32"/>
  <c r="V444" i="32"/>
  <c r="V445" i="32"/>
  <c r="V446" i="32"/>
  <c r="V447" i="32"/>
  <c r="V448" i="32"/>
  <c r="V449" i="32"/>
  <c r="V450" i="32"/>
  <c r="V451" i="32"/>
  <c r="V452" i="32"/>
  <c r="V453" i="32"/>
  <c r="V454" i="32"/>
  <c r="V455" i="32"/>
  <c r="V456" i="32"/>
  <c r="V457" i="32"/>
  <c r="V458" i="32"/>
  <c r="V459" i="32"/>
  <c r="V460" i="32"/>
  <c r="V461" i="32"/>
  <c r="V462" i="32"/>
  <c r="V463" i="32"/>
  <c r="V464" i="32"/>
  <c r="V465" i="32"/>
  <c r="V466" i="32"/>
  <c r="V467" i="32"/>
  <c r="V468" i="32"/>
  <c r="V469" i="32"/>
  <c r="V470" i="32"/>
  <c r="V471" i="32"/>
  <c r="V472" i="32"/>
  <c r="V473" i="32"/>
  <c r="V474" i="32"/>
  <c r="V475" i="32"/>
  <c r="V476" i="32"/>
  <c r="V477" i="32"/>
  <c r="V478" i="32"/>
  <c r="V479" i="32"/>
  <c r="V480" i="32"/>
  <c r="V481" i="32"/>
  <c r="V482" i="32"/>
  <c r="V483" i="32"/>
  <c r="V484" i="32"/>
  <c r="V485" i="32"/>
  <c r="V486" i="32"/>
  <c r="V487" i="32"/>
  <c r="V488" i="32"/>
  <c r="V489" i="32"/>
  <c r="V490" i="32"/>
  <c r="V491" i="32"/>
  <c r="V492" i="32"/>
  <c r="V493" i="32"/>
  <c r="V494" i="32"/>
  <c r="V7" i="32"/>
  <c r="AF4" i="47"/>
  <c r="AF5" i="31"/>
  <c r="AF15" i="31"/>
  <c r="AF14" i="31"/>
  <c r="AF13" i="31"/>
  <c r="AF12" i="31"/>
  <c r="AF11" i="31"/>
  <c r="AF10" i="31"/>
  <c r="AF9" i="31"/>
  <c r="U9" i="45" s="1"/>
  <c r="AF8" i="31"/>
  <c r="U8" i="45" s="1"/>
  <c r="AF7" i="31"/>
  <c r="AF6" i="31"/>
  <c r="AF4" i="31"/>
  <c r="AD8" i="50"/>
  <c r="AE4" i="16"/>
  <c r="AF4" i="32"/>
  <c r="V5" i="45" s="1"/>
  <c r="AF14" i="32"/>
  <c r="V15" i="45" s="1"/>
  <c r="AF13" i="32"/>
  <c r="V14" i="45" s="1"/>
  <c r="AF12" i="32"/>
  <c r="V13" i="45" s="1"/>
  <c r="AF11" i="32"/>
  <c r="V12" i="45" s="1"/>
  <c r="AF10" i="32"/>
  <c r="V11" i="45" s="1"/>
  <c r="AF9" i="32"/>
  <c r="V10" i="45" s="1"/>
  <c r="AF8" i="32"/>
  <c r="V9" i="45" s="1"/>
  <c r="AF7" i="32"/>
  <c r="V8" i="45" s="1"/>
  <c r="AF5" i="32"/>
  <c r="V6" i="45" s="1"/>
  <c r="AF3" i="32"/>
  <c r="AF15" i="50"/>
  <c r="AF14" i="50"/>
  <c r="AF13" i="50"/>
  <c r="AF12" i="50"/>
  <c r="AF11" i="50"/>
  <c r="AF10" i="50"/>
  <c r="AF9" i="50"/>
  <c r="AF8" i="50"/>
  <c r="AF7" i="50"/>
  <c r="AF6" i="50"/>
  <c r="AF5" i="50"/>
  <c r="AF4" i="50"/>
  <c r="AF15" i="46"/>
  <c r="AF14" i="46"/>
  <c r="AF13" i="46"/>
  <c r="AF12" i="46"/>
  <c r="AF11" i="46"/>
  <c r="AF10" i="46"/>
  <c r="AF9" i="46"/>
  <c r="AF8" i="46"/>
  <c r="AF7" i="46"/>
  <c r="AF6" i="46"/>
  <c r="AF5" i="46"/>
  <c r="AF4" i="46"/>
  <c r="AF16" i="28"/>
  <c r="AF15" i="28"/>
  <c r="AF14" i="28"/>
  <c r="AF13" i="28"/>
  <c r="AF12" i="28"/>
  <c r="AF11" i="28"/>
  <c r="AF10" i="28"/>
  <c r="AF9" i="28"/>
  <c r="AF8" i="28"/>
  <c r="AF7" i="28"/>
  <c r="AF6" i="28"/>
  <c r="AF5" i="28"/>
  <c r="AE14" i="27"/>
  <c r="AE13" i="27"/>
  <c r="AE12" i="27"/>
  <c r="AE11" i="27"/>
  <c r="AE10" i="27"/>
  <c r="AE9" i="27"/>
  <c r="AE8" i="27"/>
  <c r="AE7" i="27"/>
  <c r="AE6" i="27"/>
  <c r="AE5" i="27"/>
  <c r="AE4" i="27"/>
  <c r="AE3" i="27"/>
  <c r="AE14" i="42"/>
  <c r="AE13" i="42"/>
  <c r="AE12" i="42"/>
  <c r="AE11" i="42"/>
  <c r="AE10" i="42"/>
  <c r="AE9" i="42"/>
  <c r="AE8" i="42"/>
  <c r="AE7" i="42"/>
  <c r="AE6" i="42"/>
  <c r="AE5" i="42"/>
  <c r="AE4" i="42"/>
  <c r="AE3" i="42"/>
  <c r="AE4" i="25"/>
  <c r="R59" i="45" s="1"/>
  <c r="AE14" i="25"/>
  <c r="R69" i="45" s="1"/>
  <c r="AE13" i="25"/>
  <c r="R68" i="45" s="1"/>
  <c r="AE12" i="25"/>
  <c r="R67" i="45" s="1"/>
  <c r="AE11" i="25"/>
  <c r="R66" i="45" s="1"/>
  <c r="AE10" i="25"/>
  <c r="AE9" i="25"/>
  <c r="R64" i="45" s="1"/>
  <c r="AE8" i="25"/>
  <c r="R63" i="45" s="1"/>
  <c r="AE7" i="25"/>
  <c r="R62" i="45" s="1"/>
  <c r="AE6" i="25"/>
  <c r="AE5" i="25"/>
  <c r="R60" i="45" s="1"/>
  <c r="AE14" i="16"/>
  <c r="AE13" i="16"/>
  <c r="AE12" i="16"/>
  <c r="AE11" i="16"/>
  <c r="AE10" i="16"/>
  <c r="AE9" i="16"/>
  <c r="AE8" i="16"/>
  <c r="AE7" i="16"/>
  <c r="AE6" i="16"/>
  <c r="AE5" i="16"/>
  <c r="AE3" i="16"/>
  <c r="AF6" i="47"/>
  <c r="AF5" i="47"/>
  <c r="AF3" i="47"/>
  <c r="AD3" i="47"/>
  <c r="AD3" i="16"/>
  <c r="V179" i="47"/>
  <c r="V180" i="47"/>
  <c r="V181" i="47"/>
  <c r="V182" i="47"/>
  <c r="V183" i="47"/>
  <c r="V184" i="47"/>
  <c r="V185" i="47"/>
  <c r="V186" i="47"/>
  <c r="V187" i="47"/>
  <c r="V188" i="47"/>
  <c r="V189" i="47"/>
  <c r="V190" i="47"/>
  <c r="V191" i="47"/>
  <c r="V192" i="47"/>
  <c r="V193" i="47"/>
  <c r="V194" i="47"/>
  <c r="V195" i="47"/>
  <c r="V196" i="47"/>
  <c r="V197" i="47"/>
  <c r="V198" i="47"/>
  <c r="V199" i="47"/>
  <c r="V200" i="47"/>
  <c r="V201" i="47"/>
  <c r="V202" i="47"/>
  <c r="V203" i="47"/>
  <c r="V204" i="47"/>
  <c r="V205" i="47"/>
  <c r="V206" i="47"/>
  <c r="V207" i="47"/>
  <c r="V208" i="47"/>
  <c r="V209" i="47"/>
  <c r="V210" i="47"/>
  <c r="V211" i="47"/>
  <c r="V212" i="47"/>
  <c r="V213" i="47"/>
  <c r="V214" i="47"/>
  <c r="V215" i="47"/>
  <c r="V216" i="47"/>
  <c r="V217" i="47"/>
  <c r="V218" i="47"/>
  <c r="V219" i="47"/>
  <c r="V220" i="47"/>
  <c r="V221" i="47"/>
  <c r="V222" i="47"/>
  <c r="V223" i="47"/>
  <c r="V224" i="47"/>
  <c r="V225" i="47"/>
  <c r="V226" i="47"/>
  <c r="V227" i="47"/>
  <c r="V228" i="47"/>
  <c r="V229" i="47"/>
  <c r="V230" i="47"/>
  <c r="V231" i="47"/>
  <c r="V232" i="47"/>
  <c r="V233" i="47"/>
  <c r="V234" i="47"/>
  <c r="V235" i="47"/>
  <c r="V236" i="47"/>
  <c r="V237" i="47"/>
  <c r="V238" i="47"/>
  <c r="V239" i="47"/>
  <c r="V240" i="47"/>
  <c r="V241" i="47"/>
  <c r="V242" i="47"/>
  <c r="V243" i="47"/>
  <c r="V244" i="47"/>
  <c r="V245" i="47"/>
  <c r="V246" i="47"/>
  <c r="V247" i="47"/>
  <c r="V248" i="47"/>
  <c r="V249" i="47"/>
  <c r="V250" i="47"/>
  <c r="V251" i="47"/>
  <c r="V252" i="47"/>
  <c r="V253" i="47"/>
  <c r="V254" i="47"/>
  <c r="V255" i="47"/>
  <c r="V256" i="47"/>
  <c r="V257" i="47"/>
  <c r="V258" i="47"/>
  <c r="V259" i="47"/>
  <c r="V260" i="47"/>
  <c r="V261" i="47"/>
  <c r="V262" i="47"/>
  <c r="V263" i="47"/>
  <c r="V264" i="47"/>
  <c r="V265" i="47"/>
  <c r="V266" i="47"/>
  <c r="V267" i="47"/>
  <c r="V268" i="47"/>
  <c r="V269" i="47"/>
  <c r="V270" i="47"/>
  <c r="V271" i="47"/>
  <c r="V272" i="47"/>
  <c r="V273" i="47"/>
  <c r="V274" i="47"/>
  <c r="V275" i="47"/>
  <c r="V276" i="47"/>
  <c r="V277" i="47"/>
  <c r="V278" i="47"/>
  <c r="V279" i="47"/>
  <c r="V280" i="47"/>
  <c r="V281" i="47"/>
  <c r="V282" i="47"/>
  <c r="V283" i="47"/>
  <c r="V284" i="47"/>
  <c r="V285" i="47"/>
  <c r="V286" i="47"/>
  <c r="V287" i="47"/>
  <c r="V288" i="47"/>
  <c r="V289" i="47"/>
  <c r="V290" i="47"/>
  <c r="V291" i="47"/>
  <c r="V292" i="47"/>
  <c r="V293" i="47"/>
  <c r="V294" i="47"/>
  <c r="V295" i="47"/>
  <c r="V296" i="47"/>
  <c r="V297" i="47"/>
  <c r="V298" i="47"/>
  <c r="V299" i="47"/>
  <c r="V300" i="47"/>
  <c r="V301" i="47"/>
  <c r="V302" i="47"/>
  <c r="V303" i="47"/>
  <c r="V304" i="47"/>
  <c r="V305" i="47"/>
  <c r="V306" i="47"/>
  <c r="V307" i="47"/>
  <c r="V308" i="47"/>
  <c r="V309" i="47"/>
  <c r="V310" i="47"/>
  <c r="V311" i="47"/>
  <c r="V312" i="47"/>
  <c r="V313" i="47"/>
  <c r="V314" i="47"/>
  <c r="V315" i="47"/>
  <c r="V316" i="47"/>
  <c r="V317" i="47"/>
  <c r="V318" i="47"/>
  <c r="V319" i="47"/>
  <c r="V320" i="47"/>
  <c r="V321" i="47"/>
  <c r="V322" i="47"/>
  <c r="V323" i="47"/>
  <c r="V324" i="47"/>
  <c r="V325" i="47"/>
  <c r="V326" i="47"/>
  <c r="V327" i="47"/>
  <c r="V328" i="47"/>
  <c r="V329" i="47"/>
  <c r="V330" i="47"/>
  <c r="V331" i="47"/>
  <c r="V332" i="47"/>
  <c r="V333" i="47"/>
  <c r="V334" i="47"/>
  <c r="V335" i="47"/>
  <c r="V336" i="47"/>
  <c r="V337" i="47"/>
  <c r="V338" i="47"/>
  <c r="V339" i="47"/>
  <c r="V340" i="47"/>
  <c r="V341" i="47"/>
  <c r="V342" i="47"/>
  <c r="V343" i="47"/>
  <c r="V344" i="47"/>
  <c r="V345" i="47"/>
  <c r="V346" i="47"/>
  <c r="V347" i="47"/>
  <c r="V348" i="47"/>
  <c r="V349" i="47"/>
  <c r="V350" i="47"/>
  <c r="V351" i="47"/>
  <c r="V352" i="47"/>
  <c r="V353" i="47"/>
  <c r="V354" i="47"/>
  <c r="V355" i="47"/>
  <c r="V356" i="47"/>
  <c r="V357" i="47"/>
  <c r="V358" i="47"/>
  <c r="V359" i="47"/>
  <c r="V360" i="47"/>
  <c r="V361" i="47"/>
  <c r="V362" i="47"/>
  <c r="V363" i="47"/>
  <c r="V364" i="47"/>
  <c r="V365" i="47"/>
  <c r="V366" i="47"/>
  <c r="V367" i="47"/>
  <c r="V368" i="47"/>
  <c r="V369" i="47"/>
  <c r="V370" i="47"/>
  <c r="V371" i="47"/>
  <c r="V372" i="47"/>
  <c r="V373" i="47"/>
  <c r="V374" i="47"/>
  <c r="V375" i="47"/>
  <c r="V376" i="47"/>
  <c r="V377" i="47"/>
  <c r="V378" i="47"/>
  <c r="V379" i="47"/>
  <c r="V380" i="47"/>
  <c r="V381" i="47"/>
  <c r="V382" i="47"/>
  <c r="V383" i="47"/>
  <c r="V384" i="47"/>
  <c r="V385" i="47"/>
  <c r="V386" i="47"/>
  <c r="V387" i="47"/>
  <c r="V388" i="47"/>
  <c r="V389" i="47"/>
  <c r="V390" i="47"/>
  <c r="V391" i="47"/>
  <c r="V392" i="47"/>
  <c r="V393" i="47"/>
  <c r="V394" i="47"/>
  <c r="V395" i="47"/>
  <c r="V396" i="47"/>
  <c r="V397" i="47"/>
  <c r="V398" i="47"/>
  <c r="V399" i="47"/>
  <c r="V400" i="47"/>
  <c r="V401" i="47"/>
  <c r="V402" i="47"/>
  <c r="V403" i="47"/>
  <c r="V404" i="47"/>
  <c r="V405" i="47"/>
  <c r="V406" i="47"/>
  <c r="V407" i="47"/>
  <c r="V408" i="47"/>
  <c r="V409" i="47"/>
  <c r="V410" i="47"/>
  <c r="V411" i="47"/>
  <c r="V412" i="47"/>
  <c r="V413" i="47"/>
  <c r="V414" i="47"/>
  <c r="V415" i="47"/>
  <c r="V416" i="47"/>
  <c r="V417" i="47"/>
  <c r="V418" i="47"/>
  <c r="V419" i="47"/>
  <c r="V420" i="47"/>
  <c r="V421" i="47"/>
  <c r="V422" i="47"/>
  <c r="V423" i="47"/>
  <c r="V424" i="47"/>
  <c r="V425" i="47"/>
  <c r="V426" i="47"/>
  <c r="V80" i="47"/>
  <c r="V427" i="47"/>
  <c r="V428" i="47"/>
  <c r="V429" i="47"/>
  <c r="R65" i="45" l="1"/>
  <c r="S8" i="45"/>
  <c r="R61" i="45"/>
  <c r="S14" i="45"/>
  <c r="S5" i="45"/>
  <c r="S15" i="45"/>
  <c r="S11" i="45"/>
  <c r="S6" i="45"/>
  <c r="S12" i="45"/>
  <c r="S4" i="45"/>
  <c r="S7" i="45"/>
  <c r="S9" i="45"/>
  <c r="S10" i="45"/>
  <c r="S13" i="45"/>
  <c r="T15" i="45"/>
  <c r="R85" i="45"/>
  <c r="R86" i="45"/>
  <c r="R91" i="45"/>
  <c r="R94" i="45"/>
  <c r="R87" i="45"/>
  <c r="R92" i="45"/>
  <c r="R88" i="45"/>
  <c r="R95" i="45"/>
  <c r="R89" i="45"/>
  <c r="R93" i="45"/>
  <c r="R90" i="45"/>
  <c r="S59" i="45"/>
  <c r="S60" i="45"/>
  <c r="S62" i="45"/>
  <c r="S63" i="45"/>
  <c r="S64" i="45"/>
  <c r="S67" i="45"/>
  <c r="S68" i="45"/>
  <c r="S65" i="45"/>
  <c r="S69" i="45"/>
  <c r="S61" i="45"/>
  <c r="S66" i="45"/>
  <c r="Q90" i="45"/>
  <c r="T68" i="45"/>
  <c r="Q81" i="45"/>
  <c r="S81" i="45"/>
  <c r="S95" i="45"/>
  <c r="Q91" i="45"/>
  <c r="T69" i="45"/>
  <c r="Q82" i="45"/>
  <c r="S82" i="45"/>
  <c r="S85" i="45"/>
  <c r="Q92" i="45"/>
  <c r="V4" i="45"/>
  <c r="T59" i="45"/>
  <c r="Q72" i="45"/>
  <c r="S72" i="45"/>
  <c r="S86" i="45"/>
  <c r="T60" i="45"/>
  <c r="Q73" i="45"/>
  <c r="S73" i="45"/>
  <c r="S87" i="45"/>
  <c r="Q85" i="45"/>
  <c r="T61" i="45"/>
  <c r="Q74" i="45"/>
  <c r="S74" i="45"/>
  <c r="S88" i="45"/>
  <c r="T62" i="45"/>
  <c r="Q75" i="45"/>
  <c r="S75" i="45"/>
  <c r="S89" i="45"/>
  <c r="T63" i="45"/>
  <c r="Q76" i="45"/>
  <c r="S76" i="45"/>
  <c r="S90" i="45"/>
  <c r="Q86" i="45"/>
  <c r="T64" i="45"/>
  <c r="S77" i="45"/>
  <c r="S91" i="45"/>
  <c r="Q87" i="45"/>
  <c r="T65" i="45"/>
  <c r="Q78" i="45"/>
  <c r="S78" i="45"/>
  <c r="S92" i="45"/>
  <c r="Q88" i="45"/>
  <c r="T66" i="45"/>
  <c r="Q79" i="45"/>
  <c r="S79" i="45"/>
  <c r="S93" i="45"/>
  <c r="Q89" i="45"/>
  <c r="T67" i="45"/>
  <c r="Q80" i="45"/>
  <c r="S80" i="45"/>
  <c r="S94" i="45"/>
  <c r="AF3" i="16"/>
  <c r="Q60" i="45"/>
  <c r="Q64" i="45"/>
  <c r="Q65" i="45"/>
  <c r="Q66" i="45"/>
  <c r="Q67" i="45"/>
  <c r="Q68" i="45"/>
  <c r="Q69" i="45"/>
  <c r="Q59" i="45"/>
  <c r="Q61" i="45"/>
  <c r="Q63" i="45"/>
  <c r="Q62" i="45"/>
  <c r="Q77" i="45"/>
  <c r="R74" i="45"/>
  <c r="R75" i="45"/>
  <c r="R76" i="45"/>
  <c r="R77" i="45"/>
  <c r="R78" i="45"/>
  <c r="R79" i="45"/>
  <c r="R80" i="45"/>
  <c r="R81" i="45"/>
  <c r="R82" i="45"/>
  <c r="R72" i="45"/>
  <c r="R73" i="45"/>
  <c r="T4" i="45"/>
  <c r="T5" i="45"/>
  <c r="T6" i="45"/>
  <c r="T7" i="45"/>
  <c r="T8" i="45"/>
  <c r="T9" i="45"/>
  <c r="T10" i="45"/>
  <c r="T11" i="45"/>
  <c r="T12" i="45"/>
  <c r="T13" i="45"/>
  <c r="T14" i="45"/>
  <c r="A23" i="50"/>
  <c r="A18" i="50"/>
  <c r="A89" i="50"/>
  <c r="A24" i="50"/>
  <c r="A109" i="50"/>
  <c r="A110" i="50"/>
  <c r="A111" i="50"/>
  <c r="A39" i="50"/>
  <c r="A56" i="50"/>
  <c r="A96" i="50"/>
  <c r="A14" i="50"/>
  <c r="A63" i="50"/>
  <c r="A64" i="50"/>
  <c r="A8" i="50"/>
  <c r="A46" i="50"/>
  <c r="A47" i="50"/>
  <c r="A67" i="50"/>
  <c r="A76" i="50"/>
  <c r="A57" i="50"/>
  <c r="A98" i="50"/>
  <c r="A85" i="50"/>
  <c r="A65" i="50"/>
  <c r="A99" i="50"/>
  <c r="A50" i="50"/>
  <c r="A12" i="50"/>
  <c r="A19" i="50"/>
  <c r="A61" i="50"/>
  <c r="A62" i="50"/>
  <c r="A78" i="50"/>
  <c r="A115" i="50"/>
  <c r="A119" i="50"/>
  <c r="A118" i="50"/>
  <c r="A37" i="50"/>
  <c r="A38" i="50"/>
  <c r="A51" i="50"/>
  <c r="A52" i="50"/>
  <c r="A101" i="50"/>
  <c r="A10" i="50"/>
  <c r="A80" i="50"/>
  <c r="A79" i="50"/>
  <c r="A74" i="50"/>
  <c r="A69" i="50"/>
  <c r="A66" i="50"/>
  <c r="A13" i="50"/>
  <c r="A11" i="50"/>
  <c r="A9" i="50"/>
  <c r="A72" i="50"/>
  <c r="A117" i="50"/>
  <c r="A31" i="50"/>
  <c r="A32" i="50"/>
  <c r="A33" i="50"/>
  <c r="A34" i="50"/>
  <c r="A35" i="50"/>
  <c r="A36" i="50"/>
  <c r="A53" i="50"/>
  <c r="A44" i="50"/>
  <c r="A73" i="50"/>
  <c r="A108" i="50"/>
  <c r="A71" i="50"/>
  <c r="A103" i="50"/>
  <c r="A58" i="50"/>
  <c r="A68" i="50"/>
  <c r="A116" i="50"/>
  <c r="A88" i="50"/>
  <c r="A94" i="50"/>
  <c r="A112" i="50"/>
  <c r="A81" i="50"/>
  <c r="A107" i="50"/>
  <c r="A97" i="50"/>
  <c r="A75" i="50"/>
  <c r="A45" i="50"/>
  <c r="A49" i="50"/>
  <c r="A90" i="50"/>
  <c r="A54" i="50"/>
  <c r="A16" i="50"/>
  <c r="A84" i="50"/>
  <c r="A83" i="50"/>
  <c r="A95" i="50"/>
  <c r="A55" i="50"/>
  <c r="A113" i="50"/>
  <c r="A100" i="50"/>
  <c r="A59" i="50"/>
  <c r="A106" i="50"/>
  <c r="A114" i="50"/>
  <c r="A93" i="50"/>
  <c r="A40" i="50"/>
  <c r="A41" i="50"/>
  <c r="A42" i="50"/>
  <c r="A43" i="50"/>
  <c r="A86" i="50"/>
  <c r="A120" i="50"/>
  <c r="A121" i="50"/>
  <c r="A122" i="50"/>
  <c r="A123" i="50"/>
  <c r="A124" i="50"/>
  <c r="A125" i="50"/>
  <c r="A126" i="50"/>
  <c r="A127" i="50"/>
  <c r="A128" i="50"/>
  <c r="A129" i="50"/>
  <c r="A130" i="50"/>
  <c r="A131" i="50"/>
  <c r="A132" i="50"/>
  <c r="A133" i="50"/>
  <c r="A134" i="50"/>
  <c r="A135" i="50"/>
  <c r="A136" i="50"/>
  <c r="A137" i="50"/>
  <c r="A138" i="50"/>
  <c r="A139" i="50"/>
  <c r="A140" i="50"/>
  <c r="A141" i="50"/>
  <c r="A142" i="50"/>
  <c r="A143" i="50"/>
  <c r="A144" i="50"/>
  <c r="A145" i="50"/>
  <c r="A146" i="50"/>
  <c r="A147" i="50"/>
  <c r="A148" i="50"/>
  <c r="A149" i="50"/>
  <c r="A150" i="50"/>
  <c r="A151" i="50"/>
  <c r="A152" i="50"/>
  <c r="A153" i="50"/>
  <c r="A154" i="50"/>
  <c r="A155" i="50"/>
  <c r="A156" i="50"/>
  <c r="A157" i="50"/>
  <c r="A158" i="50"/>
  <c r="A159" i="50"/>
  <c r="A160" i="50"/>
  <c r="A161" i="50"/>
  <c r="A162" i="50"/>
  <c r="A163" i="50"/>
  <c r="A164" i="50"/>
  <c r="A165" i="50"/>
  <c r="A166" i="50"/>
  <c r="A167" i="50"/>
  <c r="A168" i="50"/>
  <c r="A169" i="50"/>
  <c r="A170" i="50"/>
  <c r="A171" i="50"/>
  <c r="A172" i="50"/>
  <c r="A173" i="50"/>
  <c r="A174" i="50"/>
  <c r="A175" i="50"/>
  <c r="A176" i="50"/>
  <c r="A177" i="50"/>
  <c r="A178" i="50"/>
  <c r="A179" i="50"/>
  <c r="A180" i="50"/>
  <c r="A181" i="50"/>
  <c r="A182" i="50"/>
  <c r="A183" i="50"/>
  <c r="A184" i="50"/>
  <c r="A185" i="50"/>
  <c r="A186" i="50"/>
  <c r="A187" i="50"/>
  <c r="A188" i="50"/>
  <c r="A189" i="50"/>
  <c r="A190" i="50"/>
  <c r="A191" i="50"/>
  <c r="A192" i="50"/>
  <c r="A193" i="50"/>
  <c r="A194" i="50"/>
  <c r="A195" i="50"/>
  <c r="A196" i="50"/>
  <c r="A197" i="50"/>
  <c r="A198" i="50"/>
  <c r="A199" i="50"/>
  <c r="A200" i="50"/>
  <c r="A201" i="50"/>
  <c r="A202" i="50"/>
  <c r="A203" i="50"/>
  <c r="A204" i="50"/>
  <c r="A205" i="50"/>
  <c r="A206" i="50"/>
  <c r="A207" i="50"/>
  <c r="A208" i="50"/>
  <c r="A209" i="50"/>
  <c r="A210" i="50"/>
  <c r="A211" i="50"/>
  <c r="A212" i="50"/>
  <c r="A213" i="50"/>
  <c r="A214" i="50"/>
  <c r="A215" i="50"/>
  <c r="A216" i="50"/>
  <c r="A217" i="50"/>
  <c r="A218" i="50"/>
  <c r="A219" i="50"/>
  <c r="A220" i="50"/>
  <c r="A221" i="50"/>
  <c r="A222" i="50"/>
  <c r="A223" i="50"/>
  <c r="A224" i="50"/>
  <c r="A225" i="50"/>
  <c r="A226" i="50"/>
  <c r="A227" i="50"/>
  <c r="A228" i="50"/>
  <c r="A229" i="50"/>
  <c r="A230" i="50"/>
  <c r="A231" i="50"/>
  <c r="A232" i="50"/>
  <c r="A233" i="50"/>
  <c r="A234" i="50"/>
  <c r="A235" i="50"/>
  <c r="A236" i="50"/>
  <c r="A237" i="50"/>
  <c r="A238" i="50"/>
  <c r="A239" i="50"/>
  <c r="A240" i="50"/>
  <c r="A241" i="50"/>
  <c r="A242" i="50"/>
  <c r="A243" i="50"/>
  <c r="A244" i="50"/>
  <c r="A245" i="50"/>
  <c r="A246" i="50"/>
  <c r="A247" i="50"/>
  <c r="A248" i="50"/>
  <c r="A249" i="50"/>
  <c r="A250" i="50"/>
  <c r="A251" i="50"/>
  <c r="A252" i="50"/>
  <c r="A253" i="50"/>
  <c r="A254" i="50"/>
  <c r="A255" i="50"/>
  <c r="A256" i="50"/>
  <c r="A257" i="50"/>
  <c r="A258" i="50"/>
  <c r="A259" i="50"/>
  <c r="A260" i="50"/>
  <c r="A261" i="50"/>
  <c r="A262" i="50"/>
  <c r="A263" i="50"/>
  <c r="A264" i="50"/>
  <c r="A265" i="50"/>
  <c r="A266" i="50"/>
  <c r="A267" i="50"/>
  <c r="A268" i="50"/>
  <c r="A269" i="50"/>
  <c r="A270" i="50"/>
  <c r="A271" i="50"/>
  <c r="A272" i="50"/>
  <c r="A273" i="50"/>
  <c r="A274" i="50"/>
  <c r="A275" i="50"/>
  <c r="A276" i="50"/>
  <c r="A277" i="50"/>
  <c r="A278" i="50"/>
  <c r="A279" i="50"/>
  <c r="A280" i="50"/>
  <c r="A281" i="50"/>
  <c r="A282" i="50"/>
  <c r="A283" i="50"/>
  <c r="A284" i="50"/>
  <c r="A285" i="50"/>
  <c r="A286" i="50"/>
  <c r="A287" i="50"/>
  <c r="A288" i="50"/>
  <c r="A289" i="50"/>
  <c r="A290" i="50"/>
  <c r="A291" i="50"/>
  <c r="A292" i="50"/>
  <c r="A293" i="50"/>
  <c r="A294" i="50"/>
  <c r="A295" i="50"/>
  <c r="A296" i="50"/>
  <c r="A297" i="50"/>
  <c r="A298" i="50"/>
  <c r="A299" i="50"/>
  <c r="A300" i="50"/>
  <c r="A301" i="50"/>
  <c r="A302" i="50"/>
  <c r="A303" i="50"/>
  <c r="A304" i="50"/>
  <c r="A305" i="50"/>
  <c r="A306" i="50"/>
  <c r="A307" i="50"/>
  <c r="A308" i="50"/>
  <c r="A309" i="50"/>
  <c r="A310" i="50"/>
  <c r="A311" i="50"/>
  <c r="A312" i="50"/>
  <c r="A313" i="50"/>
  <c r="A314" i="50"/>
  <c r="A315" i="50"/>
  <c r="A316" i="50"/>
  <c r="A317" i="50"/>
  <c r="A318" i="50"/>
  <c r="A319" i="50"/>
  <c r="A320" i="50"/>
  <c r="A321" i="50"/>
  <c r="A322" i="50"/>
  <c r="A323" i="50"/>
  <c r="A324" i="50"/>
  <c r="A325" i="50"/>
  <c r="A326" i="50"/>
  <c r="A327" i="50"/>
  <c r="A328" i="50"/>
  <c r="A329" i="50"/>
  <c r="A330" i="50"/>
  <c r="A331" i="50"/>
  <c r="A332" i="50"/>
  <c r="A333" i="50"/>
  <c r="A334" i="50"/>
  <c r="A335" i="50"/>
  <c r="A336" i="50"/>
  <c r="A337" i="50"/>
  <c r="A338" i="50"/>
  <c r="A339" i="50"/>
  <c r="A340" i="50"/>
  <c r="A341" i="50"/>
  <c r="A342" i="50"/>
  <c r="A343" i="50"/>
  <c r="A344" i="50"/>
  <c r="A345" i="50"/>
  <c r="A346" i="50"/>
  <c r="A347" i="50"/>
  <c r="A348" i="50"/>
  <c r="A349" i="50"/>
  <c r="A350" i="50"/>
  <c r="A351" i="50"/>
  <c r="A352" i="50"/>
  <c r="A353" i="50"/>
  <c r="A354" i="50"/>
  <c r="A355" i="50"/>
  <c r="A356" i="50"/>
  <c r="A357" i="50"/>
  <c r="A358" i="50"/>
  <c r="A359" i="50"/>
  <c r="A360" i="50"/>
  <c r="A361" i="50"/>
  <c r="A362" i="50"/>
  <c r="A363" i="50"/>
  <c r="A364" i="50"/>
  <c r="A365" i="50"/>
  <c r="A366" i="50"/>
  <c r="A367" i="50"/>
  <c r="A368" i="50"/>
  <c r="A369" i="50"/>
  <c r="A370" i="50"/>
  <c r="A371" i="50"/>
  <c r="A372" i="50"/>
  <c r="A373" i="50"/>
  <c r="A374" i="50"/>
  <c r="A375" i="50"/>
  <c r="A376" i="50"/>
  <c r="A377" i="50"/>
  <c r="A378" i="50"/>
  <c r="A379" i="50"/>
  <c r="A380" i="50"/>
  <c r="A381" i="50"/>
  <c r="A382" i="50"/>
  <c r="A383" i="50"/>
  <c r="A384" i="50"/>
  <c r="A385" i="50"/>
  <c r="A386" i="50"/>
  <c r="A387" i="50"/>
  <c r="A388" i="50"/>
  <c r="A389" i="50"/>
  <c r="A390" i="50"/>
  <c r="A391" i="50"/>
  <c r="A392" i="50"/>
  <c r="A393" i="50"/>
  <c r="A394" i="50"/>
  <c r="A395" i="50"/>
  <c r="A396" i="50"/>
  <c r="A397" i="50"/>
  <c r="A398" i="50"/>
  <c r="A399" i="50"/>
  <c r="A400" i="50"/>
  <c r="A401" i="50"/>
  <c r="A402" i="50"/>
  <c r="A403" i="50"/>
  <c r="A404" i="50"/>
  <c r="A405" i="50"/>
  <c r="A406" i="50"/>
  <c r="A407" i="50"/>
  <c r="A408" i="50"/>
  <c r="A409" i="50"/>
  <c r="A410" i="50"/>
  <c r="A411" i="50"/>
  <c r="A412" i="50"/>
  <c r="A413" i="50"/>
  <c r="A414" i="50"/>
  <c r="A415" i="50"/>
  <c r="A416" i="50"/>
  <c r="A417" i="50"/>
  <c r="A418" i="50"/>
  <c r="A419" i="50"/>
  <c r="A420" i="50"/>
  <c r="A421" i="50"/>
  <c r="A422" i="50"/>
  <c r="A423" i="50"/>
  <c r="A424" i="50"/>
  <c r="A425" i="50"/>
  <c r="A426" i="50"/>
  <c r="A427" i="50"/>
  <c r="A428" i="50"/>
  <c r="A429" i="50"/>
  <c r="A430" i="50"/>
  <c r="A431" i="50"/>
  <c r="A432" i="50"/>
  <c r="A433" i="50"/>
  <c r="A434" i="50"/>
  <c r="A435" i="50"/>
  <c r="A436" i="50"/>
  <c r="A437" i="50"/>
  <c r="A438" i="50"/>
  <c r="A439" i="50"/>
  <c r="A440" i="50"/>
  <c r="A441" i="50"/>
  <c r="A442" i="50"/>
  <c r="A443" i="50"/>
  <c r="A444" i="50"/>
  <c r="A445" i="50"/>
  <c r="AD16" i="28"/>
  <c r="AD15" i="28"/>
  <c r="AD14" i="28"/>
  <c r="AD13" i="28"/>
  <c r="AD12" i="28"/>
  <c r="AD11" i="28"/>
  <c r="AD10" i="28"/>
  <c r="AD9" i="28"/>
  <c r="AD8" i="28"/>
  <c r="AD7" i="28"/>
  <c r="R8" i="45" l="1"/>
  <c r="U93" i="45"/>
  <c r="U95" i="45"/>
  <c r="U88" i="45"/>
  <c r="U94" i="45"/>
  <c r="U59" i="45"/>
  <c r="U73" i="45"/>
  <c r="U92" i="45"/>
  <c r="U85" i="45"/>
  <c r="U89" i="45"/>
  <c r="U68" i="45"/>
  <c r="U82" i="45"/>
  <c r="U61" i="45"/>
  <c r="U87" i="45"/>
  <c r="U91" i="45"/>
  <c r="U76" i="45"/>
  <c r="U67" i="45"/>
  <c r="U86" i="45"/>
  <c r="U72" i="45"/>
  <c r="U60" i="45"/>
  <c r="U90" i="45"/>
  <c r="U74" i="45"/>
  <c r="U81" i="45"/>
  <c r="U66" i="45"/>
  <c r="U80" i="45"/>
  <c r="U62" i="45"/>
  <c r="U75" i="45"/>
  <c r="U79" i="45"/>
  <c r="U78" i="45"/>
  <c r="U65" i="45"/>
  <c r="U64" i="45"/>
  <c r="U63" i="45"/>
  <c r="U69" i="45"/>
  <c r="U77" i="45"/>
  <c r="V402" i="31"/>
  <c r="V401" i="31"/>
  <c r="V400" i="31"/>
  <c r="V399" i="31"/>
  <c r="V383" i="31"/>
  <c r="V382" i="31"/>
  <c r="V381" i="31"/>
  <c r="V380" i="31"/>
  <c r="V379" i="31"/>
  <c r="V378" i="31"/>
  <c r="V377" i="31"/>
  <c r="V376" i="31"/>
  <c r="V375" i="31"/>
  <c r="V374" i="31"/>
  <c r="V373" i="31"/>
  <c r="V372" i="31"/>
  <c r="V371" i="31"/>
  <c r="V370" i="31"/>
  <c r="V369" i="31"/>
  <c r="V368" i="31"/>
  <c r="V367" i="31"/>
  <c r="V366" i="31"/>
  <c r="V365" i="31"/>
  <c r="V364" i="31"/>
  <c r="V363" i="31"/>
  <c r="V362" i="31"/>
  <c r="V361" i="31"/>
  <c r="V360" i="31"/>
  <c r="V359" i="31"/>
  <c r="V358" i="31"/>
  <c r="V357" i="31"/>
  <c r="V356" i="31"/>
  <c r="V355" i="31"/>
  <c r="V354" i="31"/>
  <c r="V353" i="31"/>
  <c r="V352" i="31"/>
  <c r="V351" i="31"/>
  <c r="V350" i="31"/>
  <c r="V349" i="31"/>
  <c r="V348" i="31"/>
  <c r="V347" i="31"/>
  <c r="V346" i="31"/>
  <c r="V345" i="31"/>
  <c r="V344" i="31"/>
  <c r="V343" i="31"/>
  <c r="V342" i="31"/>
  <c r="V341" i="31"/>
  <c r="V340" i="31"/>
  <c r="V339" i="31"/>
  <c r="V338" i="31"/>
  <c r="V337" i="31"/>
  <c r="V336" i="31"/>
  <c r="V335" i="31"/>
  <c r="V334" i="31"/>
  <c r="V333" i="31"/>
  <c r="V332" i="31"/>
  <c r="V331" i="31"/>
  <c r="V330" i="31"/>
  <c r="V329" i="31"/>
  <c r="V328" i="31"/>
  <c r="V327" i="31"/>
  <c r="V326" i="31"/>
  <c r="V325" i="31"/>
  <c r="V324" i="31"/>
  <c r="V323" i="31"/>
  <c r="V322" i="31"/>
  <c r="V321" i="31"/>
  <c r="V320" i="31"/>
  <c r="V319" i="31"/>
  <c r="V318" i="31"/>
  <c r="V317" i="31"/>
  <c r="V316" i="31"/>
  <c r="V315" i="31"/>
  <c r="V314" i="31"/>
  <c r="V313" i="31"/>
  <c r="V312" i="31"/>
  <c r="V311" i="31"/>
  <c r="V310" i="31"/>
  <c r="V309" i="31"/>
  <c r="V308" i="31"/>
  <c r="V307" i="31"/>
  <c r="V306" i="31"/>
  <c r="V305" i="31"/>
  <c r="V304" i="31"/>
  <c r="V303" i="31"/>
  <c r="V302" i="31"/>
  <c r="V301" i="31"/>
  <c r="V300" i="31"/>
  <c r="V299" i="31"/>
  <c r="V298" i="31"/>
  <c r="V297" i="31"/>
  <c r="V296" i="31"/>
  <c r="V295" i="31"/>
  <c r="V294" i="31"/>
  <c r="V293" i="31"/>
  <c r="V292" i="31"/>
  <c r="V291" i="31"/>
  <c r="V290" i="31"/>
  <c r="V289" i="31"/>
  <c r="V288" i="31"/>
  <c r="V287" i="31"/>
  <c r="V286" i="31"/>
  <c r="V285" i="31"/>
  <c r="V284" i="31"/>
  <c r="V283" i="31"/>
  <c r="V282" i="31"/>
  <c r="V281" i="31"/>
  <c r="V280" i="31"/>
  <c r="V279" i="31"/>
  <c r="V278" i="31"/>
  <c r="V277" i="31"/>
  <c r="V276" i="31"/>
  <c r="V275" i="31"/>
  <c r="V274" i="31"/>
  <c r="V273" i="31"/>
  <c r="V272" i="31"/>
  <c r="V271" i="31"/>
  <c r="V270" i="31"/>
  <c r="V269" i="31"/>
  <c r="V268" i="31"/>
  <c r="V267" i="31"/>
  <c r="V266" i="31"/>
  <c r="V265" i="31"/>
  <c r="V264" i="31"/>
  <c r="V263" i="31"/>
  <c r="V262" i="31"/>
  <c r="V261" i="31"/>
  <c r="V260" i="31"/>
  <c r="V259" i="31"/>
  <c r="V258" i="31"/>
  <c r="V257" i="31"/>
  <c r="V256" i="31"/>
  <c r="V255" i="31"/>
  <c r="V254" i="31"/>
  <c r="V253" i="31"/>
  <c r="V252" i="31"/>
  <c r="V251" i="31"/>
  <c r="V250" i="31"/>
  <c r="V249" i="31"/>
  <c r="V248" i="31"/>
  <c r="V247" i="31"/>
  <c r="V246" i="31"/>
  <c r="V245" i="31"/>
  <c r="V244" i="31"/>
  <c r="V243" i="31"/>
  <c r="V242" i="31"/>
  <c r="V241" i="31"/>
  <c r="V240" i="31"/>
  <c r="V239" i="31"/>
  <c r="V238" i="31"/>
  <c r="V237" i="31"/>
  <c r="V236" i="31"/>
  <c r="V235" i="31"/>
  <c r="V234" i="31"/>
  <c r="V233" i="31"/>
  <c r="V232" i="31"/>
  <c r="V231" i="31"/>
  <c r="V230" i="31"/>
  <c r="V229" i="31"/>
  <c r="V228" i="31"/>
  <c r="V227" i="31"/>
  <c r="V226" i="31"/>
  <c r="V225" i="31"/>
  <c r="V224" i="31"/>
  <c r="V223" i="31"/>
  <c r="V222" i="31"/>
  <c r="V221" i="31"/>
  <c r="V220" i="31"/>
  <c r="V219" i="31"/>
  <c r="V218" i="31"/>
  <c r="V217" i="31"/>
  <c r="V216" i="31"/>
  <c r="V215" i="31"/>
  <c r="V214" i="31"/>
  <c r="V213" i="31"/>
  <c r="V212" i="31"/>
  <c r="V211" i="31"/>
  <c r="V210" i="31"/>
  <c r="V209" i="31"/>
  <c r="V208" i="31"/>
  <c r="V207" i="31"/>
  <c r="V206" i="31"/>
  <c r="V205" i="31"/>
  <c r="V204" i="31"/>
  <c r="V203" i="31"/>
  <c r="V202" i="31"/>
  <c r="V201" i="31"/>
  <c r="V200" i="31"/>
  <c r="V199" i="31"/>
  <c r="V198" i="31"/>
  <c r="V197" i="31"/>
  <c r="V412" i="46"/>
  <c r="V411" i="46"/>
  <c r="V410" i="46"/>
  <c r="V409" i="46"/>
  <c r="V408" i="46"/>
  <c r="V407" i="46"/>
  <c r="V406" i="46"/>
  <c r="V405" i="46"/>
  <c r="V404" i="46"/>
  <c r="V403" i="46"/>
  <c r="V402" i="46"/>
  <c r="V401" i="46"/>
  <c r="V400" i="46"/>
  <c r="V399" i="46"/>
  <c r="V398" i="46"/>
  <c r="V397" i="46"/>
  <c r="V396" i="46"/>
  <c r="V395" i="46"/>
  <c r="V394" i="46"/>
  <c r="V393" i="46"/>
  <c r="V392" i="46"/>
  <c r="V391" i="46"/>
  <c r="V390" i="46"/>
  <c r="V389" i="46"/>
  <c r="V388" i="46"/>
  <c r="V387" i="46"/>
  <c r="V386" i="46"/>
  <c r="V385" i="46"/>
  <c r="V384" i="46"/>
  <c r="V346" i="46"/>
  <c r="V340" i="46"/>
  <c r="V319" i="46"/>
  <c r="V282" i="46"/>
  <c r="V4" i="16"/>
  <c r="V384" i="16"/>
  <c r="V385" i="16"/>
  <c r="V386" i="16"/>
  <c r="V387" i="16"/>
  <c r="V388" i="16"/>
  <c r="V389" i="16"/>
  <c r="V390" i="16"/>
  <c r="V391" i="16"/>
  <c r="V392" i="16"/>
  <c r="V393" i="16"/>
  <c r="V394" i="16"/>
  <c r="V395" i="16"/>
  <c r="V396" i="16"/>
  <c r="V397" i="16"/>
  <c r="V398" i="16"/>
  <c r="V399" i="16"/>
  <c r="V400" i="16"/>
  <c r="V401" i="16"/>
  <c r="V402" i="16"/>
  <c r="V403" i="16"/>
  <c r="V404" i="16"/>
  <c r="V405" i="16"/>
  <c r="V406" i="16"/>
  <c r="V407" i="16"/>
  <c r="V408" i="16"/>
  <c r="V409" i="16"/>
  <c r="V410" i="16"/>
  <c r="V411" i="16"/>
  <c r="V412" i="16"/>
  <c r="V413" i="16"/>
  <c r="V414" i="16"/>
  <c r="V415" i="16"/>
  <c r="V416" i="16"/>
  <c r="V417" i="16"/>
  <c r="V418" i="16"/>
  <c r="V419" i="16"/>
  <c r="V5" i="16" l="1"/>
  <c r="AC14" i="45"/>
  <c r="AC6" i="45"/>
  <c r="AC10" i="45"/>
  <c r="AC16" i="45"/>
  <c r="AC7" i="45"/>
  <c r="AC15" i="45"/>
  <c r="AC13" i="45"/>
  <c r="AC8" i="45"/>
  <c r="AC9" i="45"/>
  <c r="AC12" i="45"/>
  <c r="AC11" i="45"/>
  <c r="AE15" i="31"/>
  <c r="AD15" i="31"/>
  <c r="AE14" i="31"/>
  <c r="D60" i="45" s="1"/>
  <c r="AD14" i="31"/>
  <c r="C60" i="45" s="1"/>
  <c r="AE13" i="31"/>
  <c r="AD13" i="31"/>
  <c r="AE12" i="31"/>
  <c r="AG12" i="31" s="1"/>
  <c r="AD12" i="31"/>
  <c r="U12" i="45" s="1"/>
  <c r="R12" i="45" s="1"/>
  <c r="AE11" i="31"/>
  <c r="AG11" i="31" s="1"/>
  <c r="AD11" i="31"/>
  <c r="U11" i="45" s="1"/>
  <c r="AE10" i="31"/>
  <c r="AG10" i="31" s="1"/>
  <c r="AD10" i="31"/>
  <c r="AE9" i="31"/>
  <c r="AG9" i="31" s="1"/>
  <c r="AD9" i="31"/>
  <c r="R9" i="45" s="1"/>
  <c r="AE8" i="31"/>
  <c r="AG8" i="31" s="1"/>
  <c r="AD8" i="31"/>
  <c r="AE7" i="31"/>
  <c r="AG7" i="31" s="1"/>
  <c r="AD7" i="31"/>
  <c r="U7" i="45" s="1"/>
  <c r="R7" i="45" s="1"/>
  <c r="AE6" i="31"/>
  <c r="AG6" i="31" s="1"/>
  <c r="AD6" i="31"/>
  <c r="U6" i="45" s="1"/>
  <c r="R6" i="45" s="1"/>
  <c r="AE5" i="31"/>
  <c r="AG5" i="31" s="1"/>
  <c r="AD5" i="31"/>
  <c r="U5" i="45" s="1"/>
  <c r="R5" i="45" s="1"/>
  <c r="AE4" i="31"/>
  <c r="AG4" i="31" s="1"/>
  <c r="AD4" i="31"/>
  <c r="U4" i="45" s="1"/>
  <c r="R4" i="45" s="1"/>
  <c r="V428" i="46"/>
  <c r="V429" i="46"/>
  <c r="V430" i="46"/>
  <c r="V431" i="46"/>
  <c r="V443" i="50"/>
  <c r="V444" i="50"/>
  <c r="V445" i="50"/>
  <c r="V495" i="32"/>
  <c r="V496" i="32"/>
  <c r="V497" i="32"/>
  <c r="V498" i="32"/>
  <c r="V499" i="32"/>
  <c r="V500" i="32"/>
  <c r="V205" i="27"/>
  <c r="V206" i="27"/>
  <c r="V207" i="27"/>
  <c r="V208" i="27"/>
  <c r="V209" i="27"/>
  <c r="V210" i="27"/>
  <c r="V211" i="27"/>
  <c r="V212" i="27"/>
  <c r="V213" i="27"/>
  <c r="V214" i="27"/>
  <c r="V215" i="27"/>
  <c r="V216" i="27"/>
  <c r="V217" i="27"/>
  <c r="V218" i="27"/>
  <c r="V219" i="27"/>
  <c r="V220" i="27"/>
  <c r="V221" i="27"/>
  <c r="V222" i="27"/>
  <c r="V223" i="27"/>
  <c r="V224" i="27"/>
  <c r="V225" i="27"/>
  <c r="V226" i="27"/>
  <c r="V227" i="27"/>
  <c r="V228" i="27"/>
  <c r="V229" i="27"/>
  <c r="V230" i="27"/>
  <c r="V231" i="27"/>
  <c r="V232" i="27"/>
  <c r="V233" i="27"/>
  <c r="V234" i="27"/>
  <c r="V235" i="27"/>
  <c r="V236" i="27"/>
  <c r="V237" i="27"/>
  <c r="V238" i="27"/>
  <c r="V239" i="27"/>
  <c r="V240" i="27"/>
  <c r="V241" i="27"/>
  <c r="V242" i="27"/>
  <c r="V243" i="27"/>
  <c r="V244" i="27"/>
  <c r="V245" i="27"/>
  <c r="V246" i="27"/>
  <c r="V247" i="27"/>
  <c r="V248" i="27"/>
  <c r="V249" i="27"/>
  <c r="V250" i="27"/>
  <c r="V251" i="27"/>
  <c r="V252" i="27"/>
  <c r="V253" i="27"/>
  <c r="V254" i="27"/>
  <c r="V255" i="27"/>
  <c r="V256" i="27"/>
  <c r="V257" i="27"/>
  <c r="V258" i="27"/>
  <c r="V259" i="27"/>
  <c r="V260" i="27"/>
  <c r="V261" i="27"/>
  <c r="V262" i="27"/>
  <c r="V263" i="27"/>
  <c r="V264" i="27"/>
  <c r="V265" i="27"/>
  <c r="V266" i="27"/>
  <c r="V267" i="27"/>
  <c r="V268" i="27"/>
  <c r="V269" i="27"/>
  <c r="V270" i="27"/>
  <c r="V271" i="27"/>
  <c r="V272" i="27"/>
  <c r="V273" i="27"/>
  <c r="V274" i="27"/>
  <c r="V275" i="27"/>
  <c r="V276" i="27"/>
  <c r="V277" i="27"/>
  <c r="V278" i="27"/>
  <c r="V279" i="27"/>
  <c r="V280" i="27"/>
  <c r="V281" i="27"/>
  <c r="V282" i="27"/>
  <c r="V283" i="27"/>
  <c r="V284" i="27"/>
  <c r="V285" i="27"/>
  <c r="V286" i="27"/>
  <c r="V287" i="27"/>
  <c r="V288" i="27"/>
  <c r="V289" i="27"/>
  <c r="V290" i="27"/>
  <c r="V291" i="27"/>
  <c r="V292" i="27"/>
  <c r="V293" i="27"/>
  <c r="V294" i="27"/>
  <c r="V295" i="27"/>
  <c r="V296" i="27"/>
  <c r="V297" i="27"/>
  <c r="V298" i="27"/>
  <c r="V299" i="27"/>
  <c r="V300" i="27"/>
  <c r="V301" i="27"/>
  <c r="V302" i="27"/>
  <c r="V303" i="27"/>
  <c r="V304" i="27"/>
  <c r="V305" i="27"/>
  <c r="V306" i="27"/>
  <c r="V307" i="27"/>
  <c r="V308" i="27"/>
  <c r="V309" i="27"/>
  <c r="V310" i="27"/>
  <c r="V311" i="27"/>
  <c r="V312" i="27"/>
  <c r="V313" i="27"/>
  <c r="V314" i="27"/>
  <c r="V315" i="27"/>
  <c r="V316" i="27"/>
  <c r="V317" i="27"/>
  <c r="V318" i="27"/>
  <c r="V319" i="27"/>
  <c r="V320" i="27"/>
  <c r="V321" i="27"/>
  <c r="V322" i="27"/>
  <c r="V323" i="27"/>
  <c r="V324" i="27"/>
  <c r="V325" i="27"/>
  <c r="V326" i="27"/>
  <c r="V327" i="27"/>
  <c r="V328" i="27"/>
  <c r="V329" i="27"/>
  <c r="V330" i="27"/>
  <c r="V331" i="27"/>
  <c r="V332" i="27"/>
  <c r="V333" i="27"/>
  <c r="V334" i="27"/>
  <c r="V335" i="27"/>
  <c r="V336" i="27"/>
  <c r="V337" i="27"/>
  <c r="V338" i="27"/>
  <c r="V339" i="27"/>
  <c r="V340" i="27"/>
  <c r="V341" i="27"/>
  <c r="V342" i="27"/>
  <c r="V343" i="27"/>
  <c r="V344" i="27"/>
  <c r="V345" i="27"/>
  <c r="V346" i="27"/>
  <c r="V347" i="27"/>
  <c r="V348" i="27"/>
  <c r="V349" i="27"/>
  <c r="V350" i="27"/>
  <c r="V351" i="27"/>
  <c r="V352" i="27"/>
  <c r="V353" i="27"/>
  <c r="V354" i="27"/>
  <c r="V355" i="27"/>
  <c r="V356" i="27"/>
  <c r="V357" i="27"/>
  <c r="V358" i="27"/>
  <c r="V359" i="27"/>
  <c r="V360" i="27"/>
  <c r="V361" i="27"/>
  <c r="V362" i="27"/>
  <c r="V363" i="27"/>
  <c r="V364" i="27"/>
  <c r="V365" i="27"/>
  <c r="V366" i="27"/>
  <c r="V367" i="27"/>
  <c r="V368" i="27"/>
  <c r="V369" i="27"/>
  <c r="V370" i="27"/>
  <c r="V371" i="27"/>
  <c r="V372" i="27"/>
  <c r="V373" i="27"/>
  <c r="V374" i="27"/>
  <c r="V375" i="27"/>
  <c r="V376" i="27"/>
  <c r="V377" i="27"/>
  <c r="V378" i="27"/>
  <c r="V379" i="27"/>
  <c r="V380" i="27"/>
  <c r="V381" i="27"/>
  <c r="V382" i="27"/>
  <c r="V383" i="27"/>
  <c r="V384" i="27"/>
  <c r="V385" i="27"/>
  <c r="V386" i="27"/>
  <c r="V387" i="27"/>
  <c r="V388" i="27"/>
  <c r="V389" i="27"/>
  <c r="V390" i="27"/>
  <c r="V391" i="27"/>
  <c r="V392" i="27"/>
  <c r="V393" i="27"/>
  <c r="V394" i="27"/>
  <c r="V395" i="27"/>
  <c r="V396" i="27"/>
  <c r="V397" i="27"/>
  <c r="V398" i="27"/>
  <c r="V399" i="27"/>
  <c r="V400" i="27"/>
  <c r="V401" i="27"/>
  <c r="V402" i="27"/>
  <c r="V403" i="27"/>
  <c r="V404" i="27"/>
  <c r="V405" i="27"/>
  <c r="V406" i="27"/>
  <c r="V407" i="27"/>
  <c r="V408" i="27"/>
  <c r="V409" i="27"/>
  <c r="V410" i="27"/>
  <c r="V411" i="27"/>
  <c r="V412" i="27"/>
  <c r="V413" i="27"/>
  <c r="V232" i="25"/>
  <c r="V233" i="25"/>
  <c r="V234" i="25"/>
  <c r="V235" i="25"/>
  <c r="V236" i="25"/>
  <c r="V237" i="25"/>
  <c r="V238" i="25"/>
  <c r="V239" i="25"/>
  <c r="V240" i="25"/>
  <c r="V241" i="25"/>
  <c r="V242" i="25"/>
  <c r="V243" i="25"/>
  <c r="V244" i="25"/>
  <c r="V245" i="25"/>
  <c r="V246" i="25"/>
  <c r="V247" i="25"/>
  <c r="V248" i="25"/>
  <c r="V249" i="25"/>
  <c r="V250" i="25"/>
  <c r="V251" i="25"/>
  <c r="V252" i="25"/>
  <c r="V253" i="25"/>
  <c r="V254" i="25"/>
  <c r="V255" i="25"/>
  <c r="V256" i="25"/>
  <c r="V257" i="25"/>
  <c r="V258" i="25"/>
  <c r="V259" i="25"/>
  <c r="V260" i="25"/>
  <c r="V261" i="25"/>
  <c r="V262" i="25"/>
  <c r="V263" i="25"/>
  <c r="V264" i="25"/>
  <c r="V265" i="25"/>
  <c r="V266" i="25"/>
  <c r="V267" i="25"/>
  <c r="V268" i="25"/>
  <c r="V269" i="25"/>
  <c r="V270" i="25"/>
  <c r="V271" i="25"/>
  <c r="V272" i="25"/>
  <c r="V273" i="25"/>
  <c r="V274" i="25"/>
  <c r="V275" i="25"/>
  <c r="V276" i="25"/>
  <c r="V277" i="25"/>
  <c r="V278" i="25"/>
  <c r="V279" i="25"/>
  <c r="V280" i="25"/>
  <c r="V281" i="25"/>
  <c r="V282" i="25"/>
  <c r="V283" i="25"/>
  <c r="V284" i="25"/>
  <c r="V285" i="25"/>
  <c r="V286" i="25"/>
  <c r="V287" i="25"/>
  <c r="V288" i="25"/>
  <c r="V289" i="25"/>
  <c r="V290" i="25"/>
  <c r="V291" i="25"/>
  <c r="V292" i="25"/>
  <c r="V293" i="25"/>
  <c r="V294" i="25"/>
  <c r="V295" i="25"/>
  <c r="V296" i="25"/>
  <c r="V297" i="25"/>
  <c r="V298" i="25"/>
  <c r="V299" i="25"/>
  <c r="V300" i="25"/>
  <c r="V301" i="25"/>
  <c r="V302" i="25"/>
  <c r="V303" i="25"/>
  <c r="V304" i="25"/>
  <c r="V305" i="25"/>
  <c r="V306" i="25"/>
  <c r="V307" i="25"/>
  <c r="V308" i="25"/>
  <c r="V309" i="25"/>
  <c r="V310" i="25"/>
  <c r="V311" i="25"/>
  <c r="V312" i="25"/>
  <c r="V313" i="25"/>
  <c r="V314" i="25"/>
  <c r="V315" i="25"/>
  <c r="V316" i="25"/>
  <c r="V317" i="25"/>
  <c r="V318" i="25"/>
  <c r="V319" i="25"/>
  <c r="V320" i="25"/>
  <c r="V321" i="25"/>
  <c r="V322" i="25"/>
  <c r="V323" i="25"/>
  <c r="V324" i="25"/>
  <c r="V325" i="25"/>
  <c r="V326" i="25"/>
  <c r="V327" i="25"/>
  <c r="V328" i="25"/>
  <c r="V329" i="25"/>
  <c r="V330" i="25"/>
  <c r="V331" i="25"/>
  <c r="V332" i="25"/>
  <c r="V333" i="25"/>
  <c r="V334" i="25"/>
  <c r="V335" i="25"/>
  <c r="V336" i="25"/>
  <c r="V337" i="25"/>
  <c r="V338" i="25"/>
  <c r="V339" i="25"/>
  <c r="V340" i="25"/>
  <c r="V341" i="25"/>
  <c r="V342" i="25"/>
  <c r="V343" i="25"/>
  <c r="V344" i="25"/>
  <c r="V345" i="25"/>
  <c r="V346" i="25"/>
  <c r="V347" i="25"/>
  <c r="V348" i="25"/>
  <c r="V349" i="25"/>
  <c r="V350" i="25"/>
  <c r="V351" i="25"/>
  <c r="V352" i="25"/>
  <c r="V353" i="25"/>
  <c r="V354" i="25"/>
  <c r="V355" i="25"/>
  <c r="V356" i="25"/>
  <c r="V357" i="25"/>
  <c r="V358" i="25"/>
  <c r="V359" i="25"/>
  <c r="V360" i="25"/>
  <c r="V361" i="25"/>
  <c r="V362" i="25"/>
  <c r="V363" i="25"/>
  <c r="V364" i="25"/>
  <c r="V365" i="25"/>
  <c r="V366" i="25"/>
  <c r="V367" i="25"/>
  <c r="V368" i="25"/>
  <c r="V369" i="25"/>
  <c r="V370" i="25"/>
  <c r="V371" i="25"/>
  <c r="V372" i="25"/>
  <c r="V373" i="25"/>
  <c r="V374" i="25"/>
  <c r="V375" i="25"/>
  <c r="V376" i="25"/>
  <c r="V377" i="25"/>
  <c r="V378" i="25"/>
  <c r="V379" i="25"/>
  <c r="V380" i="25"/>
  <c r="V381" i="25"/>
  <c r="V382" i="25"/>
  <c r="V383" i="25"/>
  <c r="V384" i="25"/>
  <c r="V385" i="25"/>
  <c r="V386" i="25"/>
  <c r="V387" i="25"/>
  <c r="V388" i="25"/>
  <c r="V389" i="25"/>
  <c r="V390" i="25"/>
  <c r="V391" i="25"/>
  <c r="V392" i="25"/>
  <c r="V393" i="25"/>
  <c r="V394" i="25"/>
  <c r="V395" i="25"/>
  <c r="V396" i="25"/>
  <c r="V397" i="25"/>
  <c r="V398" i="25"/>
  <c r="V399" i="25"/>
  <c r="V400" i="25"/>
  <c r="V401" i="25"/>
  <c r="V402" i="25"/>
  <c r="V403" i="25"/>
  <c r="V404" i="25"/>
  <c r="V405" i="25"/>
  <c r="V406" i="25"/>
  <c r="V407" i="25"/>
  <c r="V408" i="25"/>
  <c r="V409" i="25"/>
  <c r="V410" i="25"/>
  <c r="V411" i="25"/>
  <c r="V412" i="25"/>
  <c r="V413" i="25"/>
  <c r="V414" i="25"/>
  <c r="V415" i="25"/>
  <c r="V416" i="25"/>
  <c r="V417" i="25"/>
  <c r="V418" i="25"/>
  <c r="V419" i="25"/>
  <c r="V420" i="25"/>
  <c r="V421" i="25"/>
  <c r="V422" i="25"/>
  <c r="V423" i="25"/>
  <c r="V424" i="25"/>
  <c r="V425" i="25"/>
  <c r="V426" i="25"/>
  <c r="V427" i="25"/>
  <c r="V428" i="25"/>
  <c r="V429" i="25"/>
  <c r="V430" i="25"/>
  <c r="V431" i="25"/>
  <c r="V432" i="25"/>
  <c r="V433" i="25"/>
  <c r="V434" i="25"/>
  <c r="V435" i="25"/>
  <c r="V436" i="25"/>
  <c r="V437" i="25"/>
  <c r="V438" i="25"/>
  <c r="V439" i="25"/>
  <c r="V440" i="25"/>
  <c r="V441" i="25"/>
  <c r="V442" i="25"/>
  <c r="V443" i="25"/>
  <c r="V444" i="25"/>
  <c r="V445" i="25"/>
  <c r="V446" i="25"/>
  <c r="V447" i="25"/>
  <c r="V448" i="25"/>
  <c r="V449" i="25"/>
  <c r="V450" i="25"/>
  <c r="V451" i="25"/>
  <c r="V452" i="25"/>
  <c r="V453" i="25"/>
  <c r="V454" i="25"/>
  <c r="V455" i="25"/>
  <c r="V456" i="25"/>
  <c r="V457" i="25"/>
  <c r="V458" i="25"/>
  <c r="V459" i="25"/>
  <c r="V460" i="25"/>
  <c r="V461" i="25"/>
  <c r="V462" i="25"/>
  <c r="V463" i="25"/>
  <c r="V464" i="25"/>
  <c r="V465" i="25"/>
  <c r="V466" i="25"/>
  <c r="V467" i="25"/>
  <c r="V468" i="25"/>
  <c r="V469" i="25"/>
  <c r="V470" i="25"/>
  <c r="V471" i="25"/>
  <c r="V472" i="25"/>
  <c r="V473" i="25"/>
  <c r="V474" i="25"/>
  <c r="V475" i="25"/>
  <c r="V476" i="25"/>
  <c r="V477" i="25"/>
  <c r="V478" i="25"/>
  <c r="V479" i="25"/>
  <c r="W6" i="45" l="1"/>
  <c r="Y6" i="45" s="1"/>
  <c r="W9" i="45"/>
  <c r="Y9" i="45" s="1"/>
  <c r="F60" i="45"/>
  <c r="AG14" i="31"/>
  <c r="D61" i="45"/>
  <c r="F61" i="45" s="1"/>
  <c r="AG15" i="31"/>
  <c r="D59" i="45"/>
  <c r="F59" i="45" s="1"/>
  <c r="AG13" i="31"/>
  <c r="U14" i="45"/>
  <c r="R14" i="45" s="1"/>
  <c r="U15" i="45"/>
  <c r="R15" i="45" s="1"/>
  <c r="C61" i="45"/>
  <c r="U13" i="45"/>
  <c r="R13" i="45" s="1"/>
  <c r="C59" i="45"/>
  <c r="AE15" i="50"/>
  <c r="AG15" i="50" s="1"/>
  <c r="AD15" i="50"/>
  <c r="AE14" i="50"/>
  <c r="AG14" i="50" s="1"/>
  <c r="AD14" i="50"/>
  <c r="AE13" i="50"/>
  <c r="AG13" i="50" s="1"/>
  <c r="AD13" i="50"/>
  <c r="AE12" i="50"/>
  <c r="AG12" i="50" s="1"/>
  <c r="AD12" i="50"/>
  <c r="AE11" i="50"/>
  <c r="AG11" i="50" s="1"/>
  <c r="AD11" i="50"/>
  <c r="AE10" i="50"/>
  <c r="AG10" i="50" s="1"/>
  <c r="AD10" i="50"/>
  <c r="AE9" i="50"/>
  <c r="AG9" i="50" s="1"/>
  <c r="AD9" i="50"/>
  <c r="AE8" i="50"/>
  <c r="AG8" i="50" s="1"/>
  <c r="AE7" i="50"/>
  <c r="AG7" i="50" s="1"/>
  <c r="AD7" i="50"/>
  <c r="AE6" i="50"/>
  <c r="AG6" i="50" s="1"/>
  <c r="AD6" i="50"/>
  <c r="AE5" i="50"/>
  <c r="AG5" i="50" s="1"/>
  <c r="AD5" i="50"/>
  <c r="V5" i="50"/>
  <c r="AE4" i="50"/>
  <c r="AG4" i="50" s="1"/>
  <c r="AD4" i="50"/>
  <c r="V4" i="50"/>
  <c r="V3" i="50"/>
  <c r="AC3" i="27"/>
  <c r="AD3" i="27"/>
  <c r="AF3" i="27" s="1"/>
  <c r="AC4" i="27"/>
  <c r="AD4" i="27"/>
  <c r="AF4" i="27" s="1"/>
  <c r="AC5" i="27"/>
  <c r="AD5" i="27"/>
  <c r="AF5" i="27" s="1"/>
  <c r="AC6" i="27"/>
  <c r="AD6" i="27"/>
  <c r="AF6" i="27" s="1"/>
  <c r="AC7" i="27"/>
  <c r="AD7" i="27"/>
  <c r="AF7" i="27" s="1"/>
  <c r="AC8" i="27"/>
  <c r="AC9" i="27"/>
  <c r="AD9" i="27"/>
  <c r="AF9" i="27" s="1"/>
  <c r="AC10" i="27"/>
  <c r="AD10" i="27"/>
  <c r="AF10" i="27" s="1"/>
  <c r="AC11" i="27"/>
  <c r="AD11" i="27"/>
  <c r="AF11" i="27" s="1"/>
  <c r="AC12" i="27"/>
  <c r="AD12" i="27"/>
  <c r="AF12" i="27" s="1"/>
  <c r="AC13" i="27"/>
  <c r="AD13" i="27"/>
  <c r="AF13" i="27" s="1"/>
  <c r="AC14" i="27"/>
  <c r="AD14" i="27"/>
  <c r="AF14" i="27" s="1"/>
  <c r="H460" i="27"/>
  <c r="AD8" i="27"/>
  <c r="AF8" i="27" s="1"/>
  <c r="G452" i="27"/>
  <c r="H452" i="27"/>
  <c r="G453" i="27"/>
  <c r="H453" i="27"/>
  <c r="G454" i="27"/>
  <c r="H454" i="27"/>
  <c r="G455" i="27"/>
  <c r="H455" i="27"/>
  <c r="G458" i="27"/>
  <c r="H458" i="27"/>
  <c r="G459" i="27"/>
  <c r="H459" i="27"/>
  <c r="G460" i="27"/>
  <c r="V480" i="25"/>
  <c r="W15" i="45" l="1"/>
  <c r="Y15" i="45" s="1"/>
  <c r="G457" i="46"/>
  <c r="H457" i="46"/>
  <c r="G458" i="46"/>
  <c r="H458" i="46"/>
  <c r="G459" i="46"/>
  <c r="H459" i="46"/>
  <c r="G451" i="46"/>
  <c r="H451" i="46"/>
  <c r="G452" i="46"/>
  <c r="H452" i="46"/>
  <c r="G453" i="46"/>
  <c r="H453" i="46"/>
  <c r="G454" i="46"/>
  <c r="H454" i="46"/>
  <c r="AC14" i="16" l="1"/>
  <c r="AC13" i="16"/>
  <c r="AC12" i="16"/>
  <c r="AC11" i="16"/>
  <c r="AE4" i="32" l="1"/>
  <c r="AD14" i="16"/>
  <c r="AD13" i="16"/>
  <c r="AD12" i="16"/>
  <c r="AD12" i="25"/>
  <c r="AF12" i="25" s="1"/>
  <c r="AD11" i="16"/>
  <c r="AC10" i="16"/>
  <c r="AC4" i="16"/>
  <c r="AE8" i="28"/>
  <c r="AG8" i="28" s="1"/>
  <c r="AE14" i="28"/>
  <c r="AG14" i="28" s="1"/>
  <c r="AC14" i="25"/>
  <c r="AC13" i="25"/>
  <c r="AC12" i="25"/>
  <c r="AC11" i="25"/>
  <c r="AC10" i="25"/>
  <c r="AC9" i="25"/>
  <c r="AC8" i="25"/>
  <c r="AC5" i="25"/>
  <c r="AC3" i="25"/>
  <c r="AD4" i="25"/>
  <c r="AF4" i="25" s="1"/>
  <c r="AD14" i="25"/>
  <c r="AF14" i="25" s="1"/>
  <c r="AD13" i="25"/>
  <c r="AF13" i="25" s="1"/>
  <c r="AD11" i="25"/>
  <c r="AF11" i="25" s="1"/>
  <c r="AD10" i="25"/>
  <c r="AF10" i="25" s="1"/>
  <c r="AD9" i="25"/>
  <c r="AF9" i="25" s="1"/>
  <c r="AD8" i="25"/>
  <c r="AF8" i="25" s="1"/>
  <c r="AD7" i="25"/>
  <c r="AF7" i="25" s="1"/>
  <c r="AD6" i="25"/>
  <c r="AF6" i="25" s="1"/>
  <c r="AD5" i="25"/>
  <c r="AF5" i="25" s="1"/>
  <c r="AF12" i="16" l="1"/>
  <c r="AF11" i="16"/>
  <c r="AF13" i="16"/>
  <c r="AF14" i="16"/>
  <c r="D68" i="45"/>
  <c r="F68" i="45" s="1"/>
  <c r="AG4" i="32"/>
  <c r="V4" i="31"/>
  <c r="V3" i="31"/>
  <c r="B4" i="31"/>
  <c r="C56" i="45"/>
  <c r="C54" i="45"/>
  <c r="AE6" i="47"/>
  <c r="AD6" i="47"/>
  <c r="C53" i="45" s="1"/>
  <c r="AE5" i="47"/>
  <c r="AD5" i="47"/>
  <c r="C52" i="45" s="1"/>
  <c r="AE4" i="47"/>
  <c r="AD4" i="47"/>
  <c r="C51" i="45" s="1"/>
  <c r="AE3" i="47"/>
  <c r="C50" i="45"/>
  <c r="B4" i="27"/>
  <c r="B4" i="42"/>
  <c r="B5" i="28"/>
  <c r="V3" i="16"/>
  <c r="C6" i="45" l="1"/>
  <c r="U10" i="45"/>
  <c r="R10" i="45" s="1"/>
  <c r="C57" i="45"/>
  <c r="D51" i="45"/>
  <c r="F51" i="45" s="1"/>
  <c r="AG4" i="47"/>
  <c r="R11" i="45"/>
  <c r="C58" i="45"/>
  <c r="D52" i="45"/>
  <c r="F52" i="45" s="1"/>
  <c r="AG5" i="47"/>
  <c r="D58" i="45"/>
  <c r="F58" i="45" s="1"/>
  <c r="D56" i="45"/>
  <c r="F56" i="45" s="1"/>
  <c r="D50" i="45"/>
  <c r="F50" i="45" s="1"/>
  <c r="AG3" i="47"/>
  <c r="D53" i="45"/>
  <c r="F53" i="45" s="1"/>
  <c r="AG6" i="47"/>
  <c r="D55" i="45"/>
  <c r="F55" i="45" s="1"/>
  <c r="D57" i="45"/>
  <c r="F57" i="45" s="1"/>
  <c r="D54" i="45"/>
  <c r="F54" i="45" s="1"/>
  <c r="AG7" i="47"/>
  <c r="C55" i="45"/>
  <c r="C8" i="45"/>
  <c r="AD10" i="16"/>
  <c r="V5" i="31"/>
  <c r="AD8" i="16"/>
  <c r="W12" i="45" l="1"/>
  <c r="Y12" i="45" s="1"/>
  <c r="AF10" i="16"/>
  <c r="AF8" i="16"/>
  <c r="C7" i="45"/>
  <c r="AD6" i="32"/>
  <c r="C70" i="45" s="1"/>
  <c r="AC6" i="25"/>
  <c r="AD5" i="16"/>
  <c r="AC6" i="16"/>
  <c r="AF5" i="16" l="1"/>
  <c r="V5" i="32"/>
  <c r="AE6" i="28"/>
  <c r="AG6" i="28" s="1"/>
  <c r="AE16" i="28"/>
  <c r="AG16" i="28" s="1"/>
  <c r="AE15" i="28"/>
  <c r="AG15" i="28" s="1"/>
  <c r="AE13" i="28"/>
  <c r="AG13" i="28" s="1"/>
  <c r="AE12" i="28"/>
  <c r="AG12" i="28" s="1"/>
  <c r="AE10" i="28"/>
  <c r="AG10" i="28" s="1"/>
  <c r="AE9" i="28"/>
  <c r="AG9" i="28" s="1"/>
  <c r="AE7" i="28"/>
  <c r="AG7" i="28" s="1"/>
  <c r="AD6" i="28"/>
  <c r="AE5" i="28"/>
  <c r="AG5" i="28" s="1"/>
  <c r="AE14" i="32"/>
  <c r="AD14" i="32"/>
  <c r="C78" i="45" s="1"/>
  <c r="AE13" i="32"/>
  <c r="AD13" i="32"/>
  <c r="C77" i="45" s="1"/>
  <c r="AE12" i="32"/>
  <c r="AD12" i="32"/>
  <c r="C76" i="45" s="1"/>
  <c r="AE11" i="32"/>
  <c r="AD11" i="32"/>
  <c r="C75" i="45" s="1"/>
  <c r="AE10" i="32"/>
  <c r="AD10" i="32"/>
  <c r="C74" i="45" s="1"/>
  <c r="AE9" i="32"/>
  <c r="AD9" i="32"/>
  <c r="C73" i="45" s="1"/>
  <c r="AE8" i="32"/>
  <c r="AD8" i="32"/>
  <c r="C72" i="45" s="1"/>
  <c r="AE7" i="32"/>
  <c r="AD7" i="32"/>
  <c r="C71" i="45" s="1"/>
  <c r="AE6" i="32"/>
  <c r="AE5" i="32"/>
  <c r="AD5" i="32"/>
  <c r="C69" i="45" s="1"/>
  <c r="AD4" i="32"/>
  <c r="C68" i="45" s="1"/>
  <c r="AE3" i="32"/>
  <c r="AG3" i="32" s="1"/>
  <c r="AD3" i="32"/>
  <c r="AD3" i="25"/>
  <c r="AF3" i="25" l="1"/>
  <c r="D78" i="45"/>
  <c r="F78" i="45" s="1"/>
  <c r="AG14" i="32"/>
  <c r="D73" i="45"/>
  <c r="F73" i="45" s="1"/>
  <c r="AG9" i="32"/>
  <c r="D75" i="45"/>
  <c r="F75" i="45" s="1"/>
  <c r="AG11" i="32"/>
  <c r="D72" i="45"/>
  <c r="F72" i="45" s="1"/>
  <c r="AG8" i="32"/>
  <c r="D70" i="45"/>
  <c r="F70" i="45" s="1"/>
  <c r="AG6" i="32"/>
  <c r="D76" i="45"/>
  <c r="F76" i="45" s="1"/>
  <c r="AG12" i="32"/>
  <c r="D74" i="45"/>
  <c r="F74" i="45" s="1"/>
  <c r="AG10" i="32"/>
  <c r="D69" i="45"/>
  <c r="F69" i="45" s="1"/>
  <c r="AG5" i="32"/>
  <c r="D71" i="45"/>
  <c r="F71" i="45" s="1"/>
  <c r="AG7" i="32"/>
  <c r="D77" i="45"/>
  <c r="F77" i="45" s="1"/>
  <c r="AG13" i="32"/>
  <c r="V5" i="27"/>
  <c r="V4" i="47" l="1"/>
  <c r="V3" i="47"/>
  <c r="V5" i="47" l="1"/>
  <c r="F8" i="45" s="1"/>
  <c r="AD15" i="46" l="1"/>
  <c r="C44" i="45" s="1"/>
  <c r="AD14" i="46"/>
  <c r="C43" i="45" s="1"/>
  <c r="AD13" i="46"/>
  <c r="C42" i="45" s="1"/>
  <c r="AD12" i="46"/>
  <c r="C41" i="45" s="1"/>
  <c r="AD11" i="46"/>
  <c r="C40" i="45" s="1"/>
  <c r="AD10" i="46"/>
  <c r="C39" i="45" s="1"/>
  <c r="AD9" i="46"/>
  <c r="C38" i="45" s="1"/>
  <c r="AD8" i="46"/>
  <c r="C37" i="45" s="1"/>
  <c r="AD7" i="46"/>
  <c r="C36" i="45" s="1"/>
  <c r="AD6" i="46"/>
  <c r="C35" i="45" s="1"/>
  <c r="C34" i="45"/>
  <c r="AD4" i="46"/>
  <c r="C33" i="45" s="1"/>
  <c r="V4" i="46"/>
  <c r="V3" i="46"/>
  <c r="G9" i="45"/>
  <c r="H78" i="45"/>
  <c r="J78" i="45" s="1"/>
  <c r="H77" i="45"/>
  <c r="J77" i="45" s="1"/>
  <c r="H76" i="45"/>
  <c r="J76" i="45" s="1"/>
  <c r="H75" i="45"/>
  <c r="J75" i="45" s="1"/>
  <c r="H74" i="45"/>
  <c r="J74" i="45" s="1"/>
  <c r="H73" i="45"/>
  <c r="J73" i="45" s="1"/>
  <c r="H72" i="45"/>
  <c r="J72" i="45" s="1"/>
  <c r="H71" i="45"/>
  <c r="J71" i="45" s="1"/>
  <c r="H70" i="45"/>
  <c r="H69" i="45"/>
  <c r="J69" i="45" s="1"/>
  <c r="H68" i="45"/>
  <c r="J68" i="45" s="1"/>
  <c r="H67" i="45"/>
  <c r="J67" i="45" s="1"/>
  <c r="E62" i="45"/>
  <c r="G8" i="45" s="1"/>
  <c r="H61" i="45"/>
  <c r="I61" i="45" s="1"/>
  <c r="H60" i="45"/>
  <c r="I60" i="45" s="1"/>
  <c r="H59" i="45"/>
  <c r="I59" i="45" s="1"/>
  <c r="H58" i="45"/>
  <c r="I58" i="45" s="1"/>
  <c r="H57" i="45"/>
  <c r="I57" i="45" s="1"/>
  <c r="H56" i="45"/>
  <c r="I56" i="45" s="1"/>
  <c r="H55" i="45"/>
  <c r="I55" i="45" s="1"/>
  <c r="H54" i="45"/>
  <c r="I54" i="45" s="1"/>
  <c r="H53" i="45"/>
  <c r="I53" i="45" s="1"/>
  <c r="H52" i="45"/>
  <c r="I52" i="45" s="1"/>
  <c r="H51" i="45"/>
  <c r="I51" i="45" s="1"/>
  <c r="H50" i="45"/>
  <c r="E45" i="45"/>
  <c r="G7" i="45" s="1"/>
  <c r="J7" i="45" s="1"/>
  <c r="H44" i="45"/>
  <c r="J44" i="45" s="1"/>
  <c r="H43" i="45"/>
  <c r="J43" i="45" s="1"/>
  <c r="H42" i="45"/>
  <c r="J42" i="45" s="1"/>
  <c r="H41" i="45"/>
  <c r="J41" i="45" s="1"/>
  <c r="H40" i="45"/>
  <c r="J40" i="45" s="1"/>
  <c r="H39" i="45"/>
  <c r="J39" i="45" s="1"/>
  <c r="H38" i="45"/>
  <c r="I38" i="45" s="1"/>
  <c r="H37" i="45"/>
  <c r="K37" i="45" s="1"/>
  <c r="H36" i="45"/>
  <c r="I36" i="45" s="1"/>
  <c r="H35" i="45"/>
  <c r="J35" i="45" s="1"/>
  <c r="H34" i="45"/>
  <c r="I34" i="45" s="1"/>
  <c r="H33" i="45"/>
  <c r="K33" i="45" s="1"/>
  <c r="E28" i="45"/>
  <c r="G6" i="45" s="1"/>
  <c r="H27" i="45"/>
  <c r="H26" i="45"/>
  <c r="H25" i="45"/>
  <c r="H24" i="45"/>
  <c r="H23" i="45"/>
  <c r="H22" i="45"/>
  <c r="H21" i="45"/>
  <c r="H20" i="45"/>
  <c r="H19" i="45"/>
  <c r="H18" i="45"/>
  <c r="H17" i="45"/>
  <c r="H16" i="45"/>
  <c r="G10" i="45" l="1"/>
  <c r="I23" i="45"/>
  <c r="J23" i="45"/>
  <c r="I24" i="45"/>
  <c r="J24" i="45"/>
  <c r="I17" i="45"/>
  <c r="J17" i="45"/>
  <c r="I25" i="45"/>
  <c r="J25" i="45"/>
  <c r="I27" i="45"/>
  <c r="J27" i="45"/>
  <c r="I18" i="45"/>
  <c r="J18" i="45"/>
  <c r="K22" i="45"/>
  <c r="J22" i="45"/>
  <c r="I19" i="45"/>
  <c r="J19" i="45"/>
  <c r="I26" i="45"/>
  <c r="J26" i="45"/>
  <c r="I20" i="45"/>
  <c r="J20" i="45"/>
  <c r="I21" i="45"/>
  <c r="J21" i="45"/>
  <c r="K70" i="45"/>
  <c r="J70" i="45"/>
  <c r="J6" i="45"/>
  <c r="I6" i="45"/>
  <c r="J8" i="45"/>
  <c r="I8" i="45"/>
  <c r="J9" i="45"/>
  <c r="I9" i="45"/>
  <c r="I7" i="45"/>
  <c r="AE13" i="46"/>
  <c r="AE11" i="46"/>
  <c r="J51" i="45"/>
  <c r="K34" i="45"/>
  <c r="J34" i="45"/>
  <c r="J59" i="45"/>
  <c r="K35" i="45"/>
  <c r="J55" i="45"/>
  <c r="J38" i="45"/>
  <c r="K38" i="45"/>
  <c r="H45" i="45"/>
  <c r="J36" i="45"/>
  <c r="K74" i="45"/>
  <c r="K43" i="45"/>
  <c r="K78" i="45"/>
  <c r="K36" i="45"/>
  <c r="K42" i="45"/>
  <c r="K26" i="45"/>
  <c r="H28" i="45"/>
  <c r="K25" i="45"/>
  <c r="K77" i="45"/>
  <c r="K72" i="45"/>
  <c r="K73" i="45"/>
  <c r="K68" i="45"/>
  <c r="K76" i="45"/>
  <c r="K69" i="45"/>
  <c r="K67" i="45"/>
  <c r="K71" i="45"/>
  <c r="K75" i="45"/>
  <c r="J52" i="45"/>
  <c r="J56" i="45"/>
  <c r="J60" i="45"/>
  <c r="J53" i="45"/>
  <c r="J57" i="45"/>
  <c r="J61" i="45"/>
  <c r="H62" i="45"/>
  <c r="J50" i="45"/>
  <c r="J54" i="45"/>
  <c r="J58" i="45"/>
  <c r="I44" i="45"/>
  <c r="I33" i="45"/>
  <c r="I37" i="45"/>
  <c r="I39" i="45"/>
  <c r="K44" i="45"/>
  <c r="K41" i="45"/>
  <c r="I35" i="45"/>
  <c r="J33" i="45"/>
  <c r="J37" i="45"/>
  <c r="K39" i="45"/>
  <c r="I42" i="45"/>
  <c r="I41" i="45"/>
  <c r="I40" i="45"/>
  <c r="K40" i="45"/>
  <c r="I43" i="45"/>
  <c r="K23" i="45"/>
  <c r="J16" i="45"/>
  <c r="K24" i="45"/>
  <c r="I22" i="45"/>
  <c r="K27" i="45"/>
  <c r="AE5" i="46"/>
  <c r="AE8" i="46"/>
  <c r="AE4" i="46"/>
  <c r="AE7" i="46"/>
  <c r="AE9" i="46"/>
  <c r="AE14" i="46"/>
  <c r="AE12" i="46"/>
  <c r="AE10" i="46"/>
  <c r="AE6" i="46"/>
  <c r="AE15" i="46"/>
  <c r="V5" i="46"/>
  <c r="K16" i="45"/>
  <c r="K17" i="45"/>
  <c r="K18" i="45"/>
  <c r="K19" i="45"/>
  <c r="K20" i="45"/>
  <c r="K21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H79" i="45"/>
  <c r="I16" i="45"/>
  <c r="I50" i="45"/>
  <c r="I62" i="45" s="1"/>
  <c r="D42" i="45" l="1"/>
  <c r="F42" i="45" s="1"/>
  <c r="AG13" i="46"/>
  <c r="D44" i="45"/>
  <c r="F44" i="45" s="1"/>
  <c r="AG15" i="46"/>
  <c r="D40" i="45"/>
  <c r="F40" i="45" s="1"/>
  <c r="AG11" i="46"/>
  <c r="D35" i="45"/>
  <c r="F35" i="45" s="1"/>
  <c r="AG6" i="46"/>
  <c r="D43" i="45"/>
  <c r="F43" i="45" s="1"/>
  <c r="AG14" i="46"/>
  <c r="D38" i="45"/>
  <c r="F38" i="45" s="1"/>
  <c r="AG9" i="46"/>
  <c r="D34" i="45"/>
  <c r="F34" i="45" s="1"/>
  <c r="AG5" i="46"/>
  <c r="D41" i="45"/>
  <c r="F41" i="45" s="1"/>
  <c r="AG12" i="46"/>
  <c r="D36" i="45"/>
  <c r="F36" i="45" s="1"/>
  <c r="AG7" i="46"/>
  <c r="AG10" i="46"/>
  <c r="D33" i="45"/>
  <c r="F33" i="45" s="1"/>
  <c r="AG4" i="46"/>
  <c r="D37" i="45"/>
  <c r="F37" i="45" s="1"/>
  <c r="AG8" i="46"/>
  <c r="I10" i="45"/>
  <c r="J10" i="45"/>
  <c r="I28" i="45"/>
  <c r="I45" i="45"/>
  <c r="K28" i="45"/>
  <c r="I79" i="45"/>
  <c r="AC6" i="42" l="1"/>
  <c r="C19" i="45" s="1"/>
  <c r="L36" i="45" l="1"/>
  <c r="V5" i="42" l="1"/>
  <c r="AD4" i="16"/>
  <c r="AD6" i="16"/>
  <c r="AC7" i="16"/>
  <c r="AD7" i="16"/>
  <c r="AC8" i="16"/>
  <c r="AC9" i="16"/>
  <c r="AD9" i="16"/>
  <c r="AF6" i="16" l="1"/>
  <c r="AF9" i="16"/>
  <c r="AF4" i="16"/>
  <c r="AF7" i="16"/>
  <c r="AD14" i="42"/>
  <c r="D27" i="45" s="1"/>
  <c r="AC14" i="42"/>
  <c r="C27" i="45" s="1"/>
  <c r="AD13" i="42"/>
  <c r="D26" i="45" s="1"/>
  <c r="AC13" i="42"/>
  <c r="C26" i="45" s="1"/>
  <c r="AD12" i="42"/>
  <c r="D25" i="45" s="1"/>
  <c r="AC12" i="42"/>
  <c r="C25" i="45" s="1"/>
  <c r="AD11" i="42"/>
  <c r="D24" i="45" s="1"/>
  <c r="AC11" i="42"/>
  <c r="C24" i="45" s="1"/>
  <c r="AD10" i="42"/>
  <c r="D23" i="45" s="1"/>
  <c r="AC10" i="42"/>
  <c r="C23" i="45" s="1"/>
  <c r="AD9" i="42"/>
  <c r="D22" i="45" s="1"/>
  <c r="AC9" i="42"/>
  <c r="C22" i="45" s="1"/>
  <c r="AD8" i="42"/>
  <c r="D21" i="45" s="1"/>
  <c r="AC8" i="42"/>
  <c r="C21" i="45" s="1"/>
  <c r="AD7" i="42"/>
  <c r="D20" i="45" s="1"/>
  <c r="AC7" i="42"/>
  <c r="C20" i="45" s="1"/>
  <c r="AD6" i="42"/>
  <c r="D19" i="45" s="1"/>
  <c r="AD5" i="42"/>
  <c r="D18" i="45" s="1"/>
  <c r="AC5" i="42"/>
  <c r="C18" i="45" s="1"/>
  <c r="AD4" i="42"/>
  <c r="D17" i="45" s="1"/>
  <c r="AC4" i="42"/>
  <c r="AD3" i="42"/>
  <c r="D16" i="45" s="1"/>
  <c r="AC3" i="42"/>
  <c r="C16" i="45" s="1"/>
  <c r="V4" i="42"/>
  <c r="V3" i="42"/>
  <c r="A1" i="41"/>
  <c r="A1" i="39"/>
  <c r="A1" i="40"/>
  <c r="A1" i="38"/>
  <c r="A1" i="37"/>
  <c r="A1" i="36"/>
  <c r="Z7" i="35" a="1"/>
  <c r="Z7" i="35" s="1"/>
  <c r="T3" i="35" a="1"/>
  <c r="T3" i="35" s="1"/>
  <c r="A7" i="35" a="1"/>
  <c r="A7" i="35" s="1"/>
  <c r="A3" i="35" a="1"/>
  <c r="A3" i="35" s="1"/>
  <c r="A1" i="35"/>
  <c r="A1" i="34"/>
  <c r="F21" i="45" l="1"/>
  <c r="AF8" i="42"/>
  <c r="F22" i="45"/>
  <c r="AF9" i="42"/>
  <c r="F23" i="45"/>
  <c r="AF10" i="42"/>
  <c r="F25" i="45"/>
  <c r="AF12" i="42"/>
  <c r="F24" i="45"/>
  <c r="AF11" i="42"/>
  <c r="F17" i="45"/>
  <c r="AF4" i="42"/>
  <c r="F16" i="45"/>
  <c r="AF3" i="42"/>
  <c r="F18" i="45"/>
  <c r="AF5" i="42"/>
  <c r="F26" i="45"/>
  <c r="AF13" i="42"/>
  <c r="F19" i="45"/>
  <c r="AF6" i="42"/>
  <c r="F20" i="45"/>
  <c r="AF7" i="42"/>
  <c r="F27" i="45"/>
  <c r="AF14" i="42"/>
  <c r="A1" i="33"/>
  <c r="B4" i="32" l="1"/>
  <c r="V3" i="32"/>
  <c r="L61" i="45"/>
  <c r="L60" i="45"/>
  <c r="L59" i="45"/>
  <c r="L58" i="45"/>
  <c r="L57" i="45"/>
  <c r="L56" i="45"/>
  <c r="L55" i="45"/>
  <c r="L54" i="45"/>
  <c r="L53" i="45"/>
  <c r="L52" i="45"/>
  <c r="L51" i="45"/>
  <c r="A3" i="39" a="1"/>
  <c r="A3" i="39" s="1"/>
  <c r="A3" i="38" a="1"/>
  <c r="A3" i="38" s="1"/>
  <c r="V4" i="28"/>
  <c r="V4" i="27"/>
  <c r="A3" i="36" a="1"/>
  <c r="A3" i="36" s="1"/>
  <c r="V3" i="27"/>
  <c r="AC4" i="25"/>
  <c r="C17" i="45" s="1"/>
  <c r="V5" i="25"/>
  <c r="A3" i="34" a="1"/>
  <c r="A3" i="34" s="1"/>
  <c r="V4" i="25"/>
  <c r="L17" i="45" l="1"/>
  <c r="L27" i="45"/>
  <c r="L23" i="45"/>
  <c r="L22" i="45"/>
  <c r="L26" i="45"/>
  <c r="L18" i="45"/>
  <c r="L24" i="45"/>
  <c r="L25" i="45"/>
  <c r="L33" i="45"/>
  <c r="C62" i="45"/>
  <c r="L50" i="45"/>
  <c r="A3" i="40" a="1"/>
  <c r="A3" i="40" s="1"/>
  <c r="L35" i="45"/>
  <c r="L37" i="45"/>
  <c r="L38" i="45"/>
  <c r="L39" i="45"/>
  <c r="L40" i="45"/>
  <c r="L41" i="45"/>
  <c r="L42" i="45"/>
  <c r="L43" i="45"/>
  <c r="L44" i="45"/>
  <c r="L68" i="45"/>
  <c r="C67" i="45"/>
  <c r="L69" i="45"/>
  <c r="L70" i="45"/>
  <c r="L71" i="45"/>
  <c r="L72" i="45"/>
  <c r="L73" i="45"/>
  <c r="L74" i="45"/>
  <c r="L75" i="45"/>
  <c r="L76" i="45"/>
  <c r="L77" i="45"/>
  <c r="L78" i="45"/>
  <c r="A3" i="41" a="1"/>
  <c r="A3" i="41" s="1"/>
  <c r="C9" i="45"/>
  <c r="D67" i="45"/>
  <c r="F67" i="45" s="1"/>
  <c r="L20" i="45"/>
  <c r="L21" i="45"/>
  <c r="L19" i="45"/>
  <c r="A3" i="37" a="1"/>
  <c r="A3" i="37" s="1"/>
  <c r="A7" i="34" a="1"/>
  <c r="A7" i="34" s="1"/>
  <c r="Z7" i="34" a="1"/>
  <c r="Z7" i="34" s="1"/>
  <c r="A7" i="41" a="1"/>
  <c r="A7" i="41" s="1"/>
  <c r="AA7" i="41" a="1"/>
  <c r="AA7" i="41" s="1"/>
  <c r="AA7" i="40" a="1"/>
  <c r="AA7" i="40" s="1"/>
  <c r="A7" i="40" a="1"/>
  <c r="A7" i="40" s="1"/>
  <c r="V6" i="25"/>
  <c r="T3" i="34" s="1" a="1"/>
  <c r="T3" i="34" s="1"/>
  <c r="A7" i="36" a="1"/>
  <c r="A7" i="36" s="1"/>
  <c r="Z7" i="36" a="1"/>
  <c r="Z7" i="36" s="1"/>
  <c r="T3" i="36" a="1"/>
  <c r="T3" i="36" s="1"/>
  <c r="T3" i="38" a="1"/>
  <c r="T3" i="38" s="1"/>
  <c r="AA7" i="38" a="1"/>
  <c r="AA7" i="38" s="1"/>
  <c r="A7" i="38" a="1"/>
  <c r="A7" i="38" s="1"/>
  <c r="Z7" i="33" a="1"/>
  <c r="Z7" i="33" s="1"/>
  <c r="D8" i="45" l="1"/>
  <c r="F6" i="45"/>
  <c r="C45" i="45"/>
  <c r="D7" i="45" s="1"/>
  <c r="L34" i="45"/>
  <c r="C79" i="45"/>
  <c r="D9" i="45" s="1"/>
  <c r="L67" i="45"/>
  <c r="F79" i="45"/>
  <c r="D79" i="45"/>
  <c r="F9" i="45"/>
  <c r="F62" i="45"/>
  <c r="D62" i="45"/>
  <c r="E8" i="45" s="1"/>
  <c r="F28" i="45"/>
  <c r="C28" i="45"/>
  <c r="L16" i="45"/>
  <c r="T3" i="41" a="1"/>
  <c r="T3" i="41" s="1"/>
  <c r="T3" i="40" a="1"/>
  <c r="T3" i="40" s="1"/>
  <c r="A3" i="33" a="1"/>
  <c r="A3" i="33" s="1"/>
  <c r="A7" i="33" a="1"/>
  <c r="A7" i="33" s="1"/>
  <c r="L47" i="45" l="1"/>
  <c r="E9" i="45"/>
  <c r="L64" i="45"/>
  <c r="D6" i="45"/>
  <c r="D10" i="45" s="1"/>
  <c r="L28" i="45"/>
  <c r="T4" i="33" a="1"/>
  <c r="T4" i="33" s="1"/>
  <c r="C10" i="45" l="1"/>
  <c r="A7" i="39" a="1"/>
  <c r="A7" i="39" s="1"/>
  <c r="AA7" i="39" l="1" a="1"/>
  <c r="AA7" i="39" s="1"/>
  <c r="T3" i="39" a="1"/>
  <c r="T3" i="39" s="1"/>
  <c r="D28" i="45" l="1"/>
  <c r="E6" i="45" l="1"/>
  <c r="L13" i="45"/>
  <c r="AE11" i="28"/>
  <c r="D39" i="45" s="1"/>
  <c r="V82" i="28"/>
  <c r="V6" i="28" s="1"/>
  <c r="F7" i="45" s="1"/>
  <c r="F10" i="45" s="1"/>
  <c r="V5" i="28"/>
  <c r="A7" i="37" l="1" a="1"/>
  <c r="A7" i="37" s="1"/>
  <c r="D45" i="45"/>
  <c r="L30" i="45" s="1"/>
  <c r="F39" i="45"/>
  <c r="F45" i="45" s="1"/>
  <c r="T3" i="37" a="1"/>
  <c r="T3" i="37" s="1"/>
  <c r="Z7" i="37" a="1"/>
  <c r="Z7" i="37" s="1"/>
  <c r="AG11" i="28"/>
  <c r="E7" i="45" l="1"/>
  <c r="E10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Kavya Guru</author>
  </authors>
  <commentList>
    <comment ref="Z85" authorId="0" shapeId="0" xr:uid="{0DE50693-A46F-44F5-AB0B-7D3F77170EAF}">
      <text>
        <r>
          <rPr>
            <sz val="11"/>
            <color theme="1"/>
            <rFont val="Calibri"/>
            <family val="2"/>
            <scheme val="minor"/>
          </rPr>
          <t>Kavya Guru:
ID mapped to Jamshedpur</t>
        </r>
      </text>
    </comment>
    <comment ref="Z169" authorId="0" shapeId="0" xr:uid="{95C9256A-45C6-4091-ACFC-3940C4EC1B01}">
      <text>
        <r>
          <rPr>
            <sz val="11"/>
            <color theme="1"/>
            <rFont val="Calibri"/>
            <family val="2"/>
            <scheme val="minor"/>
          </rPr>
          <t>Kavya Guru:
SR mapped to jamshedpur location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Kavya Guru</author>
  </authors>
  <commentList>
    <comment ref="Z54" authorId="0" shapeId="0" xr:uid="{28837CDA-889A-4EE9-9D90-A34B0E12D75A}">
      <text>
        <r>
          <rPr>
            <sz val="11"/>
            <color theme="1"/>
            <rFont val="Calibri"/>
            <family val="2"/>
            <scheme val="minor"/>
          </rPr>
          <t xml:space="preserve">Kavya Guru:
SR mismatched </t>
        </r>
      </text>
    </comment>
    <comment ref="Z65" authorId="0" shapeId="0" xr:uid="{94572072-AED5-4B3F-B6C3-7FB2E5C13FE3}">
      <text>
        <r>
          <rPr>
            <sz val="11"/>
            <color theme="1"/>
            <rFont val="Calibri"/>
            <family val="2"/>
            <scheme val="minor"/>
          </rPr>
          <t>Kavya Guru:
SR mapped to Hyderabad zone.</t>
        </r>
      </text>
    </comment>
    <comment ref="Z87" authorId="0" shapeId="0" xr:uid="{BDADF09C-BDCA-4F3C-A0E8-F81260A8C8C8}">
      <text>
        <r>
          <rPr>
            <sz val="11"/>
            <color theme="1"/>
            <rFont val="Calibri"/>
            <family val="2"/>
            <scheme val="minor"/>
          </rPr>
          <t xml:space="preserve">Kavya Guru:
SR not mentioned
</t>
        </r>
      </text>
    </comment>
    <comment ref="Z103" authorId="0" shapeId="0" xr:uid="{0177E4F8-54DE-4979-92AD-F75A7DC7614E}">
      <text>
        <r>
          <rPr>
            <sz val="11"/>
            <color theme="1"/>
            <rFont val="Calibri"/>
            <family val="2"/>
            <scheme val="minor"/>
          </rPr>
          <t>Kavya Guru:
SR mismatched to other zone.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tc={1BF5D6D8-C735-45B6-8F41-9444DAB3C2A1}</author>
  </authors>
  <commentList>
    <comment ref="Y100" authorId="0" shapeId="0" xr:uid="{1BF5D6D8-C735-45B6-8F41-9444DAB3C2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Kavya Guru</author>
  </authors>
  <commentList>
    <comment ref="Z109" authorId="0" shapeId="0" xr:uid="{22DAB4AE-21E6-4EFF-B344-EAE6E43803EC}">
      <text>
        <r>
          <rPr>
            <sz val="11"/>
            <color theme="1"/>
            <rFont val="Calibri"/>
            <family val="2"/>
            <scheme val="minor"/>
          </rPr>
          <t xml:space="preserve">Kavya Guru:
SR wrongly mapped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tc={90495DEE-7C8E-472B-A1EC-E1DD3F314F81}</author>
  </authors>
  <commentList>
    <comment ref="Y93" authorId="0" shapeId="0" xr:uid="{90495DEE-7C8E-472B-A1EC-E1DD3F314F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tc={E830BDA3-D1AC-4704-999B-7645A5A16AEE}</author>
  </authors>
  <commentList>
    <comment ref="Y96" authorId="0" shapeId="0" xr:uid="{E830BDA3-D1AC-4704-999B-7645A5A16A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tc={694D5871-06F0-4CAF-AB58-5525D54AD9D0}</author>
  </authors>
  <commentList>
    <comment ref="Y70" authorId="0" shapeId="0" xr:uid="{694D5871-06F0-4CAF-AB58-5525D54AD9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tc={58FB40AF-13D8-4EDA-B8FE-7745550B1196}</author>
  </authors>
  <commentList>
    <comment ref="Y100" authorId="0" shapeId="0" xr:uid="{58FB40AF-13D8-4EDA-B8FE-7745550B11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 ARRUNACHALAM</author>
  </authors>
  <commentList>
    <comment ref="A1168" authorId="0" shapeId="0" xr:uid="{C51C1B65-6BDF-45CF-A5EB-1ABFA1B46C81}">
      <text>
        <r>
          <rPr>
            <b/>
            <sz val="9"/>
            <color indexed="81"/>
            <rFont val="Tahoma"/>
            <family val="2"/>
          </rPr>
          <t>Machine PO year is 2016 ,installed in 2018. Warranty expired</t>
        </r>
      </text>
    </comment>
    <comment ref="A1194" authorId="0" shapeId="0" xr:uid="{F370A56D-CF83-4CC9-9158-FC79CBB03368}">
      <text>
        <r>
          <rPr>
            <b/>
            <sz val="9"/>
            <color indexed="81"/>
            <rFont val="Tahoma"/>
            <family val="2"/>
          </rPr>
          <t>Machine PO year is 2017 , installed in 2019. Warranty Expired</t>
        </r>
      </text>
    </comment>
    <comment ref="A1267" authorId="0" shapeId="0" xr:uid="{CB450274-BFC2-4C5A-BF68-4F097C99F51A}">
      <text>
        <r>
          <rPr>
            <b/>
            <sz val="9"/>
            <color indexed="81"/>
            <rFont val="Tahoma"/>
            <family val="2"/>
          </rPr>
          <t>Check FAR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<sst xmlns="http://schemas.openxmlformats.org/spreadsheetml/2006/main" count="30350" uniqueCount="5166">
  <si>
    <t>KARDEX LCS : LIVE OFFER FUNNEL,ACTUALS, DEVIATIONS - 2025</t>
  </si>
  <si>
    <t>Offers Highlights</t>
  </si>
  <si>
    <t>Forecast</t>
  </si>
  <si>
    <t>WEST</t>
  </si>
  <si>
    <t>SOUTH</t>
  </si>
  <si>
    <t>NORTH</t>
  </si>
  <si>
    <t>EAST</t>
  </si>
  <si>
    <t>January</t>
  </si>
  <si>
    <t>From Day 1 of each Month</t>
  </si>
  <si>
    <t>Zone</t>
  </si>
  <si>
    <t>No. of Offers</t>
  </si>
  <si>
    <t>Offers Value</t>
  </si>
  <si>
    <t>Orders Received</t>
  </si>
  <si>
    <t>Open Funnel</t>
  </si>
  <si>
    <t xml:space="preserve">Order Booking </t>
  </si>
  <si>
    <t>BU for Booking /2025</t>
  </si>
  <si>
    <t>%</t>
  </si>
  <si>
    <t>Balance BU</t>
  </si>
  <si>
    <t>February</t>
  </si>
  <si>
    <t>Q1 Forecast</t>
  </si>
  <si>
    <t>Q1 BU</t>
  </si>
  <si>
    <t>Dev</t>
  </si>
  <si>
    <t>Month</t>
  </si>
  <si>
    <t>Euro</t>
  </si>
  <si>
    <t>Start of the Month</t>
  </si>
  <si>
    <t>March</t>
  </si>
  <si>
    <t>FEB</t>
  </si>
  <si>
    <t>Febrauary</t>
  </si>
  <si>
    <t>April</t>
  </si>
  <si>
    <t>MAR</t>
  </si>
  <si>
    <t>May</t>
  </si>
  <si>
    <t>Q2 Forecast</t>
  </si>
  <si>
    <t>Q2 BU</t>
  </si>
  <si>
    <t>APR</t>
  </si>
  <si>
    <t>June</t>
  </si>
  <si>
    <t>MAY</t>
  </si>
  <si>
    <t>Total</t>
  </si>
  <si>
    <t>July</t>
  </si>
  <si>
    <t>JUN</t>
  </si>
  <si>
    <t>August</t>
  </si>
  <si>
    <t>Q3 Forecast</t>
  </si>
  <si>
    <t>Q3 BU</t>
  </si>
  <si>
    <t>JULY</t>
  </si>
  <si>
    <t>NOTE : * Marked fields will be filled by Girija</t>
  </si>
  <si>
    <t>September</t>
  </si>
  <si>
    <t>AUG</t>
  </si>
  <si>
    <t>HIT RATE</t>
  </si>
  <si>
    <t>October</t>
  </si>
  <si>
    <t>Sept</t>
  </si>
  <si>
    <t>November</t>
  </si>
  <si>
    <t>Q4 Forecast</t>
  </si>
  <si>
    <t>Q4 BU</t>
  </si>
  <si>
    <t>Oct</t>
  </si>
  <si>
    <t>Offers/Value</t>
  </si>
  <si>
    <t>Order Received</t>
  </si>
  <si>
    <t>*Orders Booked</t>
  </si>
  <si>
    <t>Dev OR vs Booked</t>
  </si>
  <si>
    <t>*Orders In-Hand</t>
  </si>
  <si>
    <t>BU/Monthly</t>
  </si>
  <si>
    <t>Booked vs BU</t>
  </si>
  <si>
    <t>% Dev</t>
  </si>
  <si>
    <t>Offer BU Monthly</t>
  </si>
  <si>
    <t>December</t>
  </si>
  <si>
    <t>Nov</t>
  </si>
  <si>
    <t>Januray</t>
  </si>
  <si>
    <t>Dec</t>
  </si>
  <si>
    <t>Febraury</t>
  </si>
  <si>
    <t>Product type</t>
  </si>
  <si>
    <t>Yogesh</t>
  </si>
  <si>
    <t>Ashraf</t>
  </si>
  <si>
    <t>Rahul</t>
  </si>
  <si>
    <t>Minesh</t>
  </si>
  <si>
    <t>Total of All Zones</t>
  </si>
  <si>
    <t>Contract</t>
  </si>
  <si>
    <t>BD Spare</t>
  </si>
  <si>
    <t>SPP</t>
  </si>
  <si>
    <t xml:space="preserve">June </t>
  </si>
  <si>
    <t>Relocation</t>
  </si>
  <si>
    <t>Software</t>
  </si>
  <si>
    <t>BD Charges</t>
  </si>
  <si>
    <t>Retrofit kit</t>
  </si>
  <si>
    <t>Upgrade kit</t>
  </si>
  <si>
    <t>Training</t>
  </si>
  <si>
    <t>Midlife Upgrade</t>
  </si>
  <si>
    <t>Gajendra</t>
  </si>
  <si>
    <t>Pradeep</t>
  </si>
  <si>
    <t>Sasi</t>
  </si>
  <si>
    <t>South</t>
  </si>
  <si>
    <t>*Order Booked</t>
  </si>
  <si>
    <t>Vinay</t>
  </si>
  <si>
    <t>Nitin</t>
  </si>
  <si>
    <t>Pankaj</t>
  </si>
  <si>
    <t>North and East</t>
  </si>
  <si>
    <t>PO Expected Month</t>
  </si>
  <si>
    <t>NORTH &amp; EAST</t>
  </si>
  <si>
    <t>Product wise Forecast</t>
  </si>
  <si>
    <t>North &amp; East</t>
  </si>
  <si>
    <t xml:space="preserve">October </t>
  </si>
  <si>
    <t>Grand Total</t>
  </si>
  <si>
    <t>Month wise data</t>
  </si>
  <si>
    <t>KARDEX INDIA - LIVE OFFER FUNEL - YOGESH - WEST</t>
  </si>
  <si>
    <t>Offers Total</t>
  </si>
  <si>
    <t>Order received</t>
  </si>
  <si>
    <t>Forecast- Po Received</t>
  </si>
  <si>
    <t>Total Offered Value</t>
  </si>
  <si>
    <t>Total Offers</t>
  </si>
  <si>
    <t>* Updated by Girija</t>
  </si>
  <si>
    <t>SL</t>
  </si>
  <si>
    <t>Reg Date</t>
  </si>
  <si>
    <t>Company</t>
  </si>
  <si>
    <t>Location</t>
  </si>
  <si>
    <t>Department</t>
  </si>
  <si>
    <t>Contact Person Name</t>
  </si>
  <si>
    <t>Contact Number</t>
  </si>
  <si>
    <t>E-Mail ID</t>
  </si>
  <si>
    <t>Machine Serial Number</t>
  </si>
  <si>
    <t>Product Type</t>
  </si>
  <si>
    <t xml:space="preserve">Lead </t>
  </si>
  <si>
    <t>Offer Reference Number</t>
  </si>
  <si>
    <t>Offer Reference Date</t>
  </si>
  <si>
    <t>Offer Value</t>
  </si>
  <si>
    <t>Offer Month</t>
  </si>
  <si>
    <t>Probabality in Percentage</t>
  </si>
  <si>
    <t>PO Number</t>
  </si>
  <si>
    <t>PO Date</t>
  </si>
  <si>
    <t>PO Value</t>
  </si>
  <si>
    <t>PO Received Month</t>
  </si>
  <si>
    <t>Remarks</t>
  </si>
  <si>
    <t>Status</t>
  </si>
  <si>
    <t>Booking Date in SAP B1</t>
  </si>
  <si>
    <t>Offer Entered in CRM</t>
  </si>
  <si>
    <t>Offer Closed in CRM</t>
  </si>
  <si>
    <t xml:space="preserve">Tata Motors LTD </t>
  </si>
  <si>
    <t>Pune</t>
  </si>
  <si>
    <t>D blockstore</t>
  </si>
  <si>
    <t>pankaj Badhe</t>
  </si>
  <si>
    <t>badhe.pankaj@tatamotors.com</t>
  </si>
  <si>
    <t>16002093/001</t>
  </si>
  <si>
    <t>No</t>
  </si>
  <si>
    <t>KXIND/W/SPP/YD24-01</t>
  </si>
  <si>
    <t>Project Postpone with no confirm date.</t>
  </si>
  <si>
    <t>16002093/002</t>
  </si>
  <si>
    <t>Tetra Pak India Pvt Ltd</t>
  </si>
  <si>
    <t>renovation store</t>
  </si>
  <si>
    <t>Vikas Patil</t>
  </si>
  <si>
    <t>88888 78141</t>
  </si>
  <si>
    <t>vikas.patil@tetrapak.com</t>
  </si>
  <si>
    <t>20004190/001</t>
  </si>
  <si>
    <t>KXIND/W/SPP/YD24-02</t>
  </si>
  <si>
    <t>20004190/002</t>
  </si>
  <si>
    <t>88888 78142</t>
  </si>
  <si>
    <t>20004190/003</t>
  </si>
  <si>
    <t>Schaeffler India Limited</t>
  </si>
  <si>
    <t>Tool Room</t>
  </si>
  <si>
    <t>Sandip Gaikwad</t>
  </si>
  <si>
    <t>gaikwsnd@schaeffler.com;</t>
  </si>
  <si>
    <t>17003031/001</t>
  </si>
  <si>
    <t>Yes</t>
  </si>
  <si>
    <t>KXIND/W/YD/SPP/25069R</t>
  </si>
  <si>
    <t xml:space="preserve">Mahindra Vehicals Mf LTD </t>
  </si>
  <si>
    <t>P Blk Store</t>
  </si>
  <si>
    <t>Anant Jadhav</t>
  </si>
  <si>
    <t>anant.jadhav@mahindra.com</t>
  </si>
  <si>
    <t>13000097/001</t>
  </si>
  <si>
    <t>KXIND/W/YD/MC/24032</t>
  </si>
  <si>
    <t xml:space="preserve">PO received with software contract </t>
  </si>
  <si>
    <t>17001697/001</t>
  </si>
  <si>
    <t>17001697/002</t>
  </si>
  <si>
    <t>17001697/003</t>
  </si>
  <si>
    <t>17001697/004</t>
  </si>
  <si>
    <t>17004630/001</t>
  </si>
  <si>
    <t>17004630/003</t>
  </si>
  <si>
    <t>17004630/002</t>
  </si>
  <si>
    <t>Bajaj Auto Ltd</t>
  </si>
  <si>
    <t>Engine Assembly</t>
  </si>
  <si>
    <t>Rajkumar Ajabe</t>
  </si>
  <si>
    <t>rrajabe@bajajauto.co.in</t>
  </si>
  <si>
    <t>KXIND/W/YD/SPP/25018</t>
  </si>
  <si>
    <t>ITC Ltd</t>
  </si>
  <si>
    <t>Engineering stores</t>
  </si>
  <si>
    <t>Navanath Ekatpure</t>
  </si>
  <si>
    <t>navanath.ekatpure@itc.in</t>
  </si>
  <si>
    <t>09006715/001</t>
  </si>
  <si>
    <t>KXIND/W/YD/SPP/24052</t>
  </si>
  <si>
    <t>25.04.2025</t>
  </si>
  <si>
    <t>Cblk Maint</t>
  </si>
  <si>
    <t>Amit sharma</t>
  </si>
  <si>
    <t>s.amit1@tatamotors.com</t>
  </si>
  <si>
    <t>06008006/001</t>
  </si>
  <si>
    <t>KRIND/SA/OTH/520025</t>
  </si>
  <si>
    <t xml:space="preserve">TOP Hydrofit PVT LTD </t>
  </si>
  <si>
    <t>stores</t>
  </si>
  <si>
    <t>Hemant tarate</t>
  </si>
  <si>
    <t>info@tophydrofit.com</t>
  </si>
  <si>
    <t>11001071/001</t>
  </si>
  <si>
    <t>KXIND/W/YD/SPP/24055</t>
  </si>
  <si>
    <t xml:space="preserve">GIC Instruments Pvt Ltd </t>
  </si>
  <si>
    <t>Ajinkya Desale</t>
  </si>
  <si>
    <t>ajinkya.dhekale@gicindia.com</t>
  </si>
  <si>
    <t>08010151/001</t>
  </si>
  <si>
    <t>KXIND/W/YD/SPP/24063</t>
  </si>
  <si>
    <t>12/12/204</t>
  </si>
  <si>
    <t>17/1/2025</t>
  </si>
  <si>
    <t>Pblock Logistics</t>
  </si>
  <si>
    <t>Rahul Adhav</t>
  </si>
  <si>
    <t>ADHAV.RAHUL@mahindra.com</t>
  </si>
  <si>
    <t>KXIND/W/YD/SPP/24062</t>
  </si>
  <si>
    <t>Customer Budget Peocess unlock on 18th.April so request for Pricing on ARIBA will be received 2nd.Week of May</t>
  </si>
  <si>
    <t>yes</t>
  </si>
  <si>
    <t>Bosch Chassis Systems India Ltd</t>
  </si>
  <si>
    <t>maintenance store</t>
  </si>
  <si>
    <t>Pratap Jagdale</t>
  </si>
  <si>
    <t>Pratap.Jagadale@in.bosch.com</t>
  </si>
  <si>
    <t>19004857/001</t>
  </si>
  <si>
    <t>KXIND/W/YD/MC/24066</t>
  </si>
  <si>
    <t>Coesia India Pvt.Ltd.</t>
  </si>
  <si>
    <t>D.Kadam</t>
  </si>
  <si>
    <t>dnyaneshwar.kadam@coesia.com</t>
  </si>
  <si>
    <t>16000669/001</t>
  </si>
  <si>
    <t>KXIND/W/YD/MC/24069</t>
  </si>
  <si>
    <t>CGT250008</t>
  </si>
  <si>
    <t>PO with software contract S/C value 25043</t>
  </si>
  <si>
    <t>16000668/001</t>
  </si>
  <si>
    <t>Eagle Burgmann India Pvt Ltd</t>
  </si>
  <si>
    <t>Mahesh Hole</t>
  </si>
  <si>
    <t>Mahesh.Hole@in.eagleburgmann.com</t>
  </si>
  <si>
    <t>08004851/001</t>
  </si>
  <si>
    <t>KXIND/W/YD/MC/24071</t>
  </si>
  <si>
    <t>Harman International (I) Pvt Ltd</t>
  </si>
  <si>
    <t>Santosh Deshmukh</t>
  </si>
  <si>
    <t>santosh.deshmukh@harman.com</t>
  </si>
  <si>
    <t>19005224/001</t>
  </si>
  <si>
    <t>KXIND/W/YD/MC/24067</t>
  </si>
  <si>
    <t>19005224/002</t>
  </si>
  <si>
    <t>19005224/003</t>
  </si>
  <si>
    <t>23002397/001</t>
  </si>
  <si>
    <t xml:space="preserve">Klug avalon mechatronics </t>
  </si>
  <si>
    <t>N.Patil</t>
  </si>
  <si>
    <t>rms@klugavalon.com</t>
  </si>
  <si>
    <t>16007512/001</t>
  </si>
  <si>
    <t>KXIND/W/YD/MC/24072</t>
  </si>
  <si>
    <t>Ananda. A</t>
  </si>
  <si>
    <t>asoduaan@schaeffler.com</t>
  </si>
  <si>
    <t>19004014/001</t>
  </si>
  <si>
    <t>KXIND/W/YD/MC/24076</t>
  </si>
  <si>
    <t>0042 / Y20 / 38369028</t>
  </si>
  <si>
    <t>0042 / Y20 / 38414491</t>
  </si>
  <si>
    <t>Spare stores</t>
  </si>
  <si>
    <t>Vivek Kamya</t>
  </si>
  <si>
    <t>+91 9850 8069 74</t>
  </si>
  <si>
    <t>Vivek.Kyama@tetrapak.com</t>
  </si>
  <si>
    <t>07009761/001</t>
  </si>
  <si>
    <t>KXIND/W/YD/MC/24070</t>
  </si>
  <si>
    <t>Tata motors passenger vehicles Limted (Tata Motors Ltd)</t>
  </si>
  <si>
    <t>Logistics</t>
  </si>
  <si>
    <t>Ravindra wani</t>
  </si>
  <si>
    <t>ravindra.wani@tatamotors.com</t>
  </si>
  <si>
    <t>08000931/001</t>
  </si>
  <si>
    <t>KXIND/W/YD/MC/24057</t>
  </si>
  <si>
    <t>08000931/002</t>
  </si>
  <si>
    <t>07000901/001</t>
  </si>
  <si>
    <t>07000901/002</t>
  </si>
  <si>
    <t>07000904/001</t>
  </si>
  <si>
    <t>07000904/002</t>
  </si>
  <si>
    <t>07007494/001</t>
  </si>
  <si>
    <t>06009440/001</t>
  </si>
  <si>
    <t>06009440/002</t>
  </si>
  <si>
    <t>06009440/003</t>
  </si>
  <si>
    <t>07007497/002</t>
  </si>
  <si>
    <t>05000458/001</t>
  </si>
  <si>
    <t>05000458/002</t>
  </si>
  <si>
    <t xml:space="preserve">Minda Industries LTD </t>
  </si>
  <si>
    <t>D T Narawade</t>
  </si>
  <si>
    <t>dtnarawade@unominda.com</t>
  </si>
  <si>
    <t>03007276/001</t>
  </si>
  <si>
    <t>KXIND/W/YD/SER/2504</t>
  </si>
  <si>
    <t xml:space="preserve">Kirloskar Oil Engine LTD </t>
  </si>
  <si>
    <t>Stores</t>
  </si>
  <si>
    <t>Sayajirao Mali</t>
  </si>
  <si>
    <t>9881734612 </t>
  </si>
  <si>
    <t>sayajirao.mali@kirloskar.com</t>
  </si>
  <si>
    <t>07000530/001</t>
  </si>
  <si>
    <t>KXIND/W/MC/YD/2505</t>
  </si>
  <si>
    <t>07007199/001</t>
  </si>
  <si>
    <t>07007204/001</t>
  </si>
  <si>
    <t>07008022/001</t>
  </si>
  <si>
    <t>07008406/001</t>
  </si>
  <si>
    <t>07010686/001</t>
  </si>
  <si>
    <t>16000438/002</t>
  </si>
  <si>
    <t>16000438/001</t>
  </si>
  <si>
    <t>Tool Crib</t>
  </si>
  <si>
    <t>sagar kulkarni</t>
  </si>
  <si>
    <t>sagar.kulkarni@tatamotors.com</t>
  </si>
  <si>
    <t>04006517/001</t>
  </si>
  <si>
    <t>KXIND/W/MC/YD/24077</t>
  </si>
  <si>
    <t>04006517/002</t>
  </si>
  <si>
    <t>TCF</t>
  </si>
  <si>
    <t>Depak Dalvi</t>
  </si>
  <si>
    <t>DGD793450@tatamotors.com</t>
  </si>
  <si>
    <t>KXIND/W/YD/SPP/25088</t>
  </si>
  <si>
    <t>Purchase will be plan after budgetin after 31st.March</t>
  </si>
  <si>
    <t>KXIND/W/YD/SPP/2505</t>
  </si>
  <si>
    <t xml:space="preserve">Not Appoved by management </t>
  </si>
  <si>
    <t>Merck Life Science Pvt Ltd</t>
  </si>
  <si>
    <t>Mumbai</t>
  </si>
  <si>
    <t>Kalpesh Patil</t>
  </si>
  <si>
    <t>Kalpesh.patil@external.merckgroup.com</t>
  </si>
  <si>
    <t>23004830/001</t>
  </si>
  <si>
    <t>KXIND/W/YD/SPP/24068</t>
  </si>
  <si>
    <t>Lupin Limited</t>
  </si>
  <si>
    <t>Nagpur</t>
  </si>
  <si>
    <t>Mukesh Namdev</t>
  </si>
  <si>
    <t>+91 8959678211</t>
  </si>
  <si>
    <t>mukeshnamdev@lupin.com</t>
  </si>
  <si>
    <t>23005504/001</t>
  </si>
  <si>
    <t>KXIND/W/YD/MC/2509R</t>
  </si>
  <si>
    <t>Revised offer submitted</t>
  </si>
  <si>
    <t>22005568/001</t>
  </si>
  <si>
    <t>KXIND/W/YD/MC/25010</t>
  </si>
  <si>
    <t>29/01/2025</t>
  </si>
  <si>
    <t>MTD store</t>
  </si>
  <si>
    <t>KIRAN S MAKHAMALE</t>
  </si>
  <si>
    <t>(020)66106409</t>
  </si>
  <si>
    <t>ksmakhamale@bajajauto.co.in</t>
  </si>
  <si>
    <t>14006953/001</t>
  </si>
  <si>
    <t>KXIND/W/YD/MC/25014R</t>
  </si>
  <si>
    <t xml:space="preserve">Fiat india Automobiles Pvt. LTD </t>
  </si>
  <si>
    <t>Ajinkya Suryavanshi</t>
  </si>
  <si>
    <t>Ajinkya.Suryavanshi@fiapl.com</t>
  </si>
  <si>
    <t>08008916/001</t>
  </si>
  <si>
    <t>KXIND/W/YD/MC/25015</t>
  </si>
  <si>
    <t>Offer including SW contract</t>
  </si>
  <si>
    <t>08008916/002</t>
  </si>
  <si>
    <t>10005771/001</t>
  </si>
  <si>
    <t>10005770/001</t>
  </si>
  <si>
    <t>Skoda Auto Volkswagen India Pvt Ltd</t>
  </si>
  <si>
    <t>Pranav shinde</t>
  </si>
  <si>
    <t>pranav.shinde1@skoda-vw.co.in</t>
  </si>
  <si>
    <t>KXIND/W/YD/SPP/25013</t>
  </si>
  <si>
    <t>KRIND/W/YD/RE/25069</t>
  </si>
  <si>
    <t>15-092025</t>
  </si>
  <si>
    <t>Carraro India Pvt Limited</t>
  </si>
  <si>
    <t>Ravindra khambayat</t>
  </si>
  <si>
    <t>Ravindra_Khambayat@carraro.com</t>
  </si>
  <si>
    <t>KXIND/W/YD/SPP/25012</t>
  </si>
  <si>
    <t>veh.store</t>
  </si>
  <si>
    <t>Ganesh Navale</t>
  </si>
  <si>
    <t>ganesh.navale@bajaj.co.in</t>
  </si>
  <si>
    <t>18001594/001</t>
  </si>
  <si>
    <t>KXIND/W/YD/SPP/24025</t>
  </si>
  <si>
    <t>13/02/2025</t>
  </si>
  <si>
    <t>KXIND/W/YD/SPP/2519</t>
  </si>
  <si>
    <t>17/02/2025</t>
  </si>
  <si>
    <t>Kaeser Compressor (I) Pvt Ltd</t>
  </si>
  <si>
    <t>Pravin Ingale</t>
  </si>
  <si>
    <t>pravin.ingle@kaeser.com</t>
  </si>
  <si>
    <t>22004776/001</t>
  </si>
  <si>
    <t>KXIND/W/YD/SPP/25024</t>
  </si>
  <si>
    <t>KXIND/W/SPP/YD/25021</t>
  </si>
  <si>
    <t>stors</t>
  </si>
  <si>
    <t>Mohan Kumar</t>
  </si>
  <si>
    <t>mg.mohan@tetrapak.com</t>
  </si>
  <si>
    <t>13004913/001</t>
  </si>
  <si>
    <t>KXIND/W/SPP/YD/25022</t>
  </si>
  <si>
    <t>KXIND/W/SPP/YD/25023</t>
  </si>
  <si>
    <t>J K Sales</t>
  </si>
  <si>
    <t>Nilesh nazare</t>
  </si>
  <si>
    <t>nilesh.nazre@jksales.in</t>
  </si>
  <si>
    <t>19009236/001</t>
  </si>
  <si>
    <t>KXIND/W/YD/MC/25024</t>
  </si>
  <si>
    <t>JK/PO/25-26/0041</t>
  </si>
  <si>
    <t>Rieter India Pvt Ltd</t>
  </si>
  <si>
    <t>Manoj Rasal</t>
  </si>
  <si>
    <t xml:space="preserve">manoj.rasal@rieter.com </t>
  </si>
  <si>
    <t>21002906/001</t>
  </si>
  <si>
    <t xml:space="preserve">KXIND/W/MC/YD/25025                                                                          </t>
  </si>
  <si>
    <t>KXIND/W/YD/SPP/25033</t>
  </si>
  <si>
    <t>23.05.2025</t>
  </si>
  <si>
    <t>Jabil Circuit India private Limited</t>
  </si>
  <si>
    <t>Kelly Zhu</t>
  </si>
  <si>
    <t>+86 181-6832-9955</t>
  </si>
  <si>
    <t>Kelly_Zhu33@Jabil.com</t>
  </si>
  <si>
    <t>24005161/001</t>
  </si>
  <si>
    <t>KXIND/W/YD/SPP/25031</t>
  </si>
  <si>
    <t>C-10003127958</t>
  </si>
  <si>
    <t xml:space="preserve">Yes </t>
  </si>
  <si>
    <t>P block stores</t>
  </si>
  <si>
    <t>KiranKapgate</t>
  </si>
  <si>
    <t>KAPGATE.KIRAN@mahindra.com</t>
  </si>
  <si>
    <t>KXIND/W/SPP/YD25026</t>
  </si>
  <si>
    <t>LMT Tools India Pvt Ltd</t>
  </si>
  <si>
    <t>Ramesh Thorat</t>
  </si>
  <si>
    <t>RKthorat@lmt-tools.com</t>
  </si>
  <si>
    <t>99006602/001</t>
  </si>
  <si>
    <t>KRIND/W/RE/25027R</t>
  </si>
  <si>
    <t>KXIND/W/YD/MC/25027</t>
  </si>
  <si>
    <t>24.05.2025</t>
  </si>
  <si>
    <t>KXIND/W/YD/MC/25034R</t>
  </si>
  <si>
    <t>PO for two years with software contract</t>
  </si>
  <si>
    <t>22004776/002</t>
  </si>
  <si>
    <t>22004776/003</t>
  </si>
  <si>
    <t>22004776/004</t>
  </si>
  <si>
    <t>Sedmac Mechatronics Pvt.Ltd.</t>
  </si>
  <si>
    <t>Vinay Shinde</t>
  </si>
  <si>
    <t>vinay.shinde@sedemac.com</t>
  </si>
  <si>
    <t>18008976/001</t>
  </si>
  <si>
    <t>KXIND/W/YD/SPP/25042</t>
  </si>
  <si>
    <t>CP1/ IP2009681</t>
  </si>
  <si>
    <t>KXIND/W/YD/MC/25039</t>
  </si>
  <si>
    <t>00011128/002</t>
  </si>
  <si>
    <t>00011128/003</t>
  </si>
  <si>
    <t>14000603/001</t>
  </si>
  <si>
    <t>14000604/001</t>
  </si>
  <si>
    <t>Eng.stores</t>
  </si>
  <si>
    <t>+91 9890621626</t>
  </si>
  <si>
    <t>16001321/001</t>
  </si>
  <si>
    <t>KXIND/W/YD/MC/25040</t>
  </si>
  <si>
    <t>00011128/001</t>
  </si>
  <si>
    <t>00011128/004</t>
  </si>
  <si>
    <t>19003778/001</t>
  </si>
  <si>
    <t>16001320/001</t>
  </si>
  <si>
    <t>Alu store</t>
  </si>
  <si>
    <t>A Ranjanekar</t>
  </si>
  <si>
    <t>+91 9503050696</t>
  </si>
  <si>
    <t>asranjekar@bajajauto.co.in;</t>
  </si>
  <si>
    <t>99012291/001</t>
  </si>
  <si>
    <t>KXIND/W/YD/MC/25042</t>
  </si>
  <si>
    <t xml:space="preserve">GKN Sinter Metals LTD </t>
  </si>
  <si>
    <t>Tool stores</t>
  </si>
  <si>
    <t>Tanaji Shinde</t>
  </si>
  <si>
    <t>tanaji.shinde@gknpm.com</t>
  </si>
  <si>
    <t>07000033/001</t>
  </si>
  <si>
    <t>KXIND/W/YD/MC/25038</t>
  </si>
  <si>
    <t>stockroom</t>
  </si>
  <si>
    <t>Uttam Nichit</t>
  </si>
  <si>
    <t>+91 7709187911</t>
  </si>
  <si>
    <t>Uttam_Nichit@jabil.com </t>
  </si>
  <si>
    <t>22008232/001</t>
  </si>
  <si>
    <t>KXIND/W/YD/MC/25047</t>
  </si>
  <si>
    <t>C-10003211431</t>
  </si>
  <si>
    <t>PO with software contract S/C value 20000</t>
  </si>
  <si>
    <t>22008233/001</t>
  </si>
  <si>
    <t>22008233/002</t>
  </si>
  <si>
    <t>22008233/003</t>
  </si>
  <si>
    <t xml:space="preserve">Alfa Laval India LTD </t>
  </si>
  <si>
    <t xml:space="preserve">DLC </t>
  </si>
  <si>
    <t>Ranjit Shinde</t>
  </si>
  <si>
    <t>ranjit.shinde@alfalaval.com</t>
  </si>
  <si>
    <t>07010871/001</t>
  </si>
  <si>
    <t>KRIND/W/RE/24051</t>
  </si>
  <si>
    <t>work done and billing in Feb.25</t>
  </si>
  <si>
    <t>19008264/001</t>
  </si>
  <si>
    <t>22008500/001</t>
  </si>
  <si>
    <t>KRIND/W/RE/25045</t>
  </si>
  <si>
    <t>0042 / 7000970016</t>
  </si>
  <si>
    <t>Relocation plan in this month.</t>
  </si>
  <si>
    <t>Ele.veh</t>
  </si>
  <si>
    <t>Gopal Adhao</t>
  </si>
  <si>
    <t>gsadhao@bajajauto.co.in</t>
  </si>
  <si>
    <t>18001595/001</t>
  </si>
  <si>
    <t>KRIND/W/YD/RE/25052</t>
  </si>
  <si>
    <t>26.07.2025</t>
  </si>
  <si>
    <t>Kirloskarwadi</t>
  </si>
  <si>
    <t>KXIND/W/YD/SPP/25053</t>
  </si>
  <si>
    <t>KXIND/W/YD/SPP/2552</t>
  </si>
  <si>
    <t>SKF India Ltd.</t>
  </si>
  <si>
    <t>santoshMhaske</t>
  </si>
  <si>
    <t>Santosh.Mhaske@skf.com</t>
  </si>
  <si>
    <t>17003414/001</t>
  </si>
  <si>
    <t>KXIND/W/YD/MC/25041</t>
  </si>
  <si>
    <t>19007107/001</t>
  </si>
  <si>
    <t>19007106/001</t>
  </si>
  <si>
    <t>23004356/001</t>
  </si>
  <si>
    <t>Rohan shinde</t>
  </si>
  <si>
    <t>rohan.shinde@tatamotors.com</t>
  </si>
  <si>
    <t>KXIND/W/MLU/YD24-011</t>
  </si>
  <si>
    <t>Avinash Singh</t>
  </si>
  <si>
    <t>KXIND/W/YD/MC/25057</t>
  </si>
  <si>
    <t>27-10-205</t>
  </si>
  <si>
    <t xml:space="preserve">Kirloskar Ebara Pumps LTD </t>
  </si>
  <si>
    <t>sachin mali</t>
  </si>
  <si>
    <t>7796670030    </t>
  </si>
  <si>
    <t>SACHIN.MALI@kepl.in.net</t>
  </si>
  <si>
    <t>05007988/001</t>
  </si>
  <si>
    <t>KXIND/W/YD/MC/25056</t>
  </si>
  <si>
    <t>29.07.2025</t>
  </si>
  <si>
    <t>05007988/002</t>
  </si>
  <si>
    <t>05007988/003</t>
  </si>
  <si>
    <t>05007988/004</t>
  </si>
  <si>
    <t>05007988/005</t>
  </si>
  <si>
    <t>29.07.2026</t>
  </si>
  <si>
    <t>05007988/006</t>
  </si>
  <si>
    <t>11000436/001</t>
  </si>
  <si>
    <t>Ajinkya Dekale</t>
  </si>
  <si>
    <t>KXIND/W/YD/SPP/25058</t>
  </si>
  <si>
    <t>KXIND/W/YD/SPP/25034</t>
  </si>
  <si>
    <t>Yogesh Khandare</t>
  </si>
  <si>
    <t>yogesh.khandare@skf.com</t>
  </si>
  <si>
    <t>23006882/001</t>
  </si>
  <si>
    <t>KRIND/SA/OTH/25000008</t>
  </si>
  <si>
    <t>Rakesh Kirange</t>
  </si>
  <si>
    <t>rnkirange@bajajauto.co.in</t>
  </si>
  <si>
    <t>KRIND/SR/OTH/25015</t>
  </si>
  <si>
    <t>KXIND/W/YD/SPP/25064</t>
  </si>
  <si>
    <t>KXIND/W/YD/SPP/25063</t>
  </si>
  <si>
    <t>Tushar Bandgar</t>
  </si>
  <si>
    <t>tsbandgar@bajajauto.co.in</t>
  </si>
  <si>
    <t>KRIND/SR/OTH/2508</t>
  </si>
  <si>
    <t>KXIND/W/YD/MLU/25011</t>
  </si>
  <si>
    <t>Arrav fragnance &amp; Flavers</t>
  </si>
  <si>
    <t>Shirish pansae</t>
  </si>
  <si>
    <t>shirish.phanse@aarav.co</t>
  </si>
  <si>
    <t>13004374/001</t>
  </si>
  <si>
    <t>KRIND/SA/OTH/25000051</t>
  </si>
  <si>
    <t>KXIND/W/YD/MLU/25068</t>
  </si>
  <si>
    <t xml:space="preserve">Invidia </t>
  </si>
  <si>
    <t xml:space="preserve">Kelly Zhu </t>
  </si>
  <si>
    <t>Kelly_Zhu33@Jabil.com&gt;</t>
  </si>
  <si>
    <t>24005162/004</t>
  </si>
  <si>
    <t xml:space="preserve">KXIND/W/SER/25071                                                                                       </t>
  </si>
  <si>
    <t>C-10003325512</t>
  </si>
  <si>
    <t>Dnyaneshwar Kadam</t>
  </si>
  <si>
    <t>KXIND/W/YD/SPP/25074</t>
  </si>
  <si>
    <t>CGT250058</t>
  </si>
  <si>
    <t>J3 block</t>
  </si>
  <si>
    <t>Sushant ogale</t>
  </si>
  <si>
    <t>23157712@MAHINDRA.COM</t>
  </si>
  <si>
    <t>18006730/001</t>
  </si>
  <si>
    <t>KXIND/W/YD/SPP/25061</t>
  </si>
  <si>
    <t>08001856/001</t>
  </si>
  <si>
    <t>KXIND/W/YD/SPP/25073</t>
  </si>
  <si>
    <t>4500565834 4500570108</t>
  </si>
  <si>
    <t>KXIND/W/YD/SPP/2503</t>
  </si>
  <si>
    <t>Purchase will be plan after 31st.march</t>
  </si>
  <si>
    <t>WH store</t>
  </si>
  <si>
    <t>KXIND/W/YD/SPP/25070</t>
  </si>
  <si>
    <t>KXIND/W/YD/SPP/25072</t>
  </si>
  <si>
    <t>Sanjay Dhake</t>
  </si>
  <si>
    <t>sanjay.dhake@tatamotors.com</t>
  </si>
  <si>
    <t>12003563/001</t>
  </si>
  <si>
    <t>KXIND/W/SPP/YD/25070</t>
  </si>
  <si>
    <t>16.10.2025</t>
  </si>
  <si>
    <t>toolcrib</t>
  </si>
  <si>
    <t>Mangesh Joshi</t>
  </si>
  <si>
    <t>Mangesh.j@tatamotors.com</t>
  </si>
  <si>
    <t>KXIND/W/YD/SPP/24054</t>
  </si>
  <si>
    <t>1515078460 59</t>
  </si>
  <si>
    <t>Bridgestone India Pvt.Ltd.</t>
  </si>
  <si>
    <t>HR store</t>
  </si>
  <si>
    <t>Mangesh Engale</t>
  </si>
  <si>
    <t>mangesh-ingle@bridgestone.co.in</t>
  </si>
  <si>
    <t>18005925/001</t>
  </si>
  <si>
    <t>KXIND/W/YD/MC/25077</t>
  </si>
  <si>
    <t>Jyoti Avhad</t>
  </si>
  <si>
    <t>jyoti.avhad@tatamotors.com</t>
  </si>
  <si>
    <t>Maintenanace</t>
  </si>
  <si>
    <t>Samyak Annadate</t>
  </si>
  <si>
    <t>SSA820360@tatamotors.com</t>
  </si>
  <si>
    <t>06009180/001</t>
  </si>
  <si>
    <t>KXIND/W/YD/SPP/25067</t>
  </si>
  <si>
    <t>KXIND/W/YD/SPP/25075</t>
  </si>
  <si>
    <t>kolhapur</t>
  </si>
  <si>
    <t>Genset store</t>
  </si>
  <si>
    <t>Sagar Kamatnure</t>
  </si>
  <si>
    <t>sagar.kamatnure@kirloskar.com</t>
  </si>
  <si>
    <t>tool stores</t>
  </si>
  <si>
    <t>Anil Naikade</t>
  </si>
  <si>
    <t>Anil.naikade@schaeffler.com</t>
  </si>
  <si>
    <t>KXIND/W/YD/SPP/25062</t>
  </si>
  <si>
    <t>KXIND/W/SPP/YD/25074</t>
  </si>
  <si>
    <t>KXIND/W/YD/SPP/25079</t>
  </si>
  <si>
    <t>5210062798 5210062794</t>
  </si>
  <si>
    <t>kagal</t>
  </si>
  <si>
    <t>Ganesh Jagtap</t>
  </si>
  <si>
    <t>ganesh.jagtap@kirloskar.com</t>
  </si>
  <si>
    <t>KXIND/W/YD/SPP/25080</t>
  </si>
  <si>
    <t>Sujit Kadam</t>
  </si>
  <si>
    <t>sujit.kadam@tatamotors.com</t>
  </si>
  <si>
    <t>06009440/004</t>
  </si>
  <si>
    <t>KXIND/W/YD/SPP/25082</t>
  </si>
  <si>
    <t>Sujit kadam</t>
  </si>
  <si>
    <t>KXIND/W/YD/SPP/25083</t>
  </si>
  <si>
    <t>Pranjal Dhok</t>
  </si>
  <si>
    <t xml:space="preserve"> 88888 13957</t>
  </si>
  <si>
    <t>Pranjal.Dhok@tetrapak.com</t>
  </si>
  <si>
    <t>KRIND/W/RE/25090</t>
  </si>
  <si>
    <t>9-12-12025</t>
  </si>
  <si>
    <t>weldshop</t>
  </si>
  <si>
    <t>Raj birajdar</t>
  </si>
  <si>
    <t>13004092/001</t>
  </si>
  <si>
    <t>KXIND/W/SPP/YD/25087</t>
  </si>
  <si>
    <t>1515080977,76,75</t>
  </si>
  <si>
    <t>KXIND/W/SPP/YD/25086</t>
  </si>
  <si>
    <t>ERC div</t>
  </si>
  <si>
    <t>Gaurav Bajpai</t>
  </si>
  <si>
    <t>gaurav.bajpai@tatamotors.com</t>
  </si>
  <si>
    <t>12001954/001</t>
  </si>
  <si>
    <t>KXIND/W/SPP/YD/25088</t>
  </si>
  <si>
    <t>KXIND/W/SPP/YD/25089</t>
  </si>
  <si>
    <t>KARDEX INDIA - LIVE OFFER FUNEL - ASHRAF - WEST</t>
  </si>
  <si>
    <t>Cummins Technologis India Pvt Ltd</t>
  </si>
  <si>
    <t>phaltan</t>
  </si>
  <si>
    <t>PCP1</t>
  </si>
  <si>
    <t>Sagar Jagatap</t>
  </si>
  <si>
    <t>sagar.jagatap@cummins.com</t>
  </si>
  <si>
    <t>18007324/001</t>
  </si>
  <si>
    <t>KRIND/W/SPP/AB/24005</t>
  </si>
  <si>
    <t>IND8202828</t>
  </si>
  <si>
    <t>Hiteco TMS India Pvt Ltd</t>
  </si>
  <si>
    <t>Stores tool</t>
  </si>
  <si>
    <t>Wasim Sheikh</t>
  </si>
  <si>
    <t>XPNCN24@hmil.net</t>
  </si>
  <si>
    <t>09008827/001</t>
  </si>
  <si>
    <t>KRIND/W/SPP/AB24018</t>
  </si>
  <si>
    <t>Bharat Electronics Ltd</t>
  </si>
  <si>
    <t>Vilas Khade</t>
  </si>
  <si>
    <t>vilaskhade@bel.co.in</t>
  </si>
  <si>
    <t>04002775/002</t>
  </si>
  <si>
    <t>KRIND/W/SPP/AB240026</t>
  </si>
  <si>
    <t>Sulzer Pumps India Pvt Ltd</t>
  </si>
  <si>
    <t>store</t>
  </si>
  <si>
    <t>Anant Tarniker</t>
  </si>
  <si>
    <t>anant.ternikar@sulzer.com</t>
  </si>
  <si>
    <t>KRIND/W/SPP/AB24032</t>
  </si>
  <si>
    <t xml:space="preserve">discussion happened </t>
  </si>
  <si>
    <t>Seco Tools India PVT LTD</t>
  </si>
  <si>
    <t>Document Store</t>
  </si>
  <si>
    <t>Prasanna Godbole</t>
  </si>
  <si>
    <t>prasanna.godbole@secotools.com</t>
  </si>
  <si>
    <t>16008208/001</t>
  </si>
  <si>
    <t>KXIND/W/MC/AB24030</t>
  </si>
  <si>
    <t>DTA</t>
  </si>
  <si>
    <t>16007507/001</t>
  </si>
  <si>
    <t>11010676/001</t>
  </si>
  <si>
    <t>Sandvik Coromant India Pvt Ltd</t>
  </si>
  <si>
    <t>Soft Tools</t>
  </si>
  <si>
    <t>Vivek Khodade</t>
  </si>
  <si>
    <t>vivek.khodade@sandvik.com</t>
  </si>
  <si>
    <t>21003645/001</t>
  </si>
  <si>
    <t>NO</t>
  </si>
  <si>
    <t>KRIND/W/RF/AB24048</t>
  </si>
  <si>
    <t>IGS</t>
  </si>
  <si>
    <t>Arun kadam</t>
  </si>
  <si>
    <t>Arun.Kadam@secotools.com</t>
  </si>
  <si>
    <t>13005433/001</t>
  </si>
  <si>
    <t>KXIND/W/MC/AB24036</t>
  </si>
  <si>
    <t xml:space="preserve">Press shop </t>
  </si>
  <si>
    <t>11010646/001</t>
  </si>
  <si>
    <t>Sinter</t>
  </si>
  <si>
    <t>13001978/001</t>
  </si>
  <si>
    <t xml:space="preserve">Bharat Forge LTD </t>
  </si>
  <si>
    <t>Aerospace</t>
  </si>
  <si>
    <t>Kiran Patil</t>
  </si>
  <si>
    <t>Kiran.Patil@bharatforge.com</t>
  </si>
  <si>
    <t>17007143/001</t>
  </si>
  <si>
    <t>KXIND/W/MC/AB/24038</t>
  </si>
  <si>
    <t xml:space="preserve">Cummins India Ltd </t>
  </si>
  <si>
    <t>KV &amp; NHNT</t>
  </si>
  <si>
    <t>Vishal B Kalshetti</t>
  </si>
  <si>
    <t>Vishal.Kalshetti@cummins.com</t>
  </si>
  <si>
    <t>07002616/001</t>
  </si>
  <si>
    <t>KRIND/W/MC/AB/240039</t>
  </si>
  <si>
    <t>IND7985383</t>
  </si>
  <si>
    <t>Please share the PO copy</t>
  </si>
  <si>
    <t>00009908/002</t>
  </si>
  <si>
    <t>00009908/003</t>
  </si>
  <si>
    <t>00009908/004</t>
  </si>
  <si>
    <t>00009908/005</t>
  </si>
  <si>
    <t>01000708/001</t>
  </si>
  <si>
    <t>00009908/001</t>
  </si>
  <si>
    <t>Decanter</t>
  </si>
  <si>
    <t>Sagar Pawar</t>
  </si>
  <si>
    <t>Sagar.Pawar@alfalaval.com</t>
  </si>
  <si>
    <t>05004742/001</t>
  </si>
  <si>
    <t>KXIND/W/MC/AB24040</t>
  </si>
  <si>
    <t>07005169/001</t>
  </si>
  <si>
    <t>07005164/001</t>
  </si>
  <si>
    <t>10010116/001</t>
  </si>
  <si>
    <t>KXIND/W/MC/AB24041</t>
  </si>
  <si>
    <t>Jitu Shirke</t>
  </si>
  <si>
    <t>jitendra.shirke@alfalaval.com</t>
  </si>
  <si>
    <t>07008042/001</t>
  </si>
  <si>
    <t>KXIND/W/MC/AB24042</t>
  </si>
  <si>
    <t>1100003/001</t>
  </si>
  <si>
    <t>22006265/001</t>
  </si>
  <si>
    <t>YES</t>
  </si>
  <si>
    <t>KAR/IND/RE/AB/007</t>
  </si>
  <si>
    <t>Siemens Ltd.</t>
  </si>
  <si>
    <t>Switchboard</t>
  </si>
  <si>
    <t>Amar Gurav</t>
  </si>
  <si>
    <t>amar.gurav@siemens.com</t>
  </si>
  <si>
    <t>09002885/001</t>
  </si>
  <si>
    <t>KAR/IND/RE/AB/008</t>
  </si>
  <si>
    <t>Final Ins</t>
  </si>
  <si>
    <t>22005009/001</t>
  </si>
  <si>
    <t>KXIND/W/MC/AB24046</t>
  </si>
  <si>
    <t>24/12/2025</t>
  </si>
  <si>
    <t>pune</t>
  </si>
  <si>
    <t>Lapping</t>
  </si>
  <si>
    <t>Mahesh Ambawale</t>
  </si>
  <si>
    <t>mahesh.ambawale@sandvik.com</t>
  </si>
  <si>
    <t>17008268/001</t>
  </si>
  <si>
    <t>KRIND/W/SPP/AB24049</t>
  </si>
  <si>
    <t>20/01/2025</t>
  </si>
  <si>
    <t>29/1/2025</t>
  </si>
  <si>
    <t>Wirtgen India Pvt.Ltd.</t>
  </si>
  <si>
    <t>Sagar Brijpuriya</t>
  </si>
  <si>
    <t>sagar.brijpuriya@wirtgen-group.com</t>
  </si>
  <si>
    <t>16004741/001</t>
  </si>
  <si>
    <t>KXIND/W/MC/AB/25001</t>
  </si>
  <si>
    <t>16004741/002</t>
  </si>
  <si>
    <t>Firmenich Aerometics I Pvt.ltd.</t>
  </si>
  <si>
    <t>Flavours</t>
  </si>
  <si>
    <t>Utkarsh Kumar</t>
  </si>
  <si>
    <t>utkarsh.kumar@dsm-firmenich.com</t>
  </si>
  <si>
    <t>18007781/001</t>
  </si>
  <si>
    <t>KXIND/W/MC/AB/25002</t>
  </si>
  <si>
    <t>18007778/001</t>
  </si>
  <si>
    <t>18007778/002</t>
  </si>
  <si>
    <t>N R PAtil</t>
  </si>
  <si>
    <t>nrpatil@bajajauto.co.in</t>
  </si>
  <si>
    <t>04005026/001</t>
  </si>
  <si>
    <t>Old PO Ref</t>
  </si>
  <si>
    <t>31/1/2025</t>
  </si>
  <si>
    <t>04005026/002</t>
  </si>
  <si>
    <t>04005017/001</t>
  </si>
  <si>
    <t>04005017/002</t>
  </si>
  <si>
    <t>05007141/001</t>
  </si>
  <si>
    <t>12002374/001</t>
  </si>
  <si>
    <t>05007142/001</t>
  </si>
  <si>
    <t>12002320/001</t>
  </si>
  <si>
    <t>12002279/001</t>
  </si>
  <si>
    <t>12002280/001</t>
  </si>
  <si>
    <t xml:space="preserve">Bharat Bijlee Ltd </t>
  </si>
  <si>
    <t>sachin Lad</t>
  </si>
  <si>
    <t>Sachin.Lad@bharatbijlee.com</t>
  </si>
  <si>
    <t>11001977/001</t>
  </si>
  <si>
    <t> KRIND/W/SPP/AB240027</t>
  </si>
  <si>
    <t>3000004978 &amp; 5000015774</t>
  </si>
  <si>
    <t>Bapu Shinde</t>
  </si>
  <si>
    <t>bapu.b.shinde@cummins.com</t>
  </si>
  <si>
    <t>16005685/001</t>
  </si>
  <si>
    <t>KRIND/W/MC/AB24049</t>
  </si>
  <si>
    <t>IND8022852</t>
  </si>
  <si>
    <t>19002965/001</t>
  </si>
  <si>
    <t>Rohida Adawale</t>
  </si>
  <si>
    <t>Rohidas.Adawale@secotools.com</t>
  </si>
  <si>
    <t>11010645/001</t>
  </si>
  <si>
    <t>KRIND/W/SPP/AB24031</t>
  </si>
  <si>
    <t>GE India Industrial Pvt.Ltd.</t>
  </si>
  <si>
    <t>Pravin Gaikwad</t>
  </si>
  <si>
    <t>pravin.gaikwad@ge.com</t>
  </si>
  <si>
    <t>16004510/001</t>
  </si>
  <si>
    <t>KRIND/W/SPP/AB/25001</t>
  </si>
  <si>
    <t xml:space="preserve">final discount has been extended. </t>
  </si>
  <si>
    <t xml:space="preserve">KSB Pumps LTD </t>
  </si>
  <si>
    <t>Chinchwad</t>
  </si>
  <si>
    <t>Navnath Tarade</t>
  </si>
  <si>
    <t>Navnath.Tarade@ksb.com</t>
  </si>
  <si>
    <t>01004097/001</t>
  </si>
  <si>
    <t>KRIND/W/SPP/AB/25002</t>
  </si>
  <si>
    <t>budgeted in april</t>
  </si>
  <si>
    <t>Pimpri</t>
  </si>
  <si>
    <t>Sarang Budale</t>
  </si>
  <si>
    <t>Sarang.Budale@ksb.com</t>
  </si>
  <si>
    <t>14005057/001</t>
  </si>
  <si>
    <t>KRIND/W/SPP/AB/25003</t>
  </si>
  <si>
    <t>10.7.2025</t>
  </si>
  <si>
    <t>shirwal</t>
  </si>
  <si>
    <t>Sachine Pawar</t>
  </si>
  <si>
    <t>sachin.pawar@ksb.com</t>
  </si>
  <si>
    <t>02002336/002</t>
  </si>
  <si>
    <t>KRIND/W/SPP/AB/25005</t>
  </si>
  <si>
    <t>24/09/2025</t>
  </si>
  <si>
    <t>Amol Patil</t>
  </si>
  <si>
    <t>amol.s.patil@secotools.com</t>
  </si>
  <si>
    <t>KRIND/W/SPP/AB25006</t>
  </si>
  <si>
    <t>Round Tools</t>
  </si>
  <si>
    <t>Sunny Rangire</t>
  </si>
  <si>
    <t>sunny.rangire@sandvik.com</t>
  </si>
  <si>
    <t>18005569/001</t>
  </si>
  <si>
    <t>KRIND/W/SPP/AB25007</t>
  </si>
  <si>
    <t xml:space="preserve">Mahindra &amp; Mahindra LTD </t>
  </si>
  <si>
    <t>FED</t>
  </si>
  <si>
    <t>Atul Patil.</t>
  </si>
  <si>
    <t>patil.atul@mahindra.com</t>
  </si>
  <si>
    <t>17001696/001</t>
  </si>
  <si>
    <t>KRIND/W/MC/AB/250003</t>
  </si>
  <si>
    <t>ARP/3400771773</t>
  </si>
  <si>
    <t>Anant.Ternikar</t>
  </si>
  <si>
    <t>Anant.Ternikar@sulzer.com</t>
  </si>
  <si>
    <t>KRIND/W/MC/AB/250004</t>
  </si>
  <si>
    <t>Tata Cummins Pvt Ltd</t>
  </si>
  <si>
    <t>vijay Pawar</t>
  </si>
  <si>
    <t>vijay.pawar@cummins.com</t>
  </si>
  <si>
    <t>10006286/001</t>
  </si>
  <si>
    <t>KRIND/W/MC/AB/250005</t>
  </si>
  <si>
    <t>10006271/001</t>
  </si>
  <si>
    <t>10006464/001</t>
  </si>
  <si>
    <t>10006465/001</t>
  </si>
  <si>
    <t>10006466/001</t>
  </si>
  <si>
    <t>10006467/001</t>
  </si>
  <si>
    <t>10004163/001</t>
  </si>
  <si>
    <t>10006269/001</t>
  </si>
  <si>
    <t>10006270/001</t>
  </si>
  <si>
    <t>12007409/001</t>
  </si>
  <si>
    <t>12007483/001</t>
  </si>
  <si>
    <t>13000026/001</t>
  </si>
  <si>
    <t>13000027/001</t>
  </si>
  <si>
    <t>14006902/001</t>
  </si>
  <si>
    <t>14006903/001</t>
  </si>
  <si>
    <t>KRIND/W/SPP/AB25009</t>
  </si>
  <si>
    <t>no</t>
  </si>
  <si>
    <t>vishal.khaware</t>
  </si>
  <si>
    <t>vishal.khaware@geaerospace.com</t>
  </si>
  <si>
    <t>KRIND/W/SPP/AB/25008</t>
  </si>
  <si>
    <t>16005398/001</t>
  </si>
  <si>
    <t>KRIND/W/MC/AB/250006</t>
  </si>
  <si>
    <t>16005398/002</t>
  </si>
  <si>
    <t>19008263/001</t>
  </si>
  <si>
    <t>QC</t>
  </si>
  <si>
    <t>Sonal Rane</t>
  </si>
  <si>
    <t>sonal.rane@dsm-firmenich.com</t>
  </si>
  <si>
    <t>18007780/001</t>
  </si>
  <si>
    <t>LPO</t>
  </si>
  <si>
    <t>03006736/001</t>
  </si>
  <si>
    <t>KRIND/W/MC/AB/250007</t>
  </si>
  <si>
    <t>02002336/001</t>
  </si>
  <si>
    <t>10004055/001</t>
  </si>
  <si>
    <t>08002469/001</t>
  </si>
  <si>
    <t>19003348/001</t>
  </si>
  <si>
    <t>Umesh Nagdeote</t>
  </si>
  <si>
    <t>umesh.nagdeote@sandvik.com</t>
  </si>
  <si>
    <t>12005696/001</t>
  </si>
  <si>
    <t>KXIND/W/MC/AB25009</t>
  </si>
  <si>
    <t>17007934/001</t>
  </si>
  <si>
    <t>PVD</t>
  </si>
  <si>
    <t>Alop Vibhute</t>
  </si>
  <si>
    <t>alop.vibhute@sandvik.com</t>
  </si>
  <si>
    <t>13006092/001</t>
  </si>
  <si>
    <t>KXIND/W/MC/AB250010</t>
  </si>
  <si>
    <t>CVD</t>
  </si>
  <si>
    <t>16003851/001</t>
  </si>
  <si>
    <t>11007994/001</t>
  </si>
  <si>
    <t>KRIND/W/MC/AB/250011</t>
  </si>
  <si>
    <t>Baramati</t>
  </si>
  <si>
    <t>MCD I</t>
  </si>
  <si>
    <t>Digamber Madpe</t>
  </si>
  <si>
    <t>Digamber.Madape@bharatforge.com</t>
  </si>
  <si>
    <t>11010627/001</t>
  </si>
  <si>
    <t>KRIND/W/MC/AB/240012</t>
  </si>
  <si>
    <t>MCD II</t>
  </si>
  <si>
    <t>18004625/001</t>
  </si>
  <si>
    <t>MCD III</t>
  </si>
  <si>
    <t>22000159/001</t>
  </si>
  <si>
    <t>Copper Tools</t>
  </si>
  <si>
    <t>Mahesh Daware</t>
  </si>
  <si>
    <t>mahesh.daware@sandvik.com</t>
  </si>
  <si>
    <t>14002101/001</t>
  </si>
  <si>
    <t>KXIND/W/MC/AB25013</t>
  </si>
  <si>
    <t>17007827/001</t>
  </si>
  <si>
    <t>Grinding</t>
  </si>
  <si>
    <t>Rahul Patil</t>
  </si>
  <si>
    <t>rahul.patil@sandvik.com</t>
  </si>
  <si>
    <t>22005731/001</t>
  </si>
  <si>
    <t>KXIND/W/MC/AB25014</t>
  </si>
  <si>
    <t>17/03/305</t>
  </si>
  <si>
    <t>Kalyani technoforge Ltd.</t>
  </si>
  <si>
    <t>Khed</t>
  </si>
  <si>
    <t>Chetan Aragade</t>
  </si>
  <si>
    <t>khed.Toolcrib@kalyanitransmissiontechnology.com</t>
  </si>
  <si>
    <t>17006347/001</t>
  </si>
  <si>
    <t>KRIND/W/SPP/AB25012</t>
  </si>
  <si>
    <t>Maintenance</t>
  </si>
  <si>
    <t>Anand Visal</t>
  </si>
  <si>
    <t>anand.v.visal@cummins.com</t>
  </si>
  <si>
    <t>16006746/001</t>
  </si>
  <si>
    <t>KAR/IND/RE/AB/25001</t>
  </si>
  <si>
    <t>IND8099766</t>
  </si>
  <si>
    <t>KXIND/W/MC/AB25015</t>
  </si>
  <si>
    <t>Fixture</t>
  </si>
  <si>
    <t xml:space="preserve">KRIND/AB/SPP/BD/25001 </t>
  </si>
  <si>
    <t>PCP2</t>
  </si>
  <si>
    <t>Bhushan Dhaigude</t>
  </si>
  <si>
    <t>bhushan.dhaigude@cummins.com</t>
  </si>
  <si>
    <t>19003779/001</t>
  </si>
  <si>
    <t>KRIND/SPP/AB24048</t>
  </si>
  <si>
    <t>IND8080663</t>
  </si>
  <si>
    <t>KRIND/AP/SPP/240043</t>
  </si>
  <si>
    <t>Knorr-Bremse Systems for Commercial Vehicles</t>
  </si>
  <si>
    <t>Kiran Deo</t>
  </si>
  <si>
    <t>Kiran.Deo@knorr-bremse.com</t>
  </si>
  <si>
    <t>24000529/001</t>
  </si>
  <si>
    <t>KAR/IND/RE/AB/25003</t>
  </si>
  <si>
    <t>KRIND/AB/BD/SPP/25007</t>
  </si>
  <si>
    <t>SWG</t>
  </si>
  <si>
    <t>Datta Bagayatkar</t>
  </si>
  <si>
    <t>Ddataram.bagayatkar@siemens.com</t>
  </si>
  <si>
    <t>11004947/001</t>
  </si>
  <si>
    <t>KRIND/W/SPP/AB25011</t>
  </si>
  <si>
    <t>05006083/001</t>
  </si>
  <si>
    <t>KRIND/W/SPP/AB25011/MLU</t>
  </si>
  <si>
    <t xml:space="preserve">PMT Machines LTD </t>
  </si>
  <si>
    <t>Akash Purohit</t>
  </si>
  <si>
    <t>pmt_mnt@pmtmachines.com</t>
  </si>
  <si>
    <t>07006312/001</t>
  </si>
  <si>
    <t>KRIND/W/SPP/AB25013</t>
  </si>
  <si>
    <t>KRIND/W/SPP/AB25014</t>
  </si>
  <si>
    <t>HFH</t>
  </si>
  <si>
    <t>Sunil Shingote</t>
  </si>
  <si>
    <t>sunil.shingote@alfalaval.com</t>
  </si>
  <si>
    <t xml:space="preserve"> 22008500/002 </t>
  </si>
  <si>
    <t>KXIND/W/MC/AB25016</t>
  </si>
  <si>
    <t xml:space="preserve"> 22008500/003 </t>
  </si>
  <si>
    <t>Swapnil Jawalkar</t>
  </si>
  <si>
    <t>swapnil.jawalkar@sandvik.com</t>
  </si>
  <si>
    <t>11009067/001</t>
  </si>
  <si>
    <t>KXIND/W/MC/AB250017</t>
  </si>
  <si>
    <t>11006899/001</t>
  </si>
  <si>
    <t>11006367/001</t>
  </si>
  <si>
    <t>16005076/001</t>
  </si>
  <si>
    <t>14000098/001</t>
  </si>
  <si>
    <t>14000134/001</t>
  </si>
  <si>
    <t>16006844/001</t>
  </si>
  <si>
    <t>21002784/001</t>
  </si>
  <si>
    <t>22003835/001</t>
  </si>
  <si>
    <t>IVG4</t>
  </si>
  <si>
    <t>Sudhir Khade</t>
  </si>
  <si>
    <t>sudhir.khade@sandvik.com</t>
  </si>
  <si>
    <t>13004915/001</t>
  </si>
  <si>
    <t>KXIND/W/MC/AB250018</t>
  </si>
  <si>
    <t>13003205/001</t>
  </si>
  <si>
    <t>Material Organisation</t>
  </si>
  <si>
    <t>SH60</t>
  </si>
  <si>
    <t>Ankur Sharma</t>
  </si>
  <si>
    <t>07002407/002</t>
  </si>
  <si>
    <t>GEM/2024/B/5242207</t>
  </si>
  <si>
    <t>GEMC-511687763086468</t>
  </si>
  <si>
    <t>07002407/001</t>
  </si>
  <si>
    <t>07002393/001</t>
  </si>
  <si>
    <t>07002393/002</t>
  </si>
  <si>
    <t>07002393/003</t>
  </si>
  <si>
    <t>07002393/004</t>
  </si>
  <si>
    <t>07002393/005</t>
  </si>
  <si>
    <t>07002393/006</t>
  </si>
  <si>
    <t>07002397/001</t>
  </si>
  <si>
    <t>07002397/002</t>
  </si>
  <si>
    <t>07002397/003</t>
  </si>
  <si>
    <t>07002397/004</t>
  </si>
  <si>
    <t>07002397/005</t>
  </si>
  <si>
    <t>07002397/006</t>
  </si>
  <si>
    <t>07002397/007</t>
  </si>
  <si>
    <t>07002397/008</t>
  </si>
  <si>
    <t>Navi Mumbai</t>
  </si>
  <si>
    <t>Store</t>
  </si>
  <si>
    <t>AB THAKUR</t>
  </si>
  <si>
    <t>abthakur@bel.co.in</t>
  </si>
  <si>
    <t>09004316/001</t>
  </si>
  <si>
    <t>RFx 7000535947</t>
  </si>
  <si>
    <t>Vishal Kulkarni</t>
  </si>
  <si>
    <t>vishal.kulkarni@bel.co.in</t>
  </si>
  <si>
    <t>RFx7000539929</t>
  </si>
  <si>
    <t>11001981/001</t>
  </si>
  <si>
    <t>11001982/001</t>
  </si>
  <si>
    <t>14000071/001</t>
  </si>
  <si>
    <t xml:space="preserve">Yamazaki Mazak India PVT LTD </t>
  </si>
  <si>
    <t>Nilesh T</t>
  </si>
  <si>
    <t>nilesh.talawdekar@mazak.in</t>
  </si>
  <si>
    <t>10008824/001</t>
  </si>
  <si>
    <t>KRIND/W/MC/AB/250020</t>
  </si>
  <si>
    <t>PO25260547</t>
  </si>
  <si>
    <t>KRIND/W/SPP/AB/25015</t>
  </si>
  <si>
    <t>NHNT</t>
  </si>
  <si>
    <t>Anadi Das</t>
  </si>
  <si>
    <t>anadi.das@cummins.com</t>
  </si>
  <si>
    <t>KRIND/W/SPP/AB25017</t>
  </si>
  <si>
    <t>IND8161924</t>
  </si>
  <si>
    <t>Prasad Mayekar</t>
  </si>
  <si>
    <t>prasad.mayekar@siemens.com</t>
  </si>
  <si>
    <t>07004410/001</t>
  </si>
  <si>
    <t>KRIND/W/SPP/AB25019_Si</t>
  </si>
  <si>
    <t>Amol Inamdar</t>
  </si>
  <si>
    <t>amol.inamdar@sedemac.com</t>
  </si>
  <si>
    <t>KRIND/W/SPP/AB25016</t>
  </si>
  <si>
    <t xml:space="preserve">Kirloskar brothers LTD </t>
  </si>
  <si>
    <t>Kirloskawadi</t>
  </si>
  <si>
    <t>LPD</t>
  </si>
  <si>
    <t>Amit Gotkhindikar</t>
  </si>
  <si>
    <t>amit.gotkhindikar@kbl.co.in</t>
  </si>
  <si>
    <t>11006582/001</t>
  </si>
  <si>
    <t>KAR/IND/AB/AMC/240021</t>
  </si>
  <si>
    <t>SMPD</t>
  </si>
  <si>
    <t>11006583/001</t>
  </si>
  <si>
    <t>Sandvik Mining and Rock Technology India Pvt Ltd</t>
  </si>
  <si>
    <t>Ajay Jadhav</t>
  </si>
  <si>
    <t>ajay.shivaji_jadhav@sandvik.com</t>
  </si>
  <si>
    <t>11007104/001</t>
  </si>
  <si>
    <t>KXIND/W/MC/AB25022</t>
  </si>
  <si>
    <t xml:space="preserve">KSPG Automotive India PVT LTD </t>
  </si>
  <si>
    <t>Atul Raut</t>
  </si>
  <si>
    <t>Atul.Raut@in.rheinmetall.com</t>
  </si>
  <si>
    <t>19002522/001</t>
  </si>
  <si>
    <t>KAR/IND/RE/AB/25005</t>
  </si>
  <si>
    <t>IN4/1443020928</t>
  </si>
  <si>
    <t>KRIND/W/SPP/AB25018</t>
  </si>
  <si>
    <t>KN Stores</t>
  </si>
  <si>
    <t>Yogesh Hardule</t>
  </si>
  <si>
    <t>yogesh.hardule@cummins.com</t>
  </si>
  <si>
    <t>KRIND/W/SPP/MLU/AB25019</t>
  </si>
  <si>
    <t>IND8248277</t>
  </si>
  <si>
    <t xml:space="preserve">No </t>
  </si>
  <si>
    <t>Coating</t>
  </si>
  <si>
    <t>Avinash Kulkarni</t>
  </si>
  <si>
    <t>avinash.kulkarni@secotools.com</t>
  </si>
  <si>
    <t>KAR/IND/RE/AB/25006</t>
  </si>
  <si>
    <t>Subros Ltd.</t>
  </si>
  <si>
    <t>Yogesh Panchal</t>
  </si>
  <si>
    <t>yogesh.panchal@subros.com</t>
  </si>
  <si>
    <t>12004504/001</t>
  </si>
  <si>
    <t>KXIND/W/MC/AB25025</t>
  </si>
  <si>
    <t>12004505/001</t>
  </si>
  <si>
    <t>Suyog Unde</t>
  </si>
  <si>
    <t>suyog.unde@cummins.com</t>
  </si>
  <si>
    <t>13001233/001</t>
  </si>
  <si>
    <t>KXIND/W/MC/AB25024</t>
  </si>
  <si>
    <t>IND8246930</t>
  </si>
  <si>
    <t>18/09/2025</t>
  </si>
  <si>
    <t>18/09/2026</t>
  </si>
  <si>
    <t>13004342/001</t>
  </si>
  <si>
    <t>KXIND/W/MC/AB25023</t>
  </si>
  <si>
    <t>13004317/001</t>
  </si>
  <si>
    <t>14005058/001</t>
  </si>
  <si>
    <t>22004920/001</t>
  </si>
  <si>
    <t>22004920/002</t>
  </si>
  <si>
    <t>KRIND/W/SPP/AB25019</t>
  </si>
  <si>
    <t>KRIND/W/SPP/AB25020</t>
  </si>
  <si>
    <t>Gade Atul</t>
  </si>
  <si>
    <t>GADE.ATUL@mahindra.com</t>
  </si>
  <si>
    <t>11010141/001</t>
  </si>
  <si>
    <t>KXIND/W/MC/AB25026</t>
  </si>
  <si>
    <t xml:space="preserve"> A002/A3P/3400825766</t>
  </si>
  <si>
    <t>11010626/001</t>
  </si>
  <si>
    <t>11010119/001</t>
  </si>
  <si>
    <t>Anup harne</t>
  </si>
  <si>
    <t>anup.harne@siemens.com</t>
  </si>
  <si>
    <t>12006597/001</t>
  </si>
  <si>
    <t>KAR/IND/RE/AB/25007</t>
  </si>
  <si>
    <t>KRIND/W/SPP/AB25021</t>
  </si>
  <si>
    <t>28/10/2025</t>
  </si>
  <si>
    <t>HSS</t>
  </si>
  <si>
    <t>Mangesh A</t>
  </si>
  <si>
    <t>mangesh.andhorikar@alfalaval.com</t>
  </si>
  <si>
    <t>05008611/001</t>
  </si>
  <si>
    <t>KRIND/W/RF/AB25024</t>
  </si>
  <si>
    <t xml:space="preserve">Wartsila India LTD </t>
  </si>
  <si>
    <t>Anil Joshi</t>
  </si>
  <si>
    <t>anil.joshi@wartsila.com</t>
  </si>
  <si>
    <t>08011451/001</t>
  </si>
  <si>
    <t>KRIND/W/SPP/AB/25025</t>
  </si>
  <si>
    <t>KRIND/W/SPP/AB25026_R1</t>
  </si>
  <si>
    <t>shahrukh Kazi</t>
  </si>
  <si>
    <t>shaharukh.kazi@subros.com</t>
  </si>
  <si>
    <t>KRIND/W/SPP/AB250027</t>
  </si>
  <si>
    <t>KRIND/W/SPP/AB25028</t>
  </si>
  <si>
    <t>Sansera Engineering Ltd</t>
  </si>
  <si>
    <t>zubair khan</t>
  </si>
  <si>
    <t>zubair_khan@sansera.in</t>
  </si>
  <si>
    <t>11004676/001</t>
  </si>
  <si>
    <t>KRIND/W/SPP/AB250029</t>
  </si>
  <si>
    <t>Ingredients</t>
  </si>
  <si>
    <t>Shalaka Aparaj</t>
  </si>
  <si>
    <t>shalaka.aparaj@dsm-firmenich.com</t>
  </si>
  <si>
    <t>18007782/001</t>
  </si>
  <si>
    <t>KRIND/W/MC/AB/250030</t>
  </si>
  <si>
    <t>Perfumes</t>
  </si>
  <si>
    <t xml:space="preserve">Sujay Pujari </t>
  </si>
  <si>
    <t>sujay.pujari@dsm-firmenich.com</t>
  </si>
  <si>
    <t>18007779/001</t>
  </si>
  <si>
    <t>KXIND/W/MC/AB250029</t>
  </si>
  <si>
    <t>18007777/001</t>
  </si>
  <si>
    <t xml:space="preserve">Kleenman </t>
  </si>
  <si>
    <t>KXIND/W/MC/AB/25028</t>
  </si>
  <si>
    <t>08000865/001</t>
  </si>
  <si>
    <t>KXIND/W/MC/AB24027</t>
  </si>
  <si>
    <t>08000865/002</t>
  </si>
  <si>
    <t>12000976/001</t>
  </si>
  <si>
    <t>12000975/001</t>
  </si>
  <si>
    <t>15006359/001</t>
  </si>
  <si>
    <t>13002607/001</t>
  </si>
  <si>
    <t>12010472/001</t>
  </si>
  <si>
    <t>16001770/001</t>
  </si>
  <si>
    <t>16001770/002</t>
  </si>
  <si>
    <t>18003276/001</t>
  </si>
  <si>
    <t>Prakash Parihar</t>
  </si>
  <si>
    <t>prakashsingh.parihar@knorr-bremse.com</t>
  </si>
  <si>
    <t>KRIND/W/MC/AB/250001</t>
  </si>
  <si>
    <t>Giridhar Gadhave</t>
  </si>
  <si>
    <t xml:space="preserve">giridhar.gadhave@sandvik.com </t>
  </si>
  <si>
    <t>22005732/001</t>
  </si>
  <si>
    <t>KRIND/W/MC/AB/NM/25002</t>
  </si>
  <si>
    <t>Ambethan</t>
  </si>
  <si>
    <t>Rahul Javane</t>
  </si>
  <si>
    <t>rahul.javane@kalyanitechnoforge.com</t>
  </si>
  <si>
    <t>KRIND/W/MC/AB/NM/25003</t>
  </si>
  <si>
    <t>Danfoss Power solutions Pvt.ltd.</t>
  </si>
  <si>
    <t>Ramesh Kumbhar</t>
  </si>
  <si>
    <t>rkumbhar@danfoss.com</t>
  </si>
  <si>
    <t>23003615/001</t>
  </si>
  <si>
    <t>KRIND/W/MC/AB/NM/25004</t>
  </si>
  <si>
    <t xml:space="preserve">Vishay Componants PVT LTD </t>
  </si>
  <si>
    <t xml:space="preserve">Stoes </t>
  </si>
  <si>
    <t>Gajanan Ekke</t>
  </si>
  <si>
    <t>gajanan.ekke@vishay.com</t>
  </si>
  <si>
    <t>14002483/001</t>
  </si>
  <si>
    <t>KAR/IND/SC/AB/2501</t>
  </si>
  <si>
    <t>KRIND/W/SPP/AB/25032</t>
  </si>
  <si>
    <t>Shashikant Jagtap</t>
  </si>
  <si>
    <t>shashikant.jagtap@alfalaval.com</t>
  </si>
  <si>
    <t>KRIND/W/SPP/AB25030</t>
  </si>
  <si>
    <t>Nilesh Tandale</t>
  </si>
  <si>
    <t>KRIND/W/SPP/AB25031</t>
  </si>
  <si>
    <t>KRIND/W/SPP/AB25033</t>
  </si>
  <si>
    <t>Krishna. Jagdale</t>
  </si>
  <si>
    <t>krishna.jagdale@mazak.in</t>
  </si>
  <si>
    <t>10008826/001</t>
  </si>
  <si>
    <t>KRIND/W/SPP/AB25036</t>
  </si>
  <si>
    <t>PO25261015</t>
  </si>
  <si>
    <t>KRIND/W/SPP/AB25037</t>
  </si>
  <si>
    <t>Umesh Gawde</t>
  </si>
  <si>
    <t>umesh.gawde@siemens.com</t>
  </si>
  <si>
    <t>KRIND/W/SPP/AB25038</t>
  </si>
  <si>
    <t>Divya Kadam</t>
  </si>
  <si>
    <t>divya.kadam@cummins.com</t>
  </si>
  <si>
    <t>KRIND/W/SPP/AB25039</t>
  </si>
  <si>
    <t>50058462 &amp; 50058464</t>
  </si>
  <si>
    <t>vijay pawar</t>
  </si>
  <si>
    <t>KRIND/W/SPP/AB25040</t>
  </si>
  <si>
    <t>KRIND/W/SPP/AB25041</t>
  </si>
  <si>
    <t>KXIND/S/AB/SC/25001</t>
  </si>
  <si>
    <t>Kanchan Patil</t>
  </si>
  <si>
    <t>kanchan.patil@in.rheinmetall.com</t>
  </si>
  <si>
    <t>18008781/001</t>
  </si>
  <si>
    <t>KRIND/W/SPP/AB25042</t>
  </si>
  <si>
    <t>IN4 / 1443021494</t>
  </si>
  <si>
    <t>Bharat Markad</t>
  </si>
  <si>
    <t>bharat.markad@in.kspg.com</t>
  </si>
  <si>
    <t>15001233/001</t>
  </si>
  <si>
    <t>KRIND/W/SPP/AB25043</t>
  </si>
  <si>
    <t>EM</t>
  </si>
  <si>
    <t>Kiran Dole</t>
  </si>
  <si>
    <t>kiran.dole@cummins.com</t>
  </si>
  <si>
    <t>KRIND/W/SPP/AB25044</t>
  </si>
  <si>
    <t>KRIND/W/SPP/AB25045</t>
  </si>
  <si>
    <t>Atul Gade</t>
  </si>
  <si>
    <t>KRIND/W/SPP/AB250046</t>
  </si>
  <si>
    <t>KRIND/W/SPP/AB25047</t>
  </si>
  <si>
    <t>KARDEX INDIA - LIVE OFFER FUNEL - RAHUL - WEST</t>
  </si>
  <si>
    <t xml:space="preserve">Mylan Laboratories LTD </t>
  </si>
  <si>
    <t>Nashik</t>
  </si>
  <si>
    <t>QA</t>
  </si>
  <si>
    <t>Kiran Mapari</t>
  </si>
  <si>
    <t>kiran.mapari@viatris.com</t>
  </si>
  <si>
    <t>15003032/001</t>
  </si>
  <si>
    <t>KXIND/W/MC/RV24-060</t>
  </si>
  <si>
    <t>22-01-2025</t>
  </si>
  <si>
    <t xml:space="preserve">As discussion, quotation reference no not  mentionin po and i have alarded send the email but till have not received the amendment po copy </t>
  </si>
  <si>
    <t> </t>
  </si>
  <si>
    <t>15003032/002</t>
  </si>
  <si>
    <t>18005565/001</t>
  </si>
  <si>
    <t>18005565/002</t>
  </si>
  <si>
    <t>18005565/003</t>
  </si>
  <si>
    <t>18005565/004</t>
  </si>
  <si>
    <t>18005565/005</t>
  </si>
  <si>
    <t>21003710/001</t>
  </si>
  <si>
    <t>Sterlite Infra Tech PVT LTD</t>
  </si>
  <si>
    <t>Aurangabad</t>
  </si>
  <si>
    <t xml:space="preserve">Store </t>
  </si>
  <si>
    <t>Mujtaba Shaikh</t>
  </si>
  <si>
    <t>shaikh.mujtaba@stl.tech</t>
  </si>
  <si>
    <t>10009100/001</t>
  </si>
  <si>
    <t>KXIND/W/MC/RV24-062</t>
  </si>
  <si>
    <t>25-07-2024</t>
  </si>
  <si>
    <t>6550003687-0</t>
  </si>
  <si>
    <t xml:space="preserve">Customer condition not good and no budget </t>
  </si>
  <si>
    <t>10009101/001</t>
  </si>
  <si>
    <t>12003615/001</t>
  </si>
  <si>
    <t>12003616/001</t>
  </si>
  <si>
    <t>17008417/001</t>
  </si>
  <si>
    <t>17008417/002</t>
  </si>
  <si>
    <t>17008417/003</t>
  </si>
  <si>
    <t xml:space="preserve">Hindustan Aeronautics LTD </t>
  </si>
  <si>
    <t>SU30</t>
  </si>
  <si>
    <t xml:space="preserve">Ramesh Dodve </t>
  </si>
  <si>
    <t>ramesh.dodve@hal-india.co.in</t>
  </si>
  <si>
    <t>15000048/001</t>
  </si>
  <si>
    <t>KXIND/W/MLU/RV24-067</t>
  </si>
  <si>
    <t>PO will be received in Dec 25</t>
  </si>
  <si>
    <t>KXIND/W/MC/RV24-068</t>
  </si>
  <si>
    <t>15000049/001</t>
  </si>
  <si>
    <t>Shop 09</t>
  </si>
  <si>
    <t>Sajul Rameshroy</t>
  </si>
  <si>
    <t>sajal.roy@hal-india.com</t>
  </si>
  <si>
    <t>10002485/001</t>
  </si>
  <si>
    <t>KXIND/W/SPP/RV24-073</t>
  </si>
  <si>
    <t>21/10/2024</t>
  </si>
  <si>
    <t>GEMC-511687723731375</t>
  </si>
  <si>
    <t>31/3/2025</t>
  </si>
  <si>
    <t>Switchgear</t>
  </si>
  <si>
    <t xml:space="preserve">Dattaram Bagaytkar </t>
  </si>
  <si>
    <t>dattaram.bagayatkar@siemens.com</t>
  </si>
  <si>
    <t>KXIND/W/MC/RV24-076</t>
  </si>
  <si>
    <t>16/10/2024</t>
  </si>
  <si>
    <t>24-01-2025</t>
  </si>
  <si>
    <t>06008965/001</t>
  </si>
  <si>
    <t>06008965/002</t>
  </si>
  <si>
    <t>06006147/001</t>
  </si>
  <si>
    <t>10001386/001</t>
  </si>
  <si>
    <t>10002925/001</t>
  </si>
  <si>
    <t>08006407/001</t>
  </si>
  <si>
    <t>11002921/001</t>
  </si>
  <si>
    <t>11004359/001</t>
  </si>
  <si>
    <t>09002884/001</t>
  </si>
  <si>
    <t>Tool</t>
  </si>
  <si>
    <t>Prasad Dusane</t>
  </si>
  <si>
    <t>prasad.dusane@siemens.com</t>
  </si>
  <si>
    <t>16002528/001</t>
  </si>
  <si>
    <t>KXIND/W/MLU/RV24-077</t>
  </si>
  <si>
    <t>27-10-2024</t>
  </si>
  <si>
    <t>15/7/2025</t>
  </si>
  <si>
    <t>Under discussion</t>
  </si>
  <si>
    <t>3WH</t>
  </si>
  <si>
    <t>Chandrashekhar Pathak</t>
  </si>
  <si>
    <t>cspathak@bajajauto.co.in</t>
  </si>
  <si>
    <t>14002435/001</t>
  </si>
  <si>
    <t>KXIND/W/MC/RV24-081</t>
  </si>
  <si>
    <t>Shahed Lathif</t>
  </si>
  <si>
    <t>shahed.lathif@viatris.com</t>
  </si>
  <si>
    <t>12009614/001</t>
  </si>
  <si>
    <t>KXIND/W/MC/RV24-082</t>
  </si>
  <si>
    <t>27-01-2025</t>
  </si>
  <si>
    <t>13006585/001</t>
  </si>
  <si>
    <t>15003921/001</t>
  </si>
  <si>
    <t>15003709/001</t>
  </si>
  <si>
    <t>16002947/001</t>
  </si>
  <si>
    <t>16002948/001</t>
  </si>
  <si>
    <t>20007338/001</t>
  </si>
  <si>
    <t>20005831/001</t>
  </si>
  <si>
    <t>21003712/001</t>
  </si>
  <si>
    <t>22001840/001</t>
  </si>
  <si>
    <t>19004083/001</t>
  </si>
  <si>
    <t xml:space="preserve">Bosch Ltd </t>
  </si>
  <si>
    <t xml:space="preserve">Rahul Raut </t>
  </si>
  <si>
    <t>rahul.raut@in.bosch.com</t>
  </si>
  <si>
    <t>97007156/001</t>
  </si>
  <si>
    <t>KXIND/W/SPP/RV24-083</t>
  </si>
  <si>
    <t>17-01-2025</t>
  </si>
  <si>
    <t>28/1/2025</t>
  </si>
  <si>
    <t xml:space="preserve">Trilok Girhepumje </t>
  </si>
  <si>
    <t>trilok.girhepunje@siemens.com</t>
  </si>
  <si>
    <t>KXIND/W/SPP/RV23-087</t>
  </si>
  <si>
    <t>14-12-2024</t>
  </si>
  <si>
    <t xml:space="preserve">Project cancel </t>
  </si>
  <si>
    <t>Dinkar Tarale</t>
  </si>
  <si>
    <t>dinkar.tarale@ksb.com</t>
  </si>
  <si>
    <t>13004466/001</t>
  </si>
  <si>
    <t>KXIND/W/SPP/RV23-088</t>
  </si>
  <si>
    <t>25/3/2025</t>
  </si>
  <si>
    <t>ASB International</t>
  </si>
  <si>
    <t>B85</t>
  </si>
  <si>
    <t>Satish Kothavade</t>
  </si>
  <si>
    <t>satish.kothavade@nisseiasb.com</t>
  </si>
  <si>
    <t>18000431/001</t>
  </si>
  <si>
    <t>KXIND/W/MC/RV24-089</t>
  </si>
  <si>
    <t>17-12-2024</t>
  </si>
  <si>
    <t>ZPSC/6400001695</t>
  </si>
  <si>
    <t>26-12-2024</t>
  </si>
  <si>
    <t>Already booked in Dec-2024</t>
  </si>
  <si>
    <t>Remove from offer sheet</t>
  </si>
  <si>
    <t>31/12/2024</t>
  </si>
  <si>
    <t>18000431/002</t>
  </si>
  <si>
    <t>18002088/001</t>
  </si>
  <si>
    <t>18000433/001</t>
  </si>
  <si>
    <t>E9</t>
  </si>
  <si>
    <t>Milind Kadam</t>
  </si>
  <si>
    <t>milind.kadam@nisseiasb.com</t>
  </si>
  <si>
    <t>12005273/001</t>
  </si>
  <si>
    <t>KXIND/W/MC/RV24-090</t>
  </si>
  <si>
    <t>ZPSC/4400012278</t>
  </si>
  <si>
    <t>12005300/001</t>
  </si>
  <si>
    <t>12005301/001</t>
  </si>
  <si>
    <t>14000072/001</t>
  </si>
  <si>
    <t>14000073/001</t>
  </si>
  <si>
    <t>15008008/001</t>
  </si>
  <si>
    <t>KXIND/W/MLU/RV24-061</t>
  </si>
  <si>
    <t>24-07-2024</t>
  </si>
  <si>
    <t>30/01/2025</t>
  </si>
  <si>
    <t>Supa</t>
  </si>
  <si>
    <t>Baban Thube</t>
  </si>
  <si>
    <t>baban.thube@in.rheinmetall.com</t>
  </si>
  <si>
    <t>KXIND/W/MC/RV24-050</t>
  </si>
  <si>
    <t>21/2/2025</t>
  </si>
  <si>
    <t xml:space="preserve">Sandoz Pharmaciticals Ltd. </t>
  </si>
  <si>
    <t xml:space="preserve">Nitin Sonar </t>
  </si>
  <si>
    <t>nitin.sonar@sandoz.com</t>
  </si>
  <si>
    <t>06006939/001</t>
  </si>
  <si>
    <t>KXIND/W/MC/RV24-058</t>
  </si>
  <si>
    <t>23-09-2025</t>
  </si>
  <si>
    <t>Masngesh Masne</t>
  </si>
  <si>
    <t>mangesh.masne@siemens.com</t>
  </si>
  <si>
    <t>10009903/001</t>
  </si>
  <si>
    <t>KRIND/RV/MC/220025</t>
  </si>
  <si>
    <t>18-12-2022</t>
  </si>
  <si>
    <t xml:space="preserve">Three Year AMC PO </t>
  </si>
  <si>
    <t>10009904/001</t>
  </si>
  <si>
    <t>11007450/001</t>
  </si>
  <si>
    <t>Sambhaji Sakare</t>
  </si>
  <si>
    <t>sambhaji.sakhare@viatris.com</t>
  </si>
  <si>
    <t>KXIND/W/RF/RV25-001</t>
  </si>
  <si>
    <t>4700032972 / 4501525565</t>
  </si>
  <si>
    <t>13/3/2025</t>
  </si>
  <si>
    <t xml:space="preserve">retrofit Kit and Installation PO received </t>
  </si>
  <si>
    <t>KXIND/W/RF/RV25-002</t>
  </si>
  <si>
    <t>13/03/2025</t>
  </si>
  <si>
    <t>PO received</t>
  </si>
  <si>
    <t xml:space="preserve">Sachin Lad </t>
  </si>
  <si>
    <t>sachin.lad@bharatbijlee.com</t>
  </si>
  <si>
    <t>08005177/001</t>
  </si>
  <si>
    <t>KXIND/W/MC/RV25-003</t>
  </si>
  <si>
    <t>18-01-2025</t>
  </si>
  <si>
    <t>08005177/002</t>
  </si>
  <si>
    <t>11001978/001</t>
  </si>
  <si>
    <t>HR</t>
  </si>
  <si>
    <t xml:space="preserve">Rina Pagar </t>
  </si>
  <si>
    <t>rina.pagar@in.bosch.com</t>
  </si>
  <si>
    <t>06009235/001</t>
  </si>
  <si>
    <t>KXIND/W/MC/RV25-004</t>
  </si>
  <si>
    <t>26/2/2025</t>
  </si>
  <si>
    <t>Med</t>
  </si>
  <si>
    <t>Motor</t>
  </si>
  <si>
    <t>Suraj Musmade</t>
  </si>
  <si>
    <t>suraj.musmade@siemens.com</t>
  </si>
  <si>
    <t>06005996/001</t>
  </si>
  <si>
    <t>KXIND/W/MC/RV25-005</t>
  </si>
  <si>
    <t>29-01-2025</t>
  </si>
  <si>
    <t>11010672/001</t>
  </si>
  <si>
    <t>11010675/001</t>
  </si>
  <si>
    <t>11004360/001</t>
  </si>
  <si>
    <t>KXIND/W/SPP/RV25-006</t>
  </si>
  <si>
    <t>27/2/2025</t>
  </si>
  <si>
    <t>23/1/2025</t>
  </si>
  <si>
    <t xml:space="preserve">Rishabh Instruments LTD </t>
  </si>
  <si>
    <t xml:space="preserve">Sunil Patil </t>
  </si>
  <si>
    <t>sunil.patil@rishabh.co.in</t>
  </si>
  <si>
    <t>01005521/001</t>
  </si>
  <si>
    <t>KXIND/W/RE/RV25-007</t>
  </si>
  <si>
    <t>23-01-2025</t>
  </si>
  <si>
    <t>98001536/001</t>
  </si>
  <si>
    <t>KXIND/W/MLU/RV25-008</t>
  </si>
  <si>
    <t>23/3/2025</t>
  </si>
  <si>
    <t>27/1/2025</t>
  </si>
  <si>
    <t xml:space="preserve">Renuka Navander </t>
  </si>
  <si>
    <t>renuka.navandar@in.bosch.com</t>
  </si>
  <si>
    <t>spp</t>
  </si>
  <si>
    <t xml:space="preserve">repeat order </t>
  </si>
  <si>
    <t>POE 49245879 - YQL</t>
  </si>
  <si>
    <t>13/2/2025</t>
  </si>
  <si>
    <t>KXIND/W/MLU/RV25-009</t>
  </si>
  <si>
    <t>28-01-2025</t>
  </si>
  <si>
    <t xml:space="preserve">5210057069 and 5210057405 </t>
  </si>
  <si>
    <t>KXIND/W/MLU/RV25-010</t>
  </si>
  <si>
    <t>ZPML/3600009997</t>
  </si>
  <si>
    <t>16/4/2025</t>
  </si>
  <si>
    <t xml:space="preserve">Durvesh Phopale </t>
  </si>
  <si>
    <t>Phopale.durvesh@mahindra.com</t>
  </si>
  <si>
    <t>KXIND/W/SPP/RV25-011</t>
  </si>
  <si>
    <t>ARP/3800306985</t>
  </si>
  <si>
    <t>18/2/2025</t>
  </si>
  <si>
    <t>KXIND/W/SR/RV25-012</t>
  </si>
  <si>
    <t xml:space="preserve">Cancel customer solved the problem </t>
  </si>
  <si>
    <t xml:space="preserve">repeat Order </t>
  </si>
  <si>
    <t>Epiroc Mining India Ltd (Atlas)</t>
  </si>
  <si>
    <t>Nisha Solanki</t>
  </si>
  <si>
    <t>nisha.solanki@epiroc.com</t>
  </si>
  <si>
    <t>11008208/001</t>
  </si>
  <si>
    <t>KXIND/W/MLU/RV25-013</t>
  </si>
  <si>
    <t>15/5/2025</t>
  </si>
  <si>
    <t xml:space="preserve">Spare price for one year rate contract </t>
  </si>
  <si>
    <t>ABB India Ltd</t>
  </si>
  <si>
    <t xml:space="preserve">Mayur Aswale </t>
  </si>
  <si>
    <t>mayur.aswale@in.abb.com</t>
  </si>
  <si>
    <t>06006180/001</t>
  </si>
  <si>
    <t>KXIND/W/MLU/RV25-014</t>
  </si>
  <si>
    <t>13/6/2025</t>
  </si>
  <si>
    <t>under discussion</t>
  </si>
  <si>
    <t xml:space="preserve">Dinkar Tarale </t>
  </si>
  <si>
    <t>11007580/001</t>
  </si>
  <si>
    <t>KXIND/W/MLU/RV25-015</t>
  </si>
  <si>
    <t>28/4/2025</t>
  </si>
  <si>
    <t>Chandrakant Rule</t>
  </si>
  <si>
    <t>chandrakant.rule@in.abb.com</t>
  </si>
  <si>
    <t>07004576/001</t>
  </si>
  <si>
    <t>KXIND/W/SPP/RV25-016</t>
  </si>
  <si>
    <t xml:space="preserve">Custome Repair spare part </t>
  </si>
  <si>
    <t>15/3/2025</t>
  </si>
  <si>
    <t xml:space="preserve">Harsha Daswani </t>
  </si>
  <si>
    <t>harsha.daswani@in.bosch.com</t>
  </si>
  <si>
    <t>05007890/001</t>
  </si>
  <si>
    <t>KXIND/W/MLU/RV25-017</t>
  </si>
  <si>
    <t>18/3/2025</t>
  </si>
  <si>
    <t>KXIND/W/MC/RV25-018</t>
  </si>
  <si>
    <t>23/04/2025</t>
  </si>
  <si>
    <t>BLUESTAR</t>
  </si>
  <si>
    <t xml:space="preserve">Pravin Jaiswal  </t>
  </si>
  <si>
    <t>praveenjaiswal@bluestarindia.com</t>
  </si>
  <si>
    <t>18000191/001</t>
  </si>
  <si>
    <t>KXIND/W/MC/RV25-0019</t>
  </si>
  <si>
    <t>22/4/2025</t>
  </si>
  <si>
    <t>19/3/2025</t>
  </si>
  <si>
    <t>KXIND/W/MC/RV25-0020</t>
  </si>
  <si>
    <t>25/5/2026</t>
  </si>
  <si>
    <t>02007548/001</t>
  </si>
  <si>
    <t>Epcos India LTD (TDK India Pvt ltd)</t>
  </si>
  <si>
    <t>Pavan Suryavanshi</t>
  </si>
  <si>
    <t>KXIND/W/RE/RV25-0021</t>
  </si>
  <si>
    <t>20/3/2025</t>
  </si>
  <si>
    <t>Pranay Mishra</t>
  </si>
  <si>
    <t>pranay.mishra@in.bosch.com</t>
  </si>
  <si>
    <t>07011042/001</t>
  </si>
  <si>
    <t>KXIND/W/SPP/RV25-022</t>
  </si>
  <si>
    <t>26-03-2025</t>
  </si>
  <si>
    <t>24/3/2025</t>
  </si>
  <si>
    <t>Satish patel</t>
  </si>
  <si>
    <t>smpatel@bajajauto.co.in</t>
  </si>
  <si>
    <t>03003254/001</t>
  </si>
  <si>
    <t>KXIND/W/MLU/RV25-023</t>
  </si>
  <si>
    <t>29/3/2025</t>
  </si>
  <si>
    <t>KXIND/W/MLU/RV25-024</t>
  </si>
  <si>
    <t>KXIND/W/SR/RV25-025</t>
  </si>
  <si>
    <t> 4501589765</t>
  </si>
  <si>
    <t>31/8/2025</t>
  </si>
  <si>
    <t>Sanjay Yadav</t>
  </si>
  <si>
    <t>sanjay.yadav@bharatbijlee.com</t>
  </si>
  <si>
    <t>21002414/001</t>
  </si>
  <si>
    <t>KXIND/W/MC/RV25-0026</t>
  </si>
  <si>
    <t>17/4/2025</t>
  </si>
  <si>
    <t>Ahmednagar</t>
  </si>
  <si>
    <t xml:space="preserve">Ganesh Jadhav </t>
  </si>
  <si>
    <t>ganesh.jadhav@gknpm.com</t>
  </si>
  <si>
    <t>10005194/001</t>
  </si>
  <si>
    <t>KXIND/W/MC/RV25-0027</t>
  </si>
  <si>
    <t xml:space="preserve">April </t>
  </si>
  <si>
    <t>KXIND/W/MC/RV25-0028</t>
  </si>
  <si>
    <t>17004824/001</t>
  </si>
  <si>
    <t>17003413/001</t>
  </si>
  <si>
    <t>19/4/2025</t>
  </si>
  <si>
    <t>KXIND/W/SPP/RV25-029</t>
  </si>
  <si>
    <t>4507523653 / 4507625487</t>
  </si>
  <si>
    <t>06009241/001</t>
  </si>
  <si>
    <t>KXIND/W/RE/RV25-0030</t>
  </si>
  <si>
    <t>11003367/001</t>
  </si>
  <si>
    <t>KXIND/W/MC/RV25-0031</t>
  </si>
  <si>
    <t>16/7/2025</t>
  </si>
  <si>
    <t>11003368/001</t>
  </si>
  <si>
    <t>13002829/001</t>
  </si>
  <si>
    <t>13002830/001</t>
  </si>
  <si>
    <t>13001459/001</t>
  </si>
  <si>
    <t>13001513/001</t>
  </si>
  <si>
    <t>13003019/001</t>
  </si>
  <si>
    <t>14001120/001</t>
  </si>
  <si>
    <t>14001339/001</t>
  </si>
  <si>
    <t>16002527/001</t>
  </si>
  <si>
    <t>16002528/002</t>
  </si>
  <si>
    <t>12006598/001</t>
  </si>
  <si>
    <t>24/4/2025</t>
  </si>
  <si>
    <t>Narendra Mahale</t>
  </si>
  <si>
    <t>narendra.mahale@tdk.com</t>
  </si>
  <si>
    <t>12000051/001</t>
  </si>
  <si>
    <t>KXIND/W/MC/RV25-0032</t>
  </si>
  <si>
    <t>25/6/2025</t>
  </si>
  <si>
    <t>KXIND/W/MLU/RV25-033</t>
  </si>
  <si>
    <t>september</t>
  </si>
  <si>
    <t>3000005345 / 3000005359</t>
  </si>
  <si>
    <t>21/8/2025</t>
  </si>
  <si>
    <t>Harsha Daswani</t>
  </si>
  <si>
    <t>04000158/001</t>
  </si>
  <si>
    <t>KXIND/W/SPP/RV25-0034</t>
  </si>
  <si>
    <t> 0085413184</t>
  </si>
  <si>
    <t>21/7/2025</t>
  </si>
  <si>
    <t>13/5/2025</t>
  </si>
  <si>
    <t>07000032/001</t>
  </si>
  <si>
    <t>KXIND/W/MC/RV25-0035</t>
  </si>
  <si>
    <t>23/6/2025</t>
  </si>
  <si>
    <t>02005984/001</t>
  </si>
  <si>
    <t>07001865/001</t>
  </si>
  <si>
    <t>04000158/002</t>
  </si>
  <si>
    <t>03002443/001</t>
  </si>
  <si>
    <t>Prashant Chitale</t>
  </si>
  <si>
    <t>prashant.pitale@novartis.com</t>
  </si>
  <si>
    <t>KXIND/W/MC/RV25-0036</t>
  </si>
  <si>
    <t>july</t>
  </si>
  <si>
    <t>KXIND/W/MC/RV25-0037</t>
  </si>
  <si>
    <t>03007902/001</t>
  </si>
  <si>
    <t>03001394/001</t>
  </si>
  <si>
    <t>05008290/001</t>
  </si>
  <si>
    <t>04008893/001</t>
  </si>
  <si>
    <t>08010388/001</t>
  </si>
  <si>
    <t>08009444/001</t>
  </si>
  <si>
    <t>12009630/001</t>
  </si>
  <si>
    <t>08005815/001</t>
  </si>
  <si>
    <t>08007217/001</t>
  </si>
  <si>
    <t>06000529/001</t>
  </si>
  <si>
    <t>07004089/001</t>
  </si>
  <si>
    <t>16/5/2025</t>
  </si>
  <si>
    <t>Satishkumar Patel</t>
  </si>
  <si>
    <t>KXIND/W/MC/RV25-0038</t>
  </si>
  <si>
    <t>22/5/2025</t>
  </si>
  <si>
    <t xml:space="preserve">Vishal Mundake </t>
  </si>
  <si>
    <t>vishal.mundake@viatris.com</t>
  </si>
  <si>
    <t>KXIND/W/MLU/RV25-0039</t>
  </si>
  <si>
    <t> 5700206117</t>
  </si>
  <si>
    <t>26/12/2025</t>
  </si>
  <si>
    <t>KXIND/W/SPP/RV25-0040</t>
  </si>
  <si>
    <t>POE 49342077 - YQL</t>
  </si>
  <si>
    <t>25/5/2025</t>
  </si>
  <si>
    <t>24/5/2025</t>
  </si>
  <si>
    <t>KXIND/W/SPP/RV25-0041</t>
  </si>
  <si>
    <t>ZPML/3610000036</t>
  </si>
  <si>
    <t>27/5/2025</t>
  </si>
  <si>
    <t>KXIND/W/SPP/RV25-0042</t>
  </si>
  <si>
    <t>Ganesh Kalyani</t>
  </si>
  <si>
    <t>asi3780@nisseiasb.com</t>
  </si>
  <si>
    <t xml:space="preserve">KXIND/W/ MLU/RV25-0043        </t>
  </si>
  <si>
    <t xml:space="preserve">KXIND/W/ MLU/RV25-0044        </t>
  </si>
  <si>
    <t> POE 49433019 - YQL/ POE 49438753 - YQL</t>
  </si>
  <si>
    <t>Himanshu Panda</t>
  </si>
  <si>
    <t>himanshu.panda@tdk-electronics.tdk.com</t>
  </si>
  <si>
    <t>11004703/001</t>
  </si>
  <si>
    <t>KXIND/W/MC/RV25-0045</t>
  </si>
  <si>
    <t> 7100107808</t>
  </si>
  <si>
    <t>18000625/001</t>
  </si>
  <si>
    <t> 7100081242</t>
  </si>
  <si>
    <t>20/5/2025</t>
  </si>
  <si>
    <t>KXIND/W/SR/RV25-046</t>
  </si>
  <si>
    <t>6550003670-0</t>
  </si>
  <si>
    <t>KXIND/W/SPP/RV25-0047</t>
  </si>
  <si>
    <t>6530006547-0</t>
  </si>
  <si>
    <t>17/6/2025</t>
  </si>
  <si>
    <t>KXIND/W/RF/RV25-0048</t>
  </si>
  <si>
    <t>KXIND/W/MC/RV25-0049</t>
  </si>
  <si>
    <t>19/6/2025</t>
  </si>
  <si>
    <t>KXIND/W/SR/RV25-0050</t>
  </si>
  <si>
    <t>6530006565-0</t>
  </si>
  <si>
    <t>27/6/2025</t>
  </si>
  <si>
    <t>29/06/2025</t>
  </si>
  <si>
    <t xml:space="preserve">Yogeshwar Baware </t>
  </si>
  <si>
    <t>yogeshwar.baware@siemens.com</t>
  </si>
  <si>
    <t>KXIND/W/SR/RV25-0051</t>
  </si>
  <si>
    <t>29/6/2025</t>
  </si>
  <si>
    <t>MOGLIX10331600101656978</t>
  </si>
  <si>
    <t>KXIND/W/SPP/RV25-0052</t>
  </si>
  <si>
    <t> 4260015121_x000D_</t>
  </si>
  <si>
    <t>23/7/2025</t>
  </si>
  <si>
    <t>KXIND/W/SPP/RV25-0053</t>
  </si>
  <si>
    <t>KXIND/W/SPP/RV25-0054</t>
  </si>
  <si>
    <t>ZPML/3610000224</t>
  </si>
  <si>
    <t>26/7/2025</t>
  </si>
  <si>
    <t>28/7/2025</t>
  </si>
  <si>
    <t>KXIND/W/SPP/RV25-0055</t>
  </si>
  <si>
    <t>KXIND/W/RE/RV25-0056</t>
  </si>
  <si>
    <t>Only budgetary quotation</t>
  </si>
  <si>
    <t>KXIND/W/MC/RV25-0051</t>
  </si>
  <si>
    <t>26/6/2025</t>
  </si>
  <si>
    <t>14/8/2025</t>
  </si>
  <si>
    <t>11007581/001</t>
  </si>
  <si>
    <t>13000022/001</t>
  </si>
  <si>
    <t>13000120/001</t>
  </si>
  <si>
    <t>14005022/001</t>
  </si>
  <si>
    <t xml:space="preserve">Shirish Phanse </t>
  </si>
  <si>
    <t xml:space="preserve">shirish.phanse@aarav.co
</t>
  </si>
  <si>
    <t>KXIND/W/SER/RV25-0057</t>
  </si>
  <si>
    <t>25-26/POVD/20/1710</t>
  </si>
  <si>
    <t>28/8/2025</t>
  </si>
  <si>
    <t>KXIND/W/SPP/RV25-0058</t>
  </si>
  <si>
    <t>Vivek Mishra</t>
  </si>
  <si>
    <t>mishra.vivek@siemens-energy-india.com</t>
  </si>
  <si>
    <t>KXIND/W/SPP/RV25-0059</t>
  </si>
  <si>
    <t xml:space="preserve">Yogesh Chavan </t>
  </si>
  <si>
    <t>yogesh.chavan@siemens.com</t>
  </si>
  <si>
    <t>KXIND/W/MC/RV25-0060</t>
  </si>
  <si>
    <t>16/9/2025</t>
  </si>
  <si>
    <t>KXIND/W/MC/RV25-0061</t>
  </si>
  <si>
    <t xml:space="preserve">Three yeas PO </t>
  </si>
  <si>
    <t>19/8/2025</t>
  </si>
  <si>
    <t xml:space="preserve">Wockhardt LTD </t>
  </si>
  <si>
    <t>Digambar Bhore</t>
  </si>
  <si>
    <t>dbhore@wockhardt.com</t>
  </si>
  <si>
    <t>14007418/001</t>
  </si>
  <si>
    <t>KXIND/W/SR/RV25-0062</t>
  </si>
  <si>
    <t>20/8/2025</t>
  </si>
  <si>
    <t>22/8/2025</t>
  </si>
  <si>
    <t>KXIND/W/SPP/RV25-0063</t>
  </si>
  <si>
    <t>22/08/2025</t>
  </si>
  <si>
    <t>23/08/2025</t>
  </si>
  <si>
    <t>Sachind Lad</t>
  </si>
  <si>
    <t>KXIND/W/SPP/RV25-0064</t>
  </si>
  <si>
    <t>KXIND/W/SPP/RV25-0065</t>
  </si>
  <si>
    <t>Endress Hauser Flowtec India Pvt ltd</t>
  </si>
  <si>
    <t xml:space="preserve">Sachin Mhaske </t>
  </si>
  <si>
    <t>sachin.mhaske@endress.com</t>
  </si>
  <si>
    <t>04005535/001</t>
  </si>
  <si>
    <t>KXIND/W/SPP/RV25-0066</t>
  </si>
  <si>
    <t>KXIND/W/SR/RV25-0067</t>
  </si>
  <si>
    <t>A02/1030197554</t>
  </si>
  <si>
    <t>KXIND/W/SPP/RV25-0068</t>
  </si>
  <si>
    <t>KXIND/W/SPP/RV25-0069</t>
  </si>
  <si>
    <t xml:space="preserve">Lathif Shahed </t>
  </si>
  <si>
    <t>KXIND/W/SPP/RV25-0070</t>
  </si>
  <si>
    <t>13/9/2025</t>
  </si>
  <si>
    <t>Kunal Kawale</t>
  </si>
  <si>
    <t>kawale.kunal@mahindra.com</t>
  </si>
  <si>
    <t>KXIND/W/SPP/RV25-0071</t>
  </si>
  <si>
    <t>SG/3800320956</t>
  </si>
  <si>
    <t>27/9/2025</t>
  </si>
  <si>
    <t>26/9/2025</t>
  </si>
  <si>
    <t>15006099/001</t>
  </si>
  <si>
    <t>KXIND/W/MC/RV25-0072</t>
  </si>
  <si>
    <t xml:space="preserve">Umesh Gawade </t>
  </si>
  <si>
    <t>KXIND/W/RE/RV25-0073</t>
  </si>
  <si>
    <t>Dattaram Bagayatkar</t>
  </si>
  <si>
    <t>KXIND/W/MC/RV25-0074</t>
  </si>
  <si>
    <t>11010674/001</t>
  </si>
  <si>
    <t>14/10/2025</t>
  </si>
  <si>
    <t>Babasah Badar</t>
  </si>
  <si>
    <t>babasaheb.badar@endress.com</t>
  </si>
  <si>
    <t>KXIND/W/MC/RV25-0075</t>
  </si>
  <si>
    <t>A02/1030265429</t>
  </si>
  <si>
    <t>13/11/2025</t>
  </si>
  <si>
    <t>17/10/2025</t>
  </si>
  <si>
    <t>KXIND/W/SPP/RV25-0076</t>
  </si>
  <si>
    <t>ZPML/3610000564</t>
  </si>
  <si>
    <t>Igatpuri</t>
  </si>
  <si>
    <t>Razzak Azizur</t>
  </si>
  <si>
    <t>razzak.azizur@mahindra.com</t>
  </si>
  <si>
    <t>20005727/001</t>
  </si>
  <si>
    <t>KXIND/W/SPP/RV25-0077</t>
  </si>
  <si>
    <t>27/10/2025</t>
  </si>
  <si>
    <t>Kiran Billade</t>
  </si>
  <si>
    <t>kiran.billade@tdk.com</t>
  </si>
  <si>
    <t>KXIND/W/SER/RV25-0078</t>
  </si>
  <si>
    <t>30/10/2025</t>
  </si>
  <si>
    <t>05006142/001</t>
  </si>
  <si>
    <t>31/10/2025</t>
  </si>
  <si>
    <t xml:space="preserve">Rahul Ratu </t>
  </si>
  <si>
    <t>KXIND/W/MC/RV25-0079</t>
  </si>
  <si>
    <t>15004871/001</t>
  </si>
  <si>
    <t>KXIND/W/MC/RV25-0080</t>
  </si>
  <si>
    <t>KXIND/W/SPP/RV25-0081</t>
  </si>
  <si>
    <t>KXIND/W/SPP/RV25-0082</t>
  </si>
  <si>
    <t>20/11/2025</t>
  </si>
  <si>
    <t>KXIND/W/MC/RV25-0083</t>
  </si>
  <si>
    <t>23003303/001</t>
  </si>
  <si>
    <t>KXIND/W/SPP/RV25-0084</t>
  </si>
  <si>
    <t>28/11/2025</t>
  </si>
  <si>
    <t>KXIND/W/MC/RV25-0085</t>
  </si>
  <si>
    <t>Rina Pagar</t>
  </si>
  <si>
    <t>KXIND/W/MC/RV25-0086</t>
  </si>
  <si>
    <t>15/11/2025</t>
  </si>
  <si>
    <t>Sagar Wadhavane</t>
  </si>
  <si>
    <t>sagar.wadhavane@tdk.com</t>
  </si>
  <si>
    <t>KXIND/W/SPP/RV25-0087</t>
  </si>
  <si>
    <t xml:space="preserve"> KXIND/W/SPP/RV25-0054  </t>
  </si>
  <si>
    <t>ZPML/3610000574</t>
  </si>
  <si>
    <t>14/11/2025</t>
  </si>
  <si>
    <t>KXIND/W/MC/RV25-0088</t>
  </si>
  <si>
    <t>ZPSC/4410000720</t>
  </si>
  <si>
    <t>19/12/2025</t>
  </si>
  <si>
    <t xml:space="preserve"> KXIND/W/MUL/RV25-0089</t>
  </si>
  <si>
    <t>ZPML/3610000692</t>
  </si>
  <si>
    <t>29/12/2025</t>
  </si>
  <si>
    <t>KXIND/W/MC/RV25-0090</t>
  </si>
  <si>
    <t>ganesh.kalyani@nisseiasb.com</t>
  </si>
  <si>
    <t>KXIND/W/MC/RV25-0091</t>
  </si>
  <si>
    <t>KXIND/W/MC/RV25-0092</t>
  </si>
  <si>
    <t>15/12/2025</t>
  </si>
  <si>
    <t>Chandashekhar Pathak</t>
  </si>
  <si>
    <t>KXIND/W/MC/RV25-0093</t>
  </si>
  <si>
    <t>KXIND/W/RF/RV25-0094</t>
  </si>
  <si>
    <t>Innovatec India Pvt ltd</t>
  </si>
  <si>
    <t>Naresh Mokal</t>
  </si>
  <si>
    <t>naresh.mokal@innomotics.com</t>
  </si>
  <si>
    <t>23002775/001</t>
  </si>
  <si>
    <t>KXIND/W/MC/RV25-0095</t>
  </si>
  <si>
    <t>16/12/2025</t>
  </si>
  <si>
    <t>KXIND/W/SPP/RV25-0096</t>
  </si>
  <si>
    <t>17/12/2025</t>
  </si>
  <si>
    <t>KXIND/W/RF/RV25-0097</t>
  </si>
  <si>
    <t>KXIND/W/SER/RV25-0098</t>
  </si>
  <si>
    <t>KARDEX INDIA - LIVE OFFER FUNEL - MINESH - WEST</t>
  </si>
  <si>
    <t>Offer Updated in CRM</t>
  </si>
  <si>
    <t>Offer closed in CRM</t>
  </si>
  <si>
    <t>Kabra Extrusiontechnik Ltd</t>
  </si>
  <si>
    <t>Daman</t>
  </si>
  <si>
    <t>Krunal patel</t>
  </si>
  <si>
    <t>krunal.patel@kolsitegroup.com</t>
  </si>
  <si>
    <t>10007235/001</t>
  </si>
  <si>
    <t>KXIND/W/MV/MC/24085</t>
  </si>
  <si>
    <t>Niteshkumar Patel</t>
  </si>
  <si>
    <t>Niteshkumar.PATEL@dsm-firmenich.com</t>
  </si>
  <si>
    <t>18001930/001</t>
  </si>
  <si>
    <t>KXIND/W/MV/MC/24102</t>
  </si>
  <si>
    <t>3001011375 -</t>
  </si>
  <si>
    <t>Already booked in Dec-25 remove from offer funnel</t>
  </si>
  <si>
    <t>31/12/2204</t>
  </si>
  <si>
    <t>18001930/002</t>
  </si>
  <si>
    <t>18001930/003</t>
  </si>
  <si>
    <t>Cello Household Products</t>
  </si>
  <si>
    <t>Production</t>
  </si>
  <si>
    <t>Rakesh Shah</t>
  </si>
  <si>
    <t>rakesh.shah@celloworld.com</t>
  </si>
  <si>
    <t>16004134/001</t>
  </si>
  <si>
    <t>KXIND/W/MV/MC/24086</t>
  </si>
  <si>
    <t>Jaiko Industries Ltd</t>
  </si>
  <si>
    <t>Ankleshwar</t>
  </si>
  <si>
    <t>Plant Head</t>
  </si>
  <si>
    <t>Vinod Mahajan</t>
  </si>
  <si>
    <t>jaikoindustries2011@gmail.com</t>
  </si>
  <si>
    <t>10007105/001</t>
  </si>
  <si>
    <t>KXIND/W/MV/MC/24087</t>
  </si>
  <si>
    <t>P240771</t>
  </si>
  <si>
    <t xml:space="preserve">JP Extrusiontech Ltd </t>
  </si>
  <si>
    <t>Purchase</t>
  </si>
  <si>
    <t>Asish Biswas</t>
  </si>
  <si>
    <t>purchase@jpel.in</t>
  </si>
  <si>
    <t>13000085/001</t>
  </si>
  <si>
    <t>KXIND/W/MV/MC/24072</t>
  </si>
  <si>
    <t>P2401770</t>
  </si>
  <si>
    <t>Turbo Energy Pvt Ltd</t>
  </si>
  <si>
    <t>Vadodara</t>
  </si>
  <si>
    <t>Mr. Kabilan</t>
  </si>
  <si>
    <t>TEV_Utility@turboenergy.co.in</t>
  </si>
  <si>
    <t>18001203/001</t>
  </si>
  <si>
    <t>KXIND/W/MV/MC/24103</t>
  </si>
  <si>
    <t>17/2/2025</t>
  </si>
  <si>
    <t>Hero Moto Corp Ltd.</t>
  </si>
  <si>
    <t>Maitenance</t>
  </si>
  <si>
    <t>Rutvik Joshi</t>
  </si>
  <si>
    <t>rutviksanjay.joshi@heromotocorp.com</t>
  </si>
  <si>
    <t>15006703/001</t>
  </si>
  <si>
    <t>KXIND/W/MV/MC/24075</t>
  </si>
  <si>
    <t>15006703/002</t>
  </si>
  <si>
    <t>Rotomotive Powerdrives India Ltd</t>
  </si>
  <si>
    <t>Anand</t>
  </si>
  <si>
    <t>Hitesh Patel</t>
  </si>
  <si>
    <t>prod-gbx@rotomotive.com</t>
  </si>
  <si>
    <t>11008006/001</t>
  </si>
  <si>
    <t>KXIND/W/MV/RE/25001</t>
  </si>
  <si>
    <t>PO/24/05048</t>
  </si>
  <si>
    <t>28/01/2025</t>
  </si>
  <si>
    <t>Elecon Engg Co Ltd</t>
  </si>
  <si>
    <t>Darshan Upadhyay</t>
  </si>
  <si>
    <t>daupadhyay@akaaish.com</t>
  </si>
  <si>
    <t>KXIND/W/MV/SPP/24100</t>
  </si>
  <si>
    <t>659391/0</t>
  </si>
  <si>
    <t>30/1/2025</t>
  </si>
  <si>
    <t>Gawrang Soni</t>
  </si>
  <si>
    <t>gjsoni@elecon.com</t>
  </si>
  <si>
    <t>KXIND/W/MV/SPP/25002</t>
  </si>
  <si>
    <t>661955/0</t>
  </si>
  <si>
    <t>16/1/2025</t>
  </si>
  <si>
    <t>Power Build  Ltd</t>
  </si>
  <si>
    <t>Alpesh J.Thakkar</t>
  </si>
  <si>
    <t>98795 07642</t>
  </si>
  <si>
    <t>ajthakkar@akaaish.com</t>
  </si>
  <si>
    <t>02002802/001</t>
  </si>
  <si>
    <t>KXIND/W/MV/MLU/24090</t>
  </si>
  <si>
    <t>2411048818/0</t>
  </si>
  <si>
    <t>KHS Machinery Pvt Ltd</t>
  </si>
  <si>
    <t>Ahmadabad</t>
  </si>
  <si>
    <t>Biresh Banerjee</t>
  </si>
  <si>
    <t>Biresh.Banerjee@khs.com</t>
  </si>
  <si>
    <t>06007041/001</t>
  </si>
  <si>
    <t>KXIND/W/MV/MC/24104</t>
  </si>
  <si>
    <t>91029375 -</t>
  </si>
  <si>
    <t>06007041/002</t>
  </si>
  <si>
    <t>06007041/003</t>
  </si>
  <si>
    <t>06007041/004</t>
  </si>
  <si>
    <t>06007041/005</t>
  </si>
  <si>
    <t>Ferromatik Milacron India Ltd (Milacron India Pvt ltd)</t>
  </si>
  <si>
    <t>Kalpesh Panchal</t>
  </si>
  <si>
    <t>Kalpesh_Panchal@milacron.com</t>
  </si>
  <si>
    <t>11002444/001</t>
  </si>
  <si>
    <t>KXIND/W/MV/MC/24094 - R1</t>
  </si>
  <si>
    <t>30010283/O2/24152993</t>
  </si>
  <si>
    <t>11002457/001</t>
  </si>
  <si>
    <t>10003923/001</t>
  </si>
  <si>
    <t>Prashant Ferber Logistics Automation Pvt Ltd (Prashant Gamatex Pvt Ltd)</t>
  </si>
  <si>
    <t>Ghanshyam Borse</t>
  </si>
  <si>
    <t>c-purchase@prashantgroup.com</t>
  </si>
  <si>
    <t>12006388/001</t>
  </si>
  <si>
    <t>KXIND/W/MV/MC/24084</t>
  </si>
  <si>
    <t>SERVICE/30</t>
  </si>
  <si>
    <t>Truetzschler India Pvt Ltd</t>
  </si>
  <si>
    <t>Arun Kavta</t>
  </si>
  <si>
    <t>ankavta@truetzschler.in</t>
  </si>
  <si>
    <t>18001462/001</t>
  </si>
  <si>
    <t>KXIND/W/MV/MC/24098</t>
  </si>
  <si>
    <t>11001979/001</t>
  </si>
  <si>
    <t>KXIND/W/MV/RE/24099 – R1</t>
  </si>
  <si>
    <t>P2406119</t>
  </si>
  <si>
    <t>11001980/001</t>
  </si>
  <si>
    <t>Prasanna Manogaran</t>
  </si>
  <si>
    <t>prasanna.manogaran@fermator.com</t>
  </si>
  <si>
    <t>21008408/001</t>
  </si>
  <si>
    <t>KXIND/W/MV/MC/24083</t>
  </si>
  <si>
    <t>2025/67</t>
  </si>
  <si>
    <t>14/04/2025</t>
  </si>
  <si>
    <t>sanand</t>
  </si>
  <si>
    <t>Hiren Patel</t>
  </si>
  <si>
    <t>Hirenkumar.Patel@kbl.co.in</t>
  </si>
  <si>
    <t>17001433/003</t>
  </si>
  <si>
    <t>KXIND/W/MV/MC/24073</t>
  </si>
  <si>
    <t>1600029226 -</t>
  </si>
  <si>
    <t>Nayara Energy Ltd.</t>
  </si>
  <si>
    <t>Dwarka</t>
  </si>
  <si>
    <t>Manager</t>
  </si>
  <si>
    <t>Arvind Jadeja</t>
  </si>
  <si>
    <t>Arvindsinh.jadeja@nayaraenergy.com</t>
  </si>
  <si>
    <t>18009095/001</t>
  </si>
  <si>
    <t>KXIND/W/MV/MC/24054</t>
  </si>
  <si>
    <t>we have received PO for 3 years contract (2025 to 2027 @ INR 98000 / machine / year</t>
  </si>
  <si>
    <t>18009095/002</t>
  </si>
  <si>
    <t>18009095/003</t>
  </si>
  <si>
    <t>Grundfos Pumps India Pvt Ltd</t>
  </si>
  <si>
    <t>Govind Rajput</t>
  </si>
  <si>
    <t>rajput@grundfos.com</t>
  </si>
  <si>
    <t>16006392/001</t>
  </si>
  <si>
    <t>KXIND/W/MV/MC/24106</t>
  </si>
  <si>
    <t>we have received PO for 2 years contract @ INR 77200 / machine / year</t>
  </si>
  <si>
    <t>16006392/002</t>
  </si>
  <si>
    <t>we have received PO for 2 years contract @ INR 65100 / machine / year</t>
  </si>
  <si>
    <t>pithampur</t>
  </si>
  <si>
    <t>Rajev Jain</t>
  </si>
  <si>
    <t>Rajev.Jain@viatris.com</t>
  </si>
  <si>
    <t>18005564/001</t>
  </si>
  <si>
    <t>KXIND/W/MV/MC/24105</t>
  </si>
  <si>
    <t>we have received PO for 2 years contract (2025 &amp; 2026) @ INR 118335 / machine / year</t>
  </si>
  <si>
    <t>18005564/002</t>
  </si>
  <si>
    <t>20004153/001</t>
  </si>
  <si>
    <t>20004153/002</t>
  </si>
  <si>
    <t>21003856/001</t>
  </si>
  <si>
    <t>Force Motors Ltd</t>
  </si>
  <si>
    <t>Manoj Verma</t>
  </si>
  <si>
    <t>mverma@forcemotors.com</t>
  </si>
  <si>
    <t>15005798/001</t>
  </si>
  <si>
    <t>KXIND/W/MV/MC/24093</t>
  </si>
  <si>
    <t xml:space="preserve">Hitachi Energy India Ltd </t>
  </si>
  <si>
    <t>Parth Bhatwadekar</t>
  </si>
  <si>
    <t>parth.bhatwadekar@hitachienergy.com</t>
  </si>
  <si>
    <t xml:space="preserve">12005859/001 </t>
  </si>
  <si>
    <t>KXIND/W/MV/MLU/24080</t>
  </si>
  <si>
    <t>Bengaluru</t>
  </si>
  <si>
    <t>Arivalagan S</t>
  </si>
  <si>
    <t>imm_commercial.engines@hal-india.co.in</t>
  </si>
  <si>
    <t>21000483/004</t>
  </si>
  <si>
    <t>KRIND/S/MC/ASK2300039 R2</t>
  </si>
  <si>
    <t>Burckhardt Compression</t>
  </si>
  <si>
    <t>Hardik Jadav</t>
  </si>
  <si>
    <t>Hardik.jadav@burckhardtcompression.com</t>
  </si>
  <si>
    <t>18005150 / 001</t>
  </si>
  <si>
    <t>KXIND/W/MV/SPP/24091</t>
  </si>
  <si>
    <t>PRASAD RAPID INDIA PRIVATE LIMITED</t>
  </si>
  <si>
    <t>Darshak Sathvara</t>
  </si>
  <si>
    <t>purchase03-pmpl@prasadgroup.com</t>
  </si>
  <si>
    <t>12006484/001</t>
  </si>
  <si>
    <t>KXIND/W/MV/OTH/25003</t>
  </si>
  <si>
    <t>CAPITAL/3</t>
  </si>
  <si>
    <t>KXIND/W/MV/SPP/25004</t>
  </si>
  <si>
    <t>CAPITAL/4</t>
  </si>
  <si>
    <t>Secure Meters Limited</t>
  </si>
  <si>
    <t>Udaipur</t>
  </si>
  <si>
    <t>Madan Mohan Singh</t>
  </si>
  <si>
    <t>Madan.Singh@Securemeters.Com</t>
  </si>
  <si>
    <t>16000992/001</t>
  </si>
  <si>
    <t>KXIND/W/MV/MC/25005 - R1</t>
  </si>
  <si>
    <t>17/04/2025</t>
  </si>
  <si>
    <t>16000992/002</t>
  </si>
  <si>
    <t>17004640/001</t>
  </si>
  <si>
    <t>17004640/002</t>
  </si>
  <si>
    <t>Dahej</t>
  </si>
  <si>
    <t>QA/QC</t>
  </si>
  <si>
    <t>Vinay Thandar</t>
  </si>
  <si>
    <t>vinay.thandar@dsmfirmenich.com</t>
  </si>
  <si>
    <t>18001927/001</t>
  </si>
  <si>
    <t>KXIND/W/MV/MC/25006</t>
  </si>
  <si>
    <t>14/02/2025</t>
  </si>
  <si>
    <t>18001927/002</t>
  </si>
  <si>
    <t>18001927/003</t>
  </si>
  <si>
    <t>19000224/001</t>
  </si>
  <si>
    <t>19000224/002</t>
  </si>
  <si>
    <t>20/02/2025</t>
  </si>
  <si>
    <t>Gas Meters</t>
  </si>
  <si>
    <t>Sunil Kumar</t>
  </si>
  <si>
    <t>Sunil.kumar@securemeters.com</t>
  </si>
  <si>
    <t>17001597/001</t>
  </si>
  <si>
    <t>KXIND/W/MV/MC/25007 - R1</t>
  </si>
  <si>
    <t>17003534/002</t>
  </si>
  <si>
    <t>17001598 / 001</t>
  </si>
  <si>
    <t>17001598 / 002</t>
  </si>
  <si>
    <t>Dharmendra Yadav</t>
  </si>
  <si>
    <t>95829 27693</t>
  </si>
  <si>
    <t>Dharmendra.yadav@securemeters.com</t>
  </si>
  <si>
    <t>17004137/001</t>
  </si>
  <si>
    <t>KXIND/W/MV/MC/25008 - R1</t>
  </si>
  <si>
    <t>18/04/2025</t>
  </si>
  <si>
    <t>17004137/002</t>
  </si>
  <si>
    <t>17004137/003</t>
  </si>
  <si>
    <t>17003535/001</t>
  </si>
  <si>
    <t>17003534/001</t>
  </si>
  <si>
    <t>17003535/002</t>
  </si>
  <si>
    <t>Deepak Kumar Parmar</t>
  </si>
  <si>
    <t>Deepakkumar.parmar@hitachienergy.com</t>
  </si>
  <si>
    <t>KXIND/W/MV/MC/25009</t>
  </si>
  <si>
    <t>12005895/001</t>
  </si>
  <si>
    <t>Powerstatic Solutions India Private Limited (GE Power Systems India Pvt Ltd)</t>
  </si>
  <si>
    <t>Ahmedabad</t>
  </si>
  <si>
    <t>Arvind Pardeshi</t>
  </si>
  <si>
    <t>Arvind.Pardeshi@gevernova.com</t>
  </si>
  <si>
    <t>14005716/001</t>
  </si>
  <si>
    <t>KXIND/W/MV/MC/25010</t>
  </si>
  <si>
    <t>26/04/2025</t>
  </si>
  <si>
    <t>14005716/002</t>
  </si>
  <si>
    <t>Inductotherm India Pvt Ltd.</t>
  </si>
  <si>
    <t>Amrut Patel</t>
  </si>
  <si>
    <t>maintedept-1@inductothermindia.com</t>
  </si>
  <si>
    <t>15003537/001</t>
  </si>
  <si>
    <t>KXIND/W/MV/MC/25011</t>
  </si>
  <si>
    <t>PO-2526-002296</t>
  </si>
  <si>
    <t>15003537/002</t>
  </si>
  <si>
    <t>15003539/001</t>
  </si>
  <si>
    <t>15003539/002</t>
  </si>
  <si>
    <t>15003539/003</t>
  </si>
  <si>
    <t>Bhavani Industries</t>
  </si>
  <si>
    <t>Rajkot</t>
  </si>
  <si>
    <t>Jagdish Paun</t>
  </si>
  <si>
    <t>99252 44520</t>
  </si>
  <si>
    <t>jagdish.paun@bhavani.co.in</t>
  </si>
  <si>
    <t>12002683/001</t>
  </si>
  <si>
    <t>KXIND/W/MV/MC/25012</t>
  </si>
  <si>
    <t>POC/25-26/1163</t>
  </si>
  <si>
    <t>15/05/2025</t>
  </si>
  <si>
    <t>12002684/001</t>
  </si>
  <si>
    <t>17005324/001</t>
  </si>
  <si>
    <t>Prasad Koch Technik Pvt Ltd</t>
  </si>
  <si>
    <t>Mehul Patel</t>
  </si>
  <si>
    <t>97277 12118</t>
  </si>
  <si>
    <t>utility@prasadgroup.com</t>
  </si>
  <si>
    <t>12006519/001</t>
  </si>
  <si>
    <t>KXIND/W/MV/MC/25013</t>
  </si>
  <si>
    <t>MECHANICAL/47</t>
  </si>
  <si>
    <t>15/04/2025</t>
  </si>
  <si>
    <t>12006495/001</t>
  </si>
  <si>
    <t>Jignesh Shah</t>
  </si>
  <si>
    <t>88665 68532</t>
  </si>
  <si>
    <t>shahjgn@schaeffler.com</t>
  </si>
  <si>
    <t>19006352/001</t>
  </si>
  <si>
    <t>KXIND/W/MV/MC/25014</t>
  </si>
  <si>
    <t>Parth Dave</t>
  </si>
  <si>
    <t>79904 93880</t>
  </si>
  <si>
    <t>maintenance.sanand@bhavani.co.in</t>
  </si>
  <si>
    <t>11007588/001</t>
  </si>
  <si>
    <t>KXIND/W/MV/MC/25015</t>
  </si>
  <si>
    <t>POC/24-25/1763</t>
  </si>
  <si>
    <t>KXIND/W/MV/SPP/25016</t>
  </si>
  <si>
    <t>KXIND/W/MV/SPP/25017</t>
  </si>
  <si>
    <t>P2501133</t>
  </si>
  <si>
    <t>28/03/2025</t>
  </si>
  <si>
    <t>Ameet Luhar</t>
  </si>
  <si>
    <t>Production-pmpl@prasadgroup.com</t>
  </si>
  <si>
    <t>KXIND/W/MV/SPP/25018</t>
  </si>
  <si>
    <t>CAPITAL/7</t>
  </si>
  <si>
    <t>25/03/2025</t>
  </si>
  <si>
    <t>Porbandar</t>
  </si>
  <si>
    <t>Arindam Pal</t>
  </si>
  <si>
    <t>Arindam.pal@hal-india.com</t>
  </si>
  <si>
    <t>KXIND/W/MV/SPP/25019</t>
  </si>
  <si>
    <t>16/3/2025</t>
  </si>
  <si>
    <t>KXIND/W/MV/SPP/25020</t>
  </si>
  <si>
    <t>KXIND/W/MV/SPP/25021</t>
  </si>
  <si>
    <t>15/10/2025</t>
  </si>
  <si>
    <t>21/03/2025</t>
  </si>
  <si>
    <t>KXIND/W/SPP/MV23-063</t>
  </si>
  <si>
    <t>22006105/001</t>
  </si>
  <si>
    <t>KXIND/W/MV/MC/25022 – R1</t>
  </si>
  <si>
    <t>14/4/2025</t>
  </si>
  <si>
    <t>30010283/O2/25011844</t>
  </si>
  <si>
    <t>24/04/2025</t>
  </si>
  <si>
    <t>22006105/002</t>
  </si>
  <si>
    <t>22006106/001</t>
  </si>
  <si>
    <t>22006108/001</t>
  </si>
  <si>
    <t>KXIND/W/MV/SPP/25023</t>
  </si>
  <si>
    <t>P2501614</t>
  </si>
  <si>
    <t>KXIND/W/MV/MC/25024</t>
  </si>
  <si>
    <t>P2501819</t>
  </si>
  <si>
    <t>21/04/2025</t>
  </si>
  <si>
    <t>Virendrakumar Yadav</t>
  </si>
  <si>
    <t>96219 11288</t>
  </si>
  <si>
    <t>Virendrakumar.yadav@subros.com</t>
  </si>
  <si>
    <t>17002680/002</t>
  </si>
  <si>
    <t>KXIND/W/MV/MC/25025</t>
  </si>
  <si>
    <t>Operations</t>
  </si>
  <si>
    <t>Anil Suthar</t>
  </si>
  <si>
    <t>anil.suthar@rotomotive.com</t>
  </si>
  <si>
    <t>KXIND/W/MV/SPP/24097</t>
  </si>
  <si>
    <t>25/11/2024</t>
  </si>
  <si>
    <t>PON2/25/0059</t>
  </si>
  <si>
    <t>15/4/2025</t>
  </si>
  <si>
    <t>Shailesh Patel</t>
  </si>
  <si>
    <t>utility@prashantgroup.com</t>
  </si>
  <si>
    <t>KXIND/W/MV/SPP/25026</t>
  </si>
  <si>
    <t>Polycab India Ltd</t>
  </si>
  <si>
    <t>Suryakant Tyagi</t>
  </si>
  <si>
    <t>Suryakant.Tyagi@Polycab.com</t>
  </si>
  <si>
    <t>23004242/001</t>
  </si>
  <si>
    <t>KXIND/W/MV/MC/25027</t>
  </si>
  <si>
    <t>30/05/2025</t>
  </si>
  <si>
    <t>23004242/002</t>
  </si>
  <si>
    <t>23004242/003</t>
  </si>
  <si>
    <t>20/04/2025</t>
  </si>
  <si>
    <t>KXIND/W/MV/SPP/25028</t>
  </si>
  <si>
    <t>Siemens Energy Industrial Turbomachinery India Pvt Ltd</t>
  </si>
  <si>
    <t>Nikhil Chitnis</t>
  </si>
  <si>
    <t>97125 97251</t>
  </si>
  <si>
    <t>nikhil.chitnis@siemensenergy.com</t>
  </si>
  <si>
    <t>05006887/001</t>
  </si>
  <si>
    <t>KXIND/W/MV/SPP/25029</t>
  </si>
  <si>
    <t>KXIND/W/MV/SPP/25030</t>
  </si>
  <si>
    <t>30010283/O2/25031800</t>
  </si>
  <si>
    <t>31/5/2025</t>
  </si>
  <si>
    <t>Ankit Mishra</t>
  </si>
  <si>
    <t>ankit.mishra@subros.com</t>
  </si>
  <si>
    <t>KXIND/W/MV/SPP/25031</t>
  </si>
  <si>
    <t>KXIND/W/MV/SPP/25033</t>
  </si>
  <si>
    <t>Prasad GWK Cooltech Pvt Ltd</t>
  </si>
  <si>
    <t>Rohan</t>
  </si>
  <si>
    <t>stores-gwk@prasadgroup.com</t>
  </si>
  <si>
    <t>12006436/001</t>
  </si>
  <si>
    <t>KXIND/W/MV/SPP/25034</t>
  </si>
  <si>
    <t>KXIND/W/MV/SPP/25035</t>
  </si>
  <si>
    <t xml:space="preserve">Vihan Engg Pvt Ltd </t>
  </si>
  <si>
    <t>Viren Joshipara</t>
  </si>
  <si>
    <t>vnj@vihanindia.com</t>
  </si>
  <si>
    <t>15006572/001</t>
  </si>
  <si>
    <t>KXIND/W/MV/MC/25036</t>
  </si>
  <si>
    <t>VE Commercial Vehicles Ltd</t>
  </si>
  <si>
    <t>Praveen Kumar Gupta</t>
  </si>
  <si>
    <t>pkgupta9@VECV.IN</t>
  </si>
  <si>
    <t>16007190/001</t>
  </si>
  <si>
    <t>KXIND/W/MV/MC/25037</t>
  </si>
  <si>
    <t>Bosch Rexroth India Ltd</t>
  </si>
  <si>
    <t>Nimit Shah</t>
  </si>
  <si>
    <t>shah.nn@boschrexroth.co.in</t>
  </si>
  <si>
    <t>11002664/001</t>
  </si>
  <si>
    <t>KXIND/W/MV/MC/25038</t>
  </si>
  <si>
    <t>12004686/001</t>
  </si>
  <si>
    <t>12003603/001</t>
  </si>
  <si>
    <t xml:space="preserve">12003604/001 </t>
  </si>
  <si>
    <t>12003605/001</t>
  </si>
  <si>
    <t>12003606/001</t>
  </si>
  <si>
    <t>12003607/001</t>
  </si>
  <si>
    <t>12003608/001</t>
  </si>
  <si>
    <t>12003609/001</t>
  </si>
  <si>
    <t>12003610/001</t>
  </si>
  <si>
    <t>Harshil Patel</t>
  </si>
  <si>
    <t>harshil.patel@securemeters.com</t>
  </si>
  <si>
    <t>KXIND/W/MV/RE/25039 – R1</t>
  </si>
  <si>
    <t>14/6/2025</t>
  </si>
  <si>
    <t>KXIND/W/MV/SPP/25040</t>
  </si>
  <si>
    <t>KXIND/W/MV/MC/25041</t>
  </si>
  <si>
    <t>CAPITAL/2</t>
  </si>
  <si>
    <t>11004925/001</t>
  </si>
  <si>
    <t>KXIND/W/MV/SPP/25042</t>
  </si>
  <si>
    <t>699858/ 0</t>
  </si>
  <si>
    <t>Eimco Elecon (i) Ltd</t>
  </si>
  <si>
    <t>Krupesh Talati</t>
  </si>
  <si>
    <t>kdtalati@akaaish.com</t>
  </si>
  <si>
    <t>03005917/002</t>
  </si>
  <si>
    <t>KXIND/W/MV/SPP/25043</t>
  </si>
  <si>
    <t>97714/0</t>
  </si>
  <si>
    <t>18/08/2025</t>
  </si>
  <si>
    <t>ATC Tires Pvt Ltd</t>
  </si>
  <si>
    <t>Rohan Siraskar</t>
  </si>
  <si>
    <t>rsiraskar@yokohama-oht.com</t>
  </si>
  <si>
    <t>KXIND/W/MV/SPP/25044</t>
  </si>
  <si>
    <t>18/7/2025</t>
  </si>
  <si>
    <t>Ankur Mehta</t>
  </si>
  <si>
    <t>99982-23662</t>
  </si>
  <si>
    <t>mehta.ad@boschrexroth.co.in</t>
  </si>
  <si>
    <t>KXIND/W/MV/SPP/25045</t>
  </si>
  <si>
    <t>Mihir J Soni</t>
  </si>
  <si>
    <t>mjsoni1@akaaish.com</t>
  </si>
  <si>
    <t>11004924/001</t>
  </si>
  <si>
    <t>KXIND/W/MV/SPP/25046</t>
  </si>
  <si>
    <t>707265/ 0</t>
  </si>
  <si>
    <t>Savli, Vadodara</t>
  </si>
  <si>
    <t>Dinesh</t>
  </si>
  <si>
    <t>chouddne@schaeffler.com</t>
  </si>
  <si>
    <t>22007546/001</t>
  </si>
  <si>
    <t>KXIND/W/MV/MC/25047</t>
  </si>
  <si>
    <t>Nirav Shah</t>
  </si>
  <si>
    <t>nirav.shah@schaeffler.com</t>
  </si>
  <si>
    <t>22007945/001</t>
  </si>
  <si>
    <t>KXIND/W/MV/MC/25048</t>
  </si>
  <si>
    <t>22007945/002</t>
  </si>
  <si>
    <t>28/12/2025</t>
  </si>
  <si>
    <t>Spares</t>
  </si>
  <si>
    <t>Sachin Rathod</t>
  </si>
  <si>
    <t>Sachin.Rathod@burckhardtcompression.com</t>
  </si>
  <si>
    <t>KXIND/W/MV/MC/25049</t>
  </si>
  <si>
    <t>PO10192957</t>
  </si>
  <si>
    <t>KXIND/W/MV/SPP/25050</t>
  </si>
  <si>
    <t>PO-2526-016316</t>
  </si>
  <si>
    <t>KXIND/W/MV/SPP/25051</t>
  </si>
  <si>
    <t>Parashar Mishra</t>
  </si>
  <si>
    <t>parashar.mishra@vihanindia.com</t>
  </si>
  <si>
    <t>KXIND/W/MV/SPP/25052</t>
  </si>
  <si>
    <t>KXIND/W/MV/SPP/25053</t>
  </si>
  <si>
    <t>halol</t>
  </si>
  <si>
    <t>Bhavin Patel</t>
  </si>
  <si>
    <t>patel.bhavinkumar@heromotocorp.com</t>
  </si>
  <si>
    <t>KXIND/W/MV/MC/25054</t>
  </si>
  <si>
    <t>16/09/2025</t>
  </si>
  <si>
    <t>Vijay K. Thakar</t>
  </si>
  <si>
    <t>vkthakar@eimcoelecon.in</t>
  </si>
  <si>
    <t>02007411/001</t>
  </si>
  <si>
    <t>KXIND/W/MV/SPP/24088</t>
  </si>
  <si>
    <t>18/10/2024</t>
  </si>
  <si>
    <t>97520/0</t>
  </si>
  <si>
    <t>25/8/2025</t>
  </si>
  <si>
    <t>vtpatel@akaaish.com</t>
  </si>
  <si>
    <t>08000498/002</t>
  </si>
  <si>
    <t>KXIND/W/MV/SPP/25055</t>
  </si>
  <si>
    <t>709672/ 0</t>
  </si>
  <si>
    <t>30/08/2025</t>
  </si>
  <si>
    <t>26/8/2025</t>
  </si>
  <si>
    <t>KXIND/W/MV/SPP/25056</t>
  </si>
  <si>
    <t>30010283/O2/25076809</t>
  </si>
  <si>
    <t>27/8/2025</t>
  </si>
  <si>
    <t>17001433 / 003</t>
  </si>
  <si>
    <t>KXIND/W/MV/SPP/25057</t>
  </si>
  <si>
    <t>29/8/2025</t>
  </si>
  <si>
    <t>05008830/002</t>
  </si>
  <si>
    <t>KXIND/W/MV/SPP/25058</t>
  </si>
  <si>
    <t>710417/ 0</t>
  </si>
  <si>
    <t>Adi pandey</t>
  </si>
  <si>
    <t>adi.pandey@in.abb.com</t>
  </si>
  <si>
    <t>11010630/001</t>
  </si>
  <si>
    <t>KXIND/W/MV/MC/25059</t>
  </si>
  <si>
    <t>11010631/001</t>
  </si>
  <si>
    <t>Devang Doliya</t>
  </si>
  <si>
    <t>maintenance@rotomotive.com</t>
  </si>
  <si>
    <t>KXIND/W/MV/MC/25060</t>
  </si>
  <si>
    <t>PON2/25/0812</t>
  </si>
  <si>
    <t>KXIND/W/MV/OTH/25061</t>
  </si>
  <si>
    <t>712374/ 0</t>
  </si>
  <si>
    <t>Gaurang V.Patel</t>
  </si>
  <si>
    <t>gvpatel@akaaish.com</t>
  </si>
  <si>
    <t>07006490/001</t>
  </si>
  <si>
    <t>KXIND/W/MV/SPP/25062</t>
  </si>
  <si>
    <t>185958/ 1</t>
  </si>
  <si>
    <t>17/09/2025</t>
  </si>
  <si>
    <t>Intas Pharmaceuticals Ltd</t>
  </si>
  <si>
    <t>Piyush Parmar</t>
  </si>
  <si>
    <t>piyushk_parmar@intaspharma.com</t>
  </si>
  <si>
    <t>11004033/001</t>
  </si>
  <si>
    <t>KXIND/W/MV/MC/25063</t>
  </si>
  <si>
    <t>13005554/001</t>
  </si>
  <si>
    <t>12005859/001</t>
  </si>
  <si>
    <t>KXIND/W/MV/SPP/25064</t>
  </si>
  <si>
    <t>26/09/2025</t>
  </si>
  <si>
    <t>KXIND/W/MV/SPP/25065</t>
  </si>
  <si>
    <t>MECHANICAL/4705</t>
  </si>
  <si>
    <t>ABHISHEK S NARKHEDE</t>
  </si>
  <si>
    <t>anarkhede@yokohama-oht.com</t>
  </si>
  <si>
    <t>KXIND/W/MV/SPP/25066</t>
  </si>
  <si>
    <t>03005917/003</t>
  </si>
  <si>
    <t>KXIND/W/MV/MLU/24068</t>
  </si>
  <si>
    <t>29/07/2024</t>
  </si>
  <si>
    <t>98284/0</t>
  </si>
  <si>
    <t>KXIND/W/MV/SPP/25067</t>
  </si>
  <si>
    <t>Krunal Patel</t>
  </si>
  <si>
    <t>KXIND/W/MV/MC/25068</t>
  </si>
  <si>
    <t>17001433 / 001</t>
  </si>
  <si>
    <t>KXIND/W/MV/MC/25069</t>
  </si>
  <si>
    <t>KXIND/W/MV/SPP/25070</t>
  </si>
  <si>
    <t>POC/25-26/1093</t>
  </si>
  <si>
    <t>Sagar Shah</t>
  </si>
  <si>
    <t>sagar@prasadgroup.com</t>
  </si>
  <si>
    <t>KXIND/W/MV/MC/25071</t>
  </si>
  <si>
    <t>12006494/001</t>
  </si>
  <si>
    <t>82005 02609</t>
  </si>
  <si>
    <t>KXIND/W/MV/MC/25072</t>
  </si>
  <si>
    <t>SERVICE/31</t>
  </si>
  <si>
    <t>Vimal V. Kachhia</t>
  </si>
  <si>
    <t>vvkachhia@powerbuild.in</t>
  </si>
  <si>
    <t>22005478/001</t>
  </si>
  <si>
    <t>KXIND/W/MV/SPP/25073</t>
  </si>
  <si>
    <t>KXIND/W/MV/OTH/25074</t>
  </si>
  <si>
    <t>186606/ 0</t>
  </si>
  <si>
    <t>25/10/2025</t>
  </si>
  <si>
    <t>KXIND/W/MV/OTH/25075</t>
  </si>
  <si>
    <t>KXIND/W/MV/MC/25076</t>
  </si>
  <si>
    <t>KXIND/W/MV/MC/25077</t>
  </si>
  <si>
    <t>P2503180</t>
  </si>
  <si>
    <t>Vinod Prajapati</t>
  </si>
  <si>
    <t>Vinodkumar_prajapati@intaspharma.com</t>
  </si>
  <si>
    <t>12002008/001</t>
  </si>
  <si>
    <t>KXIND/W/MV/MC/25078</t>
  </si>
  <si>
    <t>12002008/002</t>
  </si>
  <si>
    <t>12002008/003</t>
  </si>
  <si>
    <t>12002008/004</t>
  </si>
  <si>
    <t>12002008/005</t>
  </si>
  <si>
    <t>12002008/006</t>
  </si>
  <si>
    <t>12002008/007</t>
  </si>
  <si>
    <t>12002008/008</t>
  </si>
  <si>
    <t>12002008/009</t>
  </si>
  <si>
    <t>12002008/010</t>
  </si>
  <si>
    <t>KXIND/W/MV/RE/25079</t>
  </si>
  <si>
    <t>23/11/2025</t>
  </si>
  <si>
    <t>Arun N. Kavta</t>
  </si>
  <si>
    <t>KXIND/W/MV/SPP/25080</t>
  </si>
  <si>
    <t>P2505335</t>
  </si>
  <si>
    <t>27/11/2025</t>
  </si>
  <si>
    <t>Alpesh Thakkar</t>
  </si>
  <si>
    <t>KXIND/W/MV/SPP/25081</t>
  </si>
  <si>
    <t>2512068813/0</t>
  </si>
  <si>
    <t>18/12/2025</t>
  </si>
  <si>
    <t>KXIND/W/MV/MC/25082</t>
  </si>
  <si>
    <t>KXIND/W/MV/MC/25083</t>
  </si>
  <si>
    <t>KXIND/W/MV/MC/25084</t>
  </si>
  <si>
    <t>27/12/2025</t>
  </si>
  <si>
    <t>KXIND/W/MV/MC/25085</t>
  </si>
  <si>
    <t>KXIND/W/MV/MC/25086</t>
  </si>
  <si>
    <t>07003522/001</t>
  </si>
  <si>
    <t>KXIND/W/MV/SPP/25087</t>
  </si>
  <si>
    <t>SPP&amp;YES</t>
  </si>
  <si>
    <t>Contract&amp;YES</t>
  </si>
  <si>
    <t>Retrofit Kit&amp;Yes</t>
  </si>
  <si>
    <t>Midlife Upgrade&amp;Yes</t>
  </si>
  <si>
    <t>Relocation&amp;No</t>
  </si>
  <si>
    <t>SPP&amp;No</t>
  </si>
  <si>
    <t>Contract&amp;No</t>
  </si>
  <si>
    <t>KARDEX INDIA - LIVE OFFER FUNEL - GAJENDRA - SOUTH</t>
  </si>
  <si>
    <t>Bangalore</t>
  </si>
  <si>
    <t>NCS</t>
  </si>
  <si>
    <t>Nagesh</t>
  </si>
  <si>
    <t>purncs@bel.co.in</t>
  </si>
  <si>
    <t>08001086/001</t>
  </si>
  <si>
    <t>Repet order</t>
  </si>
  <si>
    <t>BEPO/E3/4800083530</t>
  </si>
  <si>
    <t>23/11/2024</t>
  </si>
  <si>
    <t>Tata Hitachi Construction Machinery Company Private Limited</t>
  </si>
  <si>
    <t>Dharawad</t>
  </si>
  <si>
    <t>Maint</t>
  </si>
  <si>
    <t>Sanju</t>
  </si>
  <si>
    <t>99723 07796</t>
  </si>
  <si>
    <t>sanju.lamani@tatahitachi.co.in</t>
  </si>
  <si>
    <t>07010648/001</t>
  </si>
  <si>
    <t>KXIND/S/GA/MC/24028</t>
  </si>
  <si>
    <t>CUMI (CARBORUNDUM UNIVERSAL LIMITED)</t>
  </si>
  <si>
    <t xml:space="preserve">Hosur </t>
  </si>
  <si>
    <t>Ganesan M</t>
  </si>
  <si>
    <t>ganesanmanickam@cumi.murugappa.com</t>
  </si>
  <si>
    <t>19008586/001</t>
  </si>
  <si>
    <t>KXIND/S/GA/MC/24030A</t>
  </si>
  <si>
    <t>CICAPO/000019/24</t>
  </si>
  <si>
    <t>26/09/2024</t>
  </si>
  <si>
    <t>15/1/2025</t>
  </si>
  <si>
    <t>MMF</t>
  </si>
  <si>
    <t>Nanda Kishore S M</t>
  </si>
  <si>
    <t>080 - 2219 7454</t>
  </si>
  <si>
    <t>nandakishoresm@bel.co.in</t>
  </si>
  <si>
    <t>9006141/001</t>
  </si>
  <si>
    <t>KXIND/S/GA/MC/24029</t>
  </si>
  <si>
    <t>BEPO/EP/ 4800082450</t>
  </si>
  <si>
    <t>24/10/2024</t>
  </si>
  <si>
    <t>GPV Lanka Pvt Ltd</t>
  </si>
  <si>
    <t>Srilanka</t>
  </si>
  <si>
    <t>Gaston Delicious</t>
  </si>
  <si>
    <t>+94 772 765 628</t>
  </si>
  <si>
    <t>Gaston.Delicious@gpv-group.com</t>
  </si>
  <si>
    <t>00.002378/001</t>
  </si>
  <si>
    <t>KXIND/S/GA/MC/24043</t>
  </si>
  <si>
    <t>19/11/2024</t>
  </si>
  <si>
    <t>P25-000189</t>
  </si>
  <si>
    <t>Honda Motorcycle and Scooter India Pvt. Ltd</t>
  </si>
  <si>
    <t>Kolar</t>
  </si>
  <si>
    <t>Gopi Deshapande</t>
  </si>
  <si>
    <t>gopi.deshapande@honda2wheelersindia.com</t>
  </si>
  <si>
    <t>17002413/001</t>
  </si>
  <si>
    <t>KXIND/S/GA/MC/24040</t>
  </si>
  <si>
    <t>NSPR/6000079543</t>
  </si>
  <si>
    <t>25/2/2025</t>
  </si>
  <si>
    <t xml:space="preserve">Super componenets </t>
  </si>
  <si>
    <t xml:space="preserve">Chintu kumar </t>
  </si>
  <si>
    <t>+91 88845 55104</t>
  </si>
  <si>
    <t>CHINTU KUMAR &lt;chintukumar@bel.co.in&gt;</t>
  </si>
  <si>
    <t>20001848/001</t>
  </si>
  <si>
    <t>KXIND/S/GA/REL/24008</t>
  </si>
  <si>
    <t>30/11/2024</t>
  </si>
  <si>
    <t>International Aerospace Manufacturing Pvt Ltd</t>
  </si>
  <si>
    <t>Selva Kumar R</t>
  </si>
  <si>
    <t>selvakumar.r@iampl.co.in</t>
  </si>
  <si>
    <t>12004503/001</t>
  </si>
  <si>
    <t>KXIND/S/SPP/GR24-049</t>
  </si>
  <si>
    <t>14/08/2024</t>
  </si>
  <si>
    <t>BLR-PO-1003400</t>
  </si>
  <si>
    <t>17/12/2024</t>
  </si>
  <si>
    <t>Otto Bilz(India) Pvt Ltd</t>
  </si>
  <si>
    <t>Narasimha</t>
  </si>
  <si>
    <t>narasimha@bilzindia.com</t>
  </si>
  <si>
    <t>KXIND/S/GA/SPP/24042B</t>
  </si>
  <si>
    <t>30/07/2024</t>
  </si>
  <si>
    <t>OBI/PUO/2025/00028</t>
  </si>
  <si>
    <t>Titan Company Limited Watch Division</t>
  </si>
  <si>
    <t>HOSUR</t>
  </si>
  <si>
    <t>die</t>
  </si>
  <si>
    <t>Selvakumar</t>
  </si>
  <si>
    <t>selvakumar@titan.co.in'</t>
  </si>
  <si>
    <t>18002513/001</t>
  </si>
  <si>
    <t>KXIND/S/GA/SPP/24071</t>
  </si>
  <si>
    <t>17/11/2024</t>
  </si>
  <si>
    <t>14/12/2024</t>
  </si>
  <si>
    <t>Samuel M J</t>
  </si>
  <si>
    <t>samuelmj@cumi.murugappa.com</t>
  </si>
  <si>
    <t>22003280/001</t>
  </si>
  <si>
    <t>KXIND/S/GA/MC/25002</t>
  </si>
  <si>
    <t>CICSPO/002021/24</t>
  </si>
  <si>
    <t>maint</t>
  </si>
  <si>
    <t>Gange Gowda</t>
  </si>
  <si>
    <t>gangegowda_dn@sansera.in</t>
  </si>
  <si>
    <t>10006098/001</t>
  </si>
  <si>
    <t>KXIND/S/GA/MC/25001A</t>
  </si>
  <si>
    <t>27/04/2025</t>
  </si>
  <si>
    <t>JEYASELVAN</t>
  </si>
  <si>
    <t>jeyaselvan@hal-india.com</t>
  </si>
  <si>
    <t>10000545/001</t>
  </si>
  <si>
    <t>KXIND/S/GA/SPP/25001A</t>
  </si>
  <si>
    <t>MI045-1420</t>
  </si>
  <si>
    <t>MR</t>
  </si>
  <si>
    <t>Suresh P N</t>
  </si>
  <si>
    <t>99801 26292</t>
  </si>
  <si>
    <t>sureshpn@bel.co.in</t>
  </si>
  <si>
    <t>17001001/001</t>
  </si>
  <si>
    <t>KXIND/S/GA/MC/24046</t>
  </si>
  <si>
    <t xml:space="preserve">November </t>
  </si>
  <si>
    <t>December, bought forward back log from 2024</t>
  </si>
  <si>
    <t>GE BE PVT LTD</t>
  </si>
  <si>
    <t>GE Healthcare, consultant</t>
  </si>
  <si>
    <t>Hl, Ambarish</t>
  </si>
  <si>
    <t>ambarish.hl@ge.com</t>
  </si>
  <si>
    <t>01011844/ 001</t>
  </si>
  <si>
    <t>KXIND/S/GA/MC/24045</t>
  </si>
  <si>
    <t>G80010000936228</t>
  </si>
  <si>
    <t>February, 23 2025</t>
  </si>
  <si>
    <t>AUTOMOTIVE AXEL PVT LTD</t>
  </si>
  <si>
    <t>MYSORE</t>
  </si>
  <si>
    <t>Kiran Kumar</t>
  </si>
  <si>
    <t>99801 91140</t>
  </si>
  <si>
    <t>kirankumar@autoaxle.com</t>
  </si>
  <si>
    <t>06000270/001</t>
  </si>
  <si>
    <t>KXIND/S/GA/MC/24047</t>
  </si>
  <si>
    <t>19/03/2025</t>
  </si>
  <si>
    <t>Sasi Kumar</t>
  </si>
  <si>
    <t>kailassi@schaeffler.com</t>
  </si>
  <si>
    <t>17004823/001</t>
  </si>
  <si>
    <t>KXIND/S/GA/REL/24010</t>
  </si>
  <si>
    <t>November, bought forward back log from 2024</t>
  </si>
  <si>
    <t>Rittal India Pvt Ltd</t>
  </si>
  <si>
    <t>Doddaballapura</t>
  </si>
  <si>
    <t>Siddegowda A G</t>
  </si>
  <si>
    <t>+91 82962 60470</t>
  </si>
  <si>
    <t>siddegowda.ag@rittal-india.com</t>
  </si>
  <si>
    <t>08003615/001</t>
  </si>
  <si>
    <t>KXIND/S/GA/MC/24039</t>
  </si>
  <si>
    <t>17/10/2024</t>
  </si>
  <si>
    <t xml:space="preserve">March </t>
  </si>
  <si>
    <t>October, bought forward back log from 2024</t>
  </si>
  <si>
    <t>MS</t>
  </si>
  <si>
    <t>Shashi Kumar. S</t>
  </si>
  <si>
    <t>shashikumar.s@honda2wheelersindia.com</t>
  </si>
  <si>
    <t>17008071/001</t>
  </si>
  <si>
    <t>KXIND/S/GA/MC/24041</t>
  </si>
  <si>
    <t>NSPR/6000081796</t>
  </si>
  <si>
    <t>Taegutec India Pvt Ltd</t>
  </si>
  <si>
    <t>Suresha N</t>
  </si>
  <si>
    <t>suresha.n@taegutec-india.com</t>
  </si>
  <si>
    <t>16003045/001</t>
  </si>
  <si>
    <t>KXIND/S/GA/MC/24037</t>
  </si>
  <si>
    <t>NS1</t>
  </si>
  <si>
    <t>Muralidharan M</t>
  </si>
  <si>
    <t>muralidharanm@bel.co.in</t>
  </si>
  <si>
    <t>98011682/001</t>
  </si>
  <si>
    <t>KXIND/S/GA/MC/25004</t>
  </si>
  <si>
    <t>31.03.2025</t>
  </si>
  <si>
    <t>Mysore</t>
  </si>
  <si>
    <t>06000270/002</t>
  </si>
  <si>
    <t>KXIND/S/GA/SPP/25002A</t>
  </si>
  <si>
    <t>22.05.2025</t>
  </si>
  <si>
    <t>AD</t>
  </si>
  <si>
    <t>Jeyaselvan</t>
  </si>
  <si>
    <t>purchase_ac@hal-india.co.in</t>
  </si>
  <si>
    <t>Online submission</t>
  </si>
  <si>
    <t>MI044-313</t>
  </si>
  <si>
    <t>24/06/2024</t>
  </si>
  <si>
    <t>ED</t>
  </si>
  <si>
    <t>Ravi Madha</t>
  </si>
  <si>
    <t>ravi.madhav@hal-india.com</t>
  </si>
  <si>
    <t>16000086/002</t>
  </si>
  <si>
    <t>KXIND/GA/MC122020</t>
  </si>
  <si>
    <t>28-07-2022</t>
  </si>
  <si>
    <t>31-10-2022</t>
  </si>
  <si>
    <t>Manimaran B</t>
  </si>
  <si>
    <t>manimaranb@bel.co.in</t>
  </si>
  <si>
    <t>18000848/001</t>
  </si>
  <si>
    <t>KXIND/S/AMC/GR23-061</t>
  </si>
  <si>
    <t>15/10/2023</t>
  </si>
  <si>
    <t>BEPO/MS1/4800077496</t>
  </si>
  <si>
    <t>EW&amp;A</t>
  </si>
  <si>
    <t>Lingaraju</t>
  </si>
  <si>
    <t>lingarajun@bel.co.in</t>
  </si>
  <si>
    <t>12008443/001</t>
  </si>
  <si>
    <t>KXIND/S/AMC/GR23-007</t>
  </si>
  <si>
    <t>october</t>
  </si>
  <si>
    <t>BEPO/H1/4800069354</t>
  </si>
  <si>
    <t>Sathish J</t>
  </si>
  <si>
    <t>sathishj@bel.co.in</t>
  </si>
  <si>
    <t>18000194/001</t>
  </si>
  <si>
    <t>BEPO/H1/4800073181</t>
  </si>
  <si>
    <t>29/04/2023</t>
  </si>
  <si>
    <t>Titan Enginnering and Automation Ltd</t>
  </si>
  <si>
    <t xml:space="preserve">Unit 2 </t>
  </si>
  <si>
    <t>Satheesh V</t>
  </si>
  <si>
    <t>satheeshv@titan.co.in</t>
  </si>
  <si>
    <t>16001971/001</t>
  </si>
  <si>
    <t>KXIND/S/AMC/GR24-013</t>
  </si>
  <si>
    <t xml:space="preserve">Bangalore </t>
  </si>
  <si>
    <t>18004074/001</t>
  </si>
  <si>
    <t>KXIND/S/AMC/GR23-062</t>
  </si>
  <si>
    <t>C DOT</t>
  </si>
  <si>
    <t xml:space="preserve">Shiva </t>
  </si>
  <si>
    <t>siva@cdot.in</t>
  </si>
  <si>
    <t>16002526/001</t>
  </si>
  <si>
    <t>KRIND/GA/MC/22023</t>
  </si>
  <si>
    <t>16-09-2022</t>
  </si>
  <si>
    <t>P02223BCPL00144</t>
  </si>
  <si>
    <t>23-12-2022</t>
  </si>
  <si>
    <t>Shivaram MV</t>
  </si>
  <si>
    <t>Shivaram.V@honda.hmsi.in</t>
  </si>
  <si>
    <t>17008071/002</t>
  </si>
  <si>
    <t>KXIND/S/GA/SPP/24045A</t>
  </si>
  <si>
    <t>20/09/2024</t>
  </si>
  <si>
    <t>NSPR/5000107729</t>
  </si>
  <si>
    <t>September, bought forward back log from 2024</t>
  </si>
  <si>
    <t>12005518/001</t>
  </si>
  <si>
    <t>KXIND/S/GA/SPP/25005</t>
  </si>
  <si>
    <t>19/02/2025</t>
  </si>
  <si>
    <t>26/02/2025</t>
  </si>
  <si>
    <t xml:space="preserve">MCE and  NCS </t>
  </si>
  <si>
    <t>Prakas V</t>
  </si>
  <si>
    <t>prakashv@bel.co.in</t>
  </si>
  <si>
    <t>KXIND/S/GA/SPP/24037</t>
  </si>
  <si>
    <t xml:space="preserve">January </t>
  </si>
  <si>
    <t>25/04/2025</t>
  </si>
  <si>
    <t xml:space="preserve">The Value of 14 Lakhs PO will get month of April remaing will get in th month of June </t>
  </si>
  <si>
    <t>24/03/2025</t>
  </si>
  <si>
    <t>Stabuli Tec Systems India Pt Ltd</t>
  </si>
  <si>
    <t>JADHAV Pradip Kumar R</t>
  </si>
  <si>
    <t>88 7965 1032</t>
  </si>
  <si>
    <t>pkr.jadhav@staubli.com</t>
  </si>
  <si>
    <t>21001905/001</t>
  </si>
  <si>
    <t>KXIND/S/GA/MC/25013</t>
  </si>
  <si>
    <t>Pragathi Automation ltd</t>
  </si>
  <si>
    <t>Belgam</t>
  </si>
  <si>
    <t>Santosh Gatigennavar</t>
  </si>
  <si>
    <t>gatigennavar@pragatibelgaum.co.in</t>
  </si>
  <si>
    <t>12008469/001</t>
  </si>
  <si>
    <t>KXIND/S/GA/MC/25012</t>
  </si>
  <si>
    <t>PIRB00020</t>
  </si>
  <si>
    <t>T&amp;BS</t>
  </si>
  <si>
    <t>Amitava</t>
  </si>
  <si>
    <t>amitava@bel.co.in</t>
  </si>
  <si>
    <t>12002078/001</t>
  </si>
  <si>
    <t>KXIND/S/GA/MC/25006A</t>
  </si>
  <si>
    <t>22006430/001</t>
  </si>
  <si>
    <t>KXIND/S/GA/MC/25010</t>
  </si>
  <si>
    <t>17/03/2025</t>
  </si>
  <si>
    <t>29.05.2025</t>
  </si>
  <si>
    <t xml:space="preserve">Maintenance </t>
  </si>
  <si>
    <t>S.Balasubramanian,</t>
  </si>
  <si>
    <t>04344 - 664368</t>
  </si>
  <si>
    <t>BALASUBRAMANIAN1.S@TITAN.CO.IN</t>
  </si>
  <si>
    <t>16007990/001</t>
  </si>
  <si>
    <t>KXIND/S/GA/MC/25009</t>
  </si>
  <si>
    <t>28/02/2025</t>
  </si>
  <si>
    <t>FB</t>
  </si>
  <si>
    <t>Rakesh M</t>
  </si>
  <si>
    <t>rakesh.m@honda.hmsi.in</t>
  </si>
  <si>
    <t>17002415/003</t>
  </si>
  <si>
    <t>KXIND/S/GA/MC/25_008</t>
  </si>
  <si>
    <t>NSPR/6000081858</t>
  </si>
  <si>
    <t>30.04.2025</t>
  </si>
  <si>
    <t xml:space="preserve">Fabrication </t>
  </si>
  <si>
    <t>APOORV NEMA</t>
  </si>
  <si>
    <t>apoorvnema@bel.co.in</t>
  </si>
  <si>
    <t>16007952/001</t>
  </si>
  <si>
    <t>KXIND/S/GA/MC/25007</t>
  </si>
  <si>
    <t>14/07/2025</t>
  </si>
  <si>
    <t xml:space="preserve">Tata power SED </t>
  </si>
  <si>
    <t>Rajanikanth</t>
  </si>
  <si>
    <t>msrajanikanth@tataadvancedsystems.com</t>
  </si>
  <si>
    <t>15006537/001</t>
  </si>
  <si>
    <t>KXIND/S/GA/MC/25005</t>
  </si>
  <si>
    <t>24/05/2025</t>
  </si>
  <si>
    <t>NP Store</t>
  </si>
  <si>
    <t>Prabhakar S</t>
  </si>
  <si>
    <t>prabhakars@bel.co.in</t>
  </si>
  <si>
    <t>04001139/001</t>
  </si>
  <si>
    <t>KXIND/S/GA/SPP/25011</t>
  </si>
  <si>
    <t>25/08/2025</t>
  </si>
  <si>
    <t>Shamanth Kumar K M</t>
  </si>
  <si>
    <t>SHAMANTH.KM@gehealthcare.com</t>
  </si>
  <si>
    <t>02000017/001</t>
  </si>
  <si>
    <t>KXIND/S/GA/SPP/25010</t>
  </si>
  <si>
    <t>15/02/2025</t>
  </si>
  <si>
    <t>G80010001085712-2</t>
  </si>
  <si>
    <t>KXIND/S/GA/SPP/25008</t>
  </si>
  <si>
    <t>KXIND/S/GA/SPP/25007</t>
  </si>
  <si>
    <t>BLR-PO-1003918</t>
  </si>
  <si>
    <t>26/03/2025</t>
  </si>
  <si>
    <t>09/04/202</t>
  </si>
  <si>
    <t>KXIND/S/SPP/GR24-022</t>
  </si>
  <si>
    <t>16/04/2025</t>
  </si>
  <si>
    <t>15003418/001</t>
  </si>
  <si>
    <t>KXIND/S/GA/SPP/250016</t>
  </si>
  <si>
    <t>KRIND/ML/GA-22-001A</t>
  </si>
  <si>
    <t>28/09/2024</t>
  </si>
  <si>
    <t>KXIND/S/SPP/GR24-072</t>
  </si>
  <si>
    <t>G80010001088830</t>
  </si>
  <si>
    <t>FESTO CONTROLS PVT LTD</t>
  </si>
  <si>
    <t>Kannabiran, Balachander</t>
  </si>
  <si>
    <t>balachander.kannabiran@festo.com</t>
  </si>
  <si>
    <t>12002172/001</t>
  </si>
  <si>
    <t>KXIND/S/GA/REL/25001</t>
  </si>
  <si>
    <t>IOK/2145053750</t>
  </si>
  <si>
    <t>Muthukumar G</t>
  </si>
  <si>
    <t>muthukumar@titan.co.in</t>
  </si>
  <si>
    <t>KXIND/S/GA/SPP/250017</t>
  </si>
  <si>
    <t>17/06/2025</t>
  </si>
  <si>
    <t>Rotork Controls (India) Pvt.Ltd</t>
  </si>
  <si>
    <t>Karthik</t>
  </si>
  <si>
    <t>Karthik.Subbarayalu@rotork.com</t>
  </si>
  <si>
    <t>09006892/001</t>
  </si>
  <si>
    <t>KXIND/S/GA/SPP/250018</t>
  </si>
  <si>
    <t>KQ092743</t>
  </si>
  <si>
    <t>NS2</t>
  </si>
  <si>
    <t>Nataraja H</t>
  </si>
  <si>
    <t>&lt;natarajah@bel.co.in&gt;</t>
  </si>
  <si>
    <t>14000253/001,</t>
  </si>
  <si>
    <t>KXIND/S/GA/SPP/250019</t>
  </si>
  <si>
    <t>KXIND/S/GA/SPP/25020</t>
  </si>
  <si>
    <t>Sridevi R</t>
  </si>
  <si>
    <t>sridevir@bel.co.in</t>
  </si>
  <si>
    <t>KXIND/S/GA/MC/24033</t>
  </si>
  <si>
    <t>BEPO/NP/4800087571</t>
  </si>
  <si>
    <t>19/05/2025</t>
  </si>
  <si>
    <t>KXIND/S/GA/SPP/25026</t>
  </si>
  <si>
    <t>17/05/2025</t>
  </si>
  <si>
    <t>G80010001140537</t>
  </si>
  <si>
    <t>20/05/2025</t>
  </si>
  <si>
    <t>17008071/003</t>
  </si>
  <si>
    <t>KXIND/S/GA/MC/24022</t>
  </si>
  <si>
    <t>NSPR/6000081949</t>
  </si>
  <si>
    <t>02.05.2025</t>
  </si>
  <si>
    <t>27/05/2025</t>
  </si>
  <si>
    <t>Padmaja Shankar</t>
  </si>
  <si>
    <t>&lt;Padmaja.Shankar@itc.in&gt;</t>
  </si>
  <si>
    <t>06010093/001</t>
  </si>
  <si>
    <t>KXIND/S/GA/MC/24015</t>
  </si>
  <si>
    <t>23/05/2025</t>
  </si>
  <si>
    <t>KXIND/S/GA/MLU/25001</t>
  </si>
  <si>
    <t>16/05/2025</t>
  </si>
  <si>
    <t>20/08/2025</t>
  </si>
  <si>
    <t>Titan Company Limited Jewellery Division</t>
  </si>
  <si>
    <t>Ashik</t>
  </si>
  <si>
    <t>ashikmp@titan.co.in</t>
  </si>
  <si>
    <t>KXIND/S/GA/REL/25002</t>
  </si>
  <si>
    <t>KXIND/S/GA/REL/25004</t>
  </si>
  <si>
    <t>13000980/001</t>
  </si>
  <si>
    <t>KXIND/S/GA/REL/25003</t>
  </si>
  <si>
    <t>KXIND/S/GA/SPP/25023</t>
  </si>
  <si>
    <t>Manivannan K</t>
  </si>
  <si>
    <t>&lt;manivannank@bel.co.in&gt;</t>
  </si>
  <si>
    <t>10002282/001</t>
  </si>
  <si>
    <t>KXIND/S/GA/SPP/25022</t>
  </si>
  <si>
    <t>28/05/2025</t>
  </si>
  <si>
    <t>CMC</t>
  </si>
  <si>
    <t>Shivanandaraju R</t>
  </si>
  <si>
    <t>shivanandarajur@bel.co.in</t>
  </si>
  <si>
    <t>12002062/001</t>
  </si>
  <si>
    <t>KXIND/S/GA/SPP/25021A</t>
  </si>
  <si>
    <t>21000483/003</t>
  </si>
  <si>
    <t>Line 4</t>
  </si>
  <si>
    <t>17002414/03</t>
  </si>
  <si>
    <t>KXIND/S/AMC/GR24-011</t>
  </si>
  <si>
    <t>NSPR/6000082589</t>
  </si>
  <si>
    <t>09005253/001</t>
  </si>
  <si>
    <t>KXIND/S/GA/SPP/25029</t>
  </si>
  <si>
    <t>Wendt india</t>
  </si>
  <si>
    <t>Chidambaram.A</t>
  </si>
  <si>
    <t>pedteam@wendtindia.com</t>
  </si>
  <si>
    <t>15001956/001</t>
  </si>
  <si>
    <t>KXIND/S/GA/SPP/25028</t>
  </si>
  <si>
    <t>29/07/2025</t>
  </si>
  <si>
    <t>98000417/001</t>
  </si>
  <si>
    <t>KXIND/S/GA/MC/250018</t>
  </si>
  <si>
    <t>CONTINENTAL AUTOMOTIVE COMPONENTS(INDIA)PVT LTD</t>
  </si>
  <si>
    <t>Dheeraj, Dheeraj V</t>
  </si>
  <si>
    <t>dheeraj.v.dheeraj@continental-corporation.com</t>
  </si>
  <si>
    <t>16005036/001</t>
  </si>
  <si>
    <t>KXIND/S/GA/MC/250020</t>
  </si>
  <si>
    <t>KXIND/S/GA/MC/250019</t>
  </si>
  <si>
    <t>KQ092756</t>
  </si>
  <si>
    <t>29/7/2025</t>
  </si>
  <si>
    <t>Guruprasad BC</t>
  </si>
  <si>
    <t>guru.prasad@iampl.co.in</t>
  </si>
  <si>
    <t>12000025/001</t>
  </si>
  <si>
    <t>KXIND/S/GA/MC/25016</t>
  </si>
  <si>
    <t>BLR-PO-1005150</t>
  </si>
  <si>
    <t>16005036/002</t>
  </si>
  <si>
    <t>KXIND/S/SPP/GR24-025B</t>
  </si>
  <si>
    <t>28/11/2024</t>
  </si>
  <si>
    <t>hosur</t>
  </si>
  <si>
    <t>Jaishankar Govindasamy</t>
  </si>
  <si>
    <t>govinjis@schaeffler.com ·</t>
  </si>
  <si>
    <t>18007954/002</t>
  </si>
  <si>
    <t>KXIND/S/GA/SPP/25030A</t>
  </si>
  <si>
    <t>0153 / C56 / 39717570</t>
  </si>
  <si>
    <t>30/07/2025</t>
  </si>
  <si>
    <t>Titan Engineering and Automation Limited</t>
  </si>
  <si>
    <t>Hosur</t>
  </si>
  <si>
    <t>Unit 1</t>
  </si>
  <si>
    <t>L.Thanigaivel</t>
  </si>
  <si>
    <t>thanigaivel@titan.co.in</t>
  </si>
  <si>
    <t>20000362/001</t>
  </si>
  <si>
    <t>KXIND/S/GA/MC/25026A</t>
  </si>
  <si>
    <t>MWT</t>
  </si>
  <si>
    <t>Prasanna kumar C</t>
  </si>
  <si>
    <t>prasannakumarc@bel.co.in</t>
  </si>
  <si>
    <t>14000054/001</t>
  </si>
  <si>
    <t>KXIND/S/GA/MC/25025</t>
  </si>
  <si>
    <t>Federal Mogul Goetze (India) Pvt Ltd</t>
  </si>
  <si>
    <t>Benjamin.Antony Benjamin.Antony</t>
  </si>
  <si>
    <t>&lt;benjamin.antony@tenneco.com&gt;</t>
  </si>
  <si>
    <t>05007637/001</t>
  </si>
  <si>
    <t>KXIND/S/GA/SPP/25032</t>
  </si>
  <si>
    <t>3010345924</t>
  </si>
  <si>
    <t>KXIND/S/GA/MC/250024</t>
  </si>
  <si>
    <t>PO2526BCPL00176</t>
  </si>
  <si>
    <t>KXIND/S/GA/MC/250023</t>
  </si>
  <si>
    <t>29/08/2025</t>
  </si>
  <si>
    <t>KXIND/S/GA/MC/250021</t>
  </si>
  <si>
    <t>OBI/WRO/2025/00154</t>
  </si>
  <si>
    <t>13-08-2025</t>
  </si>
  <si>
    <t>STORE</t>
  </si>
  <si>
    <t>Padmaja.Shankar@itc.in</t>
  </si>
  <si>
    <t>00008461/001</t>
  </si>
  <si>
    <t>KXIND/S/GA/SPP/25009</t>
  </si>
  <si>
    <t>KXIND/S/GA/SPP/25033</t>
  </si>
  <si>
    <t>17002414/001</t>
  </si>
  <si>
    <t>Repet Order</t>
  </si>
  <si>
    <t>NSPR/6000083834</t>
  </si>
  <si>
    <t>21/08/2025</t>
  </si>
  <si>
    <t>0153 / C56 / 50042813</t>
  </si>
  <si>
    <t>21/08/2028</t>
  </si>
  <si>
    <t>17006348/001</t>
  </si>
  <si>
    <t>KXIND/S/GA/SPP/25031</t>
  </si>
  <si>
    <t>27/06/2025</t>
  </si>
  <si>
    <t>0153 / C56 / 50107766</t>
  </si>
  <si>
    <t xml:space="preserve">Unit 5 </t>
  </si>
  <si>
    <t>SARAVANAN V</t>
  </si>
  <si>
    <t>vsaravanan@titan.co.in</t>
  </si>
  <si>
    <t>21008643/001</t>
  </si>
  <si>
    <t>KXIND/S/GA/SPP/25039</t>
  </si>
  <si>
    <t>27/08/2025</t>
  </si>
  <si>
    <t>Energy Pack Pvt Ltd</t>
  </si>
  <si>
    <t xml:space="preserve">maintenance </t>
  </si>
  <si>
    <t>Devaraja</t>
  </si>
  <si>
    <t>maintenaceTeam &lt;maintenance@shivamanigroup.com&gt;</t>
  </si>
  <si>
    <t>11006708/001</t>
  </si>
  <si>
    <t>KXIIND/S/OTS/GR25-007</t>
  </si>
  <si>
    <t>U12526POR03102</t>
  </si>
  <si>
    <t>Corborundum Universal Ltd</t>
  </si>
  <si>
    <t>Kalishwaran V</t>
  </si>
  <si>
    <t>96299 97207</t>
  </si>
  <si>
    <t>kalishwaranv@cumi.murugappa.com</t>
  </si>
  <si>
    <t>KXIND/S/GA/MC/250028_01</t>
  </si>
  <si>
    <t>CICSPO/000805/25</t>
  </si>
  <si>
    <t>FA</t>
  </si>
  <si>
    <t>P. Ganesh</t>
  </si>
  <si>
    <t>P.Ganesh@honda.hmsi.in</t>
  </si>
  <si>
    <t>16007470/001</t>
  </si>
  <si>
    <t>KXIND/S/GA/MC/250030</t>
  </si>
  <si>
    <t>NSPR/6000084878</t>
  </si>
  <si>
    <t>benjamin.antony@tenneco.com</t>
  </si>
  <si>
    <t>KXIND/S/GA/MC/250049</t>
  </si>
  <si>
    <t>Mait</t>
  </si>
  <si>
    <t>KXIND/S/GA/MC/250048</t>
  </si>
  <si>
    <t>NATARAJA H</t>
  </si>
  <si>
    <t>natarajah@bel.co.innatarajah@bel.co.in</t>
  </si>
  <si>
    <t>11003650/001</t>
  </si>
  <si>
    <t>KXIND/S/GA/MC/250047</t>
  </si>
  <si>
    <t>17/11/2025</t>
  </si>
  <si>
    <t>KXIND/S/GA/MC/250046</t>
  </si>
  <si>
    <t>PSC</t>
  </si>
  <si>
    <t>Ramanjinaiah</t>
  </si>
  <si>
    <t>mcsemrej@bel.co.in</t>
  </si>
  <si>
    <t>04001792/001</t>
  </si>
  <si>
    <t>KXIND/S/GA/MC/250045</t>
  </si>
  <si>
    <t>MCE &amp; NCS</t>
  </si>
  <si>
    <t>10002349/001</t>
  </si>
  <si>
    <t>KXIND/S/GA/MC/250017A</t>
  </si>
  <si>
    <t>Indic EMS Electronics Pvt LTD</t>
  </si>
  <si>
    <t>Murulidhara K</t>
  </si>
  <si>
    <t>95385 62445</t>
  </si>
  <si>
    <t>murulidharak@indicelectronics.com</t>
  </si>
  <si>
    <t>105000217/001</t>
  </si>
  <si>
    <t>KXIND/S/GA/MC/250029</t>
  </si>
  <si>
    <t>Tata Hitachi Construction Machinery Company Limited (THCM)</t>
  </si>
  <si>
    <t>DHARAWAD</t>
  </si>
  <si>
    <t>Simon.kishore</t>
  </si>
  <si>
    <t>Simon.kishore@tatahitachi.co.in</t>
  </si>
  <si>
    <t>KXIND/S/GA/MC/25027</t>
  </si>
  <si>
    <t>28/08/2025</t>
  </si>
  <si>
    <t>unit 2</t>
  </si>
  <si>
    <t>KXIND/S/GA/SPP/25050</t>
  </si>
  <si>
    <t>Case maint</t>
  </si>
  <si>
    <t>KXIND/S/GA/SPP/250049</t>
  </si>
  <si>
    <t>16/10/2025</t>
  </si>
  <si>
    <t>HL, Ambarish</t>
  </si>
  <si>
    <t>ambarish.hl@gehealthcare.com</t>
  </si>
  <si>
    <t>KXIND/S/GA/SPP/2548</t>
  </si>
  <si>
    <t>KXIND/S/GA/SPP/25047</t>
  </si>
  <si>
    <t>Bhavishya S N</t>
  </si>
  <si>
    <t>94814 23476</t>
  </si>
  <si>
    <t>bhavishya.sn@hal-india.co.in</t>
  </si>
  <si>
    <t>14003375/001</t>
  </si>
  <si>
    <t>KXIND/S/GA/SPP/25046</t>
  </si>
  <si>
    <t>Girish V K</t>
  </si>
  <si>
    <t>girishvk@autoaxle.com</t>
  </si>
  <si>
    <t>06000270/003,</t>
  </si>
  <si>
    <t>KXIND/S/GA/SPP/250045</t>
  </si>
  <si>
    <t>KXIND/S/GA/SPP/25043</t>
  </si>
  <si>
    <t>06000270/002,</t>
  </si>
  <si>
    <t>KXIND/S/GA/SPP/250043</t>
  </si>
  <si>
    <t>20/10/2025</t>
  </si>
  <si>
    <t>06000270/005</t>
  </si>
  <si>
    <t xml:space="preserve"> KXIND/S/GA/REL/25007</t>
  </si>
  <si>
    <t>KXIND/S/GA/SPP/250037</t>
  </si>
  <si>
    <t>KQ092945</t>
  </si>
  <si>
    <t>Super Components</t>
  </si>
  <si>
    <t>16001904/001</t>
  </si>
  <si>
    <t xml:space="preserve">Project </t>
  </si>
  <si>
    <t>Sanjeev Jaswal</t>
  </si>
  <si>
    <t>92195 44404</t>
  </si>
  <si>
    <t>Sanjeev Jaswal &lt;sanjeevj@titan.co.in&gt;</t>
  </si>
  <si>
    <t>20002171/001</t>
  </si>
  <si>
    <t>KXIND/S/Shuttle/GR25-02</t>
  </si>
  <si>
    <t>KXIND/S/Shuttle/GR25-01</t>
  </si>
  <si>
    <t>19/11/2025</t>
  </si>
  <si>
    <t>08001086/002</t>
  </si>
  <si>
    <t>10002334/001</t>
  </si>
  <si>
    <t>12008434/001</t>
  </si>
  <si>
    <t>12008387/001</t>
  </si>
  <si>
    <t>12008380/001</t>
  </si>
  <si>
    <t>18000848/002</t>
  </si>
  <si>
    <t>18000848/003</t>
  </si>
  <si>
    <t>9006141/002</t>
  </si>
  <si>
    <t>10002283/001</t>
  </si>
  <si>
    <t>98011682/002</t>
  </si>
  <si>
    <t>08001859/001</t>
  </si>
  <si>
    <t>04001160/001</t>
  </si>
  <si>
    <t>11002428/001</t>
  </si>
  <si>
    <t>00008462/001</t>
  </si>
  <si>
    <t>16001318/001</t>
  </si>
  <si>
    <t>16001319/001</t>
  </si>
  <si>
    <t>17001000/001</t>
  </si>
  <si>
    <t>11000975/001</t>
  </si>
  <si>
    <t>13000352/001</t>
  </si>
  <si>
    <t>11003649/001</t>
  </si>
  <si>
    <t>10002281/001</t>
  </si>
  <si>
    <t>10002280/001</t>
  </si>
  <si>
    <t>140000253/001</t>
  </si>
  <si>
    <t>140007366/001</t>
  </si>
  <si>
    <t>140007367/001</t>
  </si>
  <si>
    <t>140007368/001</t>
  </si>
  <si>
    <t>140007369/001</t>
  </si>
  <si>
    <t>140007364/001</t>
  </si>
  <si>
    <t>140007365/001</t>
  </si>
  <si>
    <t>16007651/001</t>
  </si>
  <si>
    <t>16007651/002</t>
  </si>
  <si>
    <t>16007651/003</t>
  </si>
  <si>
    <t>18002817/001</t>
  </si>
  <si>
    <t>18002817/002</t>
  </si>
  <si>
    <t>08009604/001</t>
  </si>
  <si>
    <t>10002279/001</t>
  </si>
  <si>
    <t>12009114/001</t>
  </si>
  <si>
    <t>16000208/001</t>
  </si>
  <si>
    <t>98000417/002</t>
  </si>
  <si>
    <t>02003255/001</t>
  </si>
  <si>
    <t>02003255/002</t>
  </si>
  <si>
    <t>03000252/001</t>
  </si>
  <si>
    <t>03000252/002</t>
  </si>
  <si>
    <t>03004771/001</t>
  </si>
  <si>
    <t>08009824/001</t>
  </si>
  <si>
    <t>08009824/002</t>
  </si>
  <si>
    <t>09007583/001</t>
  </si>
  <si>
    <t>09007583/002</t>
  </si>
  <si>
    <t>10009150/001</t>
  </si>
  <si>
    <t>10009149/001</t>
  </si>
  <si>
    <t>06000270/ 003</t>
  </si>
  <si>
    <t>06000270/ 004</t>
  </si>
  <si>
    <t>06000270/ 005</t>
  </si>
  <si>
    <t>06000270/ 006</t>
  </si>
  <si>
    <t>07007112/ 001</t>
  </si>
  <si>
    <t>07007112/ 002</t>
  </si>
  <si>
    <t>07007110/ 001</t>
  </si>
  <si>
    <t>07007110/ 002</t>
  </si>
  <si>
    <t>10000546/001</t>
  </si>
  <si>
    <t>10000547/001</t>
  </si>
  <si>
    <t>10000550/001</t>
  </si>
  <si>
    <t>Customer name not found in CRM</t>
  </si>
  <si>
    <t>11003767/001</t>
  </si>
  <si>
    <t>11003758/001</t>
  </si>
  <si>
    <t>11003766/001</t>
  </si>
  <si>
    <t>13000984/001</t>
  </si>
  <si>
    <t>13002567/001</t>
  </si>
  <si>
    <t>14003243/001</t>
  </si>
  <si>
    <t>14003304/001</t>
  </si>
  <si>
    <t>14003334/001</t>
  </si>
  <si>
    <t>14003256/001</t>
  </si>
  <si>
    <t>14003329/001</t>
  </si>
  <si>
    <t>14003244/001</t>
  </si>
  <si>
    <t>14003432/001</t>
  </si>
  <si>
    <t>14003338/001</t>
  </si>
  <si>
    <t>14003360/001</t>
  </si>
  <si>
    <t>14003361/001</t>
  </si>
  <si>
    <t>14003305/001</t>
  </si>
  <si>
    <t>14003335/001</t>
  </si>
  <si>
    <t>14003332/001</t>
  </si>
  <si>
    <t>14003333/001</t>
  </si>
  <si>
    <t>14003337/001</t>
  </si>
  <si>
    <t>18004076/001</t>
  </si>
  <si>
    <t>06010216/001</t>
  </si>
  <si>
    <t>06001430/003</t>
  </si>
  <si>
    <t>06001430/001</t>
  </si>
  <si>
    <t>21001762/001</t>
  </si>
  <si>
    <t>21008642/001</t>
  </si>
  <si>
    <t>23001937/001</t>
  </si>
  <si>
    <t>16007990/002</t>
  </si>
  <si>
    <t>18005532/001</t>
  </si>
  <si>
    <t>08007007/001</t>
  </si>
  <si>
    <t>16000085/002</t>
  </si>
  <si>
    <t>16000085/005</t>
  </si>
  <si>
    <t>16000085/004</t>
  </si>
  <si>
    <t>16000085/001</t>
  </si>
  <si>
    <t>16000084/001</t>
  </si>
  <si>
    <t>16000085/003</t>
  </si>
  <si>
    <t>16000086/001</t>
  </si>
  <si>
    <t>17005335/002</t>
  </si>
  <si>
    <t>17008071/004</t>
  </si>
  <si>
    <t>17005335/01</t>
  </si>
  <si>
    <t>17002414/002</t>
  </si>
  <si>
    <t>00002380/001</t>
  </si>
  <si>
    <t>22008750/001</t>
  </si>
  <si>
    <t>22008750/002</t>
  </si>
  <si>
    <t>20000458/001</t>
  </si>
  <si>
    <t>105000217/002</t>
  </si>
  <si>
    <t>105000217/003</t>
  </si>
  <si>
    <t>16005036/003</t>
  </si>
  <si>
    <t>01011844/ 002</t>
  </si>
  <si>
    <t>KXIND/S/GA/Retrofit Kit/25001</t>
  </si>
  <si>
    <t>KXIND/S/GA/SPP/250057</t>
  </si>
  <si>
    <t>26/11/2025</t>
  </si>
  <si>
    <t>22/12/2025</t>
  </si>
  <si>
    <t xml:space="preserve">Utility </t>
  </si>
  <si>
    <t xml:space="preserve">RajaKumar 
</t>
  </si>
  <si>
    <t>rajkumara.h@honda2wheelersindia.com</t>
  </si>
  <si>
    <t>17002415/002</t>
  </si>
  <si>
    <t>NSPR/6000086178</t>
  </si>
  <si>
    <t>17002415/001</t>
  </si>
  <si>
    <t>KARDEX INDIA - LIVE OFFER FUNEL - PRADEEP - SOUTH</t>
  </si>
  <si>
    <t>Reitz India Pvt Limited</t>
  </si>
  <si>
    <t>Hyderabad</t>
  </si>
  <si>
    <t>Krishna Vamshi</t>
  </si>
  <si>
    <t>mkv@reitzindia.com</t>
  </si>
  <si>
    <t>09004601/001</t>
  </si>
  <si>
    <t>KXIND/S/SPP/PK24057</t>
  </si>
  <si>
    <t>29-07-2024</t>
  </si>
  <si>
    <t>24-25/P/D/2592</t>
  </si>
  <si>
    <t>PO Received</t>
  </si>
  <si>
    <t>Bharat Heavy Electricals Ltd.</t>
  </si>
  <si>
    <t>Factory Services (EDN)</t>
  </si>
  <si>
    <t>Amol</t>
  </si>
  <si>
    <t>amolparchure@bhel.in</t>
  </si>
  <si>
    <t>10000018/001</t>
  </si>
  <si>
    <t>KXIND/S/SPP/PK24063</t>
  </si>
  <si>
    <t>GEMC-511687702314703</t>
  </si>
  <si>
    <t>SEG Automotive India Pvt. Ltd.</t>
  </si>
  <si>
    <t>SG-TEF</t>
  </si>
  <si>
    <t>Yogesh S</t>
  </si>
  <si>
    <t>Yogesh.s@SEG-automotive.com</t>
  </si>
  <si>
    <t>06000154/001</t>
  </si>
  <si>
    <t>KXIND/S/SPP/PK24064</t>
  </si>
  <si>
    <t>Offer submitted. As i discussed with customer today (21/04/2025), They said their managemnt budget not approved. Once approced they procure the BD spares.</t>
  </si>
  <si>
    <t>ATMO 6 - NhP</t>
  </si>
  <si>
    <t>Rajesh M</t>
  </si>
  <si>
    <t>Rajesh.m@in.bosch.com</t>
  </si>
  <si>
    <t>18009013/001</t>
  </si>
  <si>
    <t>KXIND/S/Relocation/PK24070</t>
  </si>
  <si>
    <t>24-09-2024</t>
  </si>
  <si>
    <t xml:space="preserve">Offer submitted.  I had a discussion with the customer last week regarding the PO. The customer mentioned that the budget has not yet been approved, </t>
  </si>
  <si>
    <t xml:space="preserve">Offer submitted. I had a discussion with the customer last week regarding the PO. The customer mentioned that the budget has not yet been approved, </t>
  </si>
  <si>
    <t>Machilipatnam</t>
  </si>
  <si>
    <t>Upnedra</t>
  </si>
  <si>
    <t>esbelmc@bel.co.in</t>
  </si>
  <si>
    <t>06006704/001</t>
  </si>
  <si>
    <t>KXIND/S/SPP/PK/24072</t>
  </si>
  <si>
    <t>Offer submitted. I duscussed with customer they have planed CAMC. So, that they are not procured spares.</t>
  </si>
  <si>
    <t>Ajax Flori Engineering India Pvt Limited</t>
  </si>
  <si>
    <t>Arun Naik</t>
  </si>
  <si>
    <t>maintenance.peenya@ajax-engg.com</t>
  </si>
  <si>
    <t>13002287/001</t>
  </si>
  <si>
    <t>KXIND/S/SPP/PK/24074</t>
  </si>
  <si>
    <t>28-10-2024</t>
  </si>
  <si>
    <t>Offer submitted. i discussed with customer their managment budget not approved</t>
  </si>
  <si>
    <t>Hyderabad - Jadcherla</t>
  </si>
  <si>
    <t>Engineering Dept</t>
  </si>
  <si>
    <t>Rajasekhar nagudu</t>
  </si>
  <si>
    <t>Rajasekhar.Nagudu@viatris.com</t>
  </si>
  <si>
    <t>21008913/001</t>
  </si>
  <si>
    <t>KXIND/S/PK/MC/24076</t>
  </si>
  <si>
    <t>Rajashekar Nagadu</t>
  </si>
  <si>
    <t>KXIND/S/SPP/PK24-018</t>
  </si>
  <si>
    <t>We PO received on Dec 2024.</t>
  </si>
  <si>
    <t>Factrory Services</t>
  </si>
  <si>
    <t>Praviraj Pithe</t>
  </si>
  <si>
    <t>praviirajp@bhel.in</t>
  </si>
  <si>
    <t>10000747/001</t>
  </si>
  <si>
    <t>KXIND/S/PK/MC/24077</t>
  </si>
  <si>
    <t>Offer submitted.</t>
  </si>
  <si>
    <t>Assembly</t>
  </si>
  <si>
    <t>Vagya Lakavath</t>
  </si>
  <si>
    <t>vagyalakavath@bel.co.in</t>
  </si>
  <si>
    <t>12001718/001</t>
  </si>
  <si>
    <t>KXIND/S/PK/MC/24078</t>
  </si>
  <si>
    <t>We PO Received one line item, because customer dont have budget. Rest all spares PO will get March 2025.</t>
  </si>
  <si>
    <t>Factory Services (ESD)</t>
  </si>
  <si>
    <t>10000031/001</t>
  </si>
  <si>
    <t>KXIND/S/SPP/PK/24079</t>
  </si>
  <si>
    <t>15-11-2024</t>
  </si>
  <si>
    <t xml:space="preserve">In this offer we quoted 2 line item, but customer released 1 line item PO. we will get PO for next line item coming months </t>
  </si>
  <si>
    <t>CPx</t>
  </si>
  <si>
    <t>Sukumar s</t>
  </si>
  <si>
    <t>Sukumar.S@in.bosch.com</t>
  </si>
  <si>
    <t>05002636/001</t>
  </si>
  <si>
    <t>KXIND/S/SPP/PK/24080</t>
  </si>
  <si>
    <t>LOG1</t>
  </si>
  <si>
    <t>Chikkaramanna</t>
  </si>
  <si>
    <t>C.Chikkaramanna@in.bosch.com</t>
  </si>
  <si>
    <t>19003439/001</t>
  </si>
  <si>
    <t>KXIND/S/PK/MC/24081</t>
  </si>
  <si>
    <t>18-11-2024</t>
  </si>
  <si>
    <t>30-12-2024</t>
  </si>
  <si>
    <t>PO Received on Dec 24</t>
  </si>
  <si>
    <t>KXIND/S/PK/MC/24082</t>
  </si>
  <si>
    <t>MSE61</t>
  </si>
  <si>
    <t>Amith</t>
  </si>
  <si>
    <t>Amith.Anand@in.bosch.com</t>
  </si>
  <si>
    <t>16000982/001</t>
  </si>
  <si>
    <t>KXIND/S/PK/MC/24083</t>
  </si>
  <si>
    <t>21-11-2024</t>
  </si>
  <si>
    <t>08002159/001</t>
  </si>
  <si>
    <t>06001876/001</t>
  </si>
  <si>
    <t>MC &amp; Store</t>
  </si>
  <si>
    <t>Shivaji J</t>
  </si>
  <si>
    <t>shivajij@bel.co.in</t>
  </si>
  <si>
    <t>03002438/001</t>
  </si>
  <si>
    <t>KXIND/S/SPP/PK/24084</t>
  </si>
  <si>
    <t>TMEIC Industrial Systems India Pvt Ltd</t>
  </si>
  <si>
    <t>Tumkur</t>
  </si>
  <si>
    <t>Anil Kumar N</t>
  </si>
  <si>
    <t>AnilKumar.Nettimi@tmeic.in</t>
  </si>
  <si>
    <t>19004169/001</t>
  </si>
  <si>
    <t>KXIND/S/PK/MC/24085</t>
  </si>
  <si>
    <t>30-11-2024</t>
  </si>
  <si>
    <t>21002992/001</t>
  </si>
  <si>
    <t>Toyota Kirloskar Motor Pvt Ltd</t>
  </si>
  <si>
    <t>Dai maintenance</t>
  </si>
  <si>
    <t>Chetan Kumar</t>
  </si>
  <si>
    <t>chetan_kumar@toyota-kirloskar.co.in</t>
  </si>
  <si>
    <t>11002180/001</t>
  </si>
  <si>
    <t>KXIND/S/PK/MC/24086</t>
  </si>
  <si>
    <t>25-11-2024</t>
  </si>
  <si>
    <t>PO received - (Previously, we quoted Flex Care. dissueed a customer converted to FULL care contract.)</t>
  </si>
  <si>
    <t>BHARAT FRITZ WERNER LTD</t>
  </si>
  <si>
    <t>Suresh B</t>
  </si>
  <si>
    <t>bsuresha@bfw.co.in</t>
  </si>
  <si>
    <t>06008010/001</t>
  </si>
  <si>
    <t>KXIND/S/PK/MC/24087</t>
  </si>
  <si>
    <t>8000021046 / 0</t>
  </si>
  <si>
    <t>06008011/001</t>
  </si>
  <si>
    <t>Schenk Process Solutions India Pvt Ltd</t>
  </si>
  <si>
    <t>Nithyanand N</t>
  </si>
  <si>
    <t>N.Nityananda@schenckprocess.com</t>
  </si>
  <si>
    <t>19006634/001</t>
  </si>
  <si>
    <t>KXIND/S/PK/MC/24088</t>
  </si>
  <si>
    <t>Rajeev Benerjee</t>
  </si>
  <si>
    <t>rajeev.banerjee@sandvik.com</t>
  </si>
  <si>
    <t>11001476/001</t>
  </si>
  <si>
    <t>KXIND/S/PK/MC/24089</t>
  </si>
  <si>
    <t>12006842/001</t>
  </si>
  <si>
    <t>14005896/001</t>
  </si>
  <si>
    <t>22002249/001</t>
  </si>
  <si>
    <t>Watson Pharma Pvt Ltd</t>
  </si>
  <si>
    <t>Goa</t>
  </si>
  <si>
    <t xml:space="preserve">Engineering </t>
  </si>
  <si>
    <t>Rajas Keshkamat</t>
  </si>
  <si>
    <t>Rajas.keshkamat@teva.co.in</t>
  </si>
  <si>
    <t>17003030/001</t>
  </si>
  <si>
    <t>KXIND/S/PK/MC/24090</t>
  </si>
  <si>
    <t>13-02-2025</t>
  </si>
  <si>
    <t>17003030/002</t>
  </si>
  <si>
    <t>18-12-2024</t>
  </si>
  <si>
    <t>ACE DESIGNER'S LTD</t>
  </si>
  <si>
    <t>Jayaram</t>
  </si>
  <si>
    <t>jayaramkc@acedesigners.co.in</t>
  </si>
  <si>
    <t>05004111/001</t>
  </si>
  <si>
    <t>KXIND/S/PK/MC/24091</t>
  </si>
  <si>
    <t>27-11-2024</t>
  </si>
  <si>
    <t>16007874/001</t>
  </si>
  <si>
    <t>16007874/002</t>
  </si>
  <si>
    <t>Sartorius Stedim India Pvt Ltd</t>
  </si>
  <si>
    <t>Rijo</t>
  </si>
  <si>
    <t>Rijo.Abraham@SARTORIUS.com</t>
  </si>
  <si>
    <t>07000390/001</t>
  </si>
  <si>
    <t>KXIND/S/PK/MC/24092</t>
  </si>
  <si>
    <t>16005453/001</t>
  </si>
  <si>
    <t>19005506/001</t>
  </si>
  <si>
    <t>19007114/001</t>
  </si>
  <si>
    <t>22001716/001</t>
  </si>
  <si>
    <t>31-01-2025</t>
  </si>
  <si>
    <t>KXIND/S/PK/MC/24093</t>
  </si>
  <si>
    <t>24-25/P/S/0118</t>
  </si>
  <si>
    <t>25-02-2025</t>
  </si>
  <si>
    <t>EVL</t>
  </si>
  <si>
    <t>Ashok M.K</t>
  </si>
  <si>
    <t>Ashok.MK@in.bosch.com</t>
  </si>
  <si>
    <t>10006635/001</t>
  </si>
  <si>
    <t>KXIND/S/SPP/PK/24094</t>
  </si>
  <si>
    <t>27-12-2024</t>
  </si>
  <si>
    <t>KXIND/S/SPP/PK/24095</t>
  </si>
  <si>
    <t>21-01-2025</t>
  </si>
  <si>
    <t>MOE 14</t>
  </si>
  <si>
    <t>Sakthiramkumar</t>
  </si>
  <si>
    <t>Ramkumar.Shakthi@in.bosch.com</t>
  </si>
  <si>
    <t>16006694/001</t>
  </si>
  <si>
    <t>KXIND/S/PK/MC/25001</t>
  </si>
  <si>
    <t>Trelleborg India Pvt Ltd</t>
  </si>
  <si>
    <t>Mounesha Babu</t>
  </si>
  <si>
    <t>Mounesha.Badiger@trelleborg.com</t>
  </si>
  <si>
    <t>11005866/001</t>
  </si>
  <si>
    <t>KXIND/S/SPP/PK25002A</t>
  </si>
  <si>
    <t>TDG250019</t>
  </si>
  <si>
    <t>KXIND/S/SPP/PK25005</t>
  </si>
  <si>
    <t>KXIND/S/SPP/PK25006</t>
  </si>
  <si>
    <t>28-02-2025</t>
  </si>
  <si>
    <t>Warehouse</t>
  </si>
  <si>
    <t>Raghu S</t>
  </si>
  <si>
    <t>raghu.n2@in.abb.com</t>
  </si>
  <si>
    <t>21007861/001</t>
  </si>
  <si>
    <t>KXIND/S/SPP/PK25009</t>
  </si>
  <si>
    <t>Offer sent and waiting for PO</t>
  </si>
  <si>
    <t>Precision Mould Tech</t>
  </si>
  <si>
    <t>Babu</t>
  </si>
  <si>
    <t>planning@precisionmouldtech.com</t>
  </si>
  <si>
    <t>16005921/001</t>
  </si>
  <si>
    <t>KXIND/S/OTS/PK25007</t>
  </si>
  <si>
    <t>PMT/KIPL/019</t>
  </si>
  <si>
    <t>KXIND/S/PK/MC/25008</t>
  </si>
  <si>
    <t>21007860/001</t>
  </si>
  <si>
    <t>Factory Service</t>
  </si>
  <si>
    <t>10000746/001</t>
  </si>
  <si>
    <t>KXIND/S/SPP/PK25010</t>
  </si>
  <si>
    <t>GEMC-511687741991922</t>
  </si>
  <si>
    <t>24-03-2025</t>
  </si>
  <si>
    <t>KXIND/S/SPP/PK25011A</t>
  </si>
  <si>
    <t>15-05-2025</t>
  </si>
  <si>
    <t>Offer sent and waiting for PO, As customer requsted revised offer sent-dated 2-4-25. PO Received on 19/5/2025</t>
  </si>
  <si>
    <t>Sambasiva Rao</t>
  </si>
  <si>
    <t>sambasiva.rao@sandvik.com</t>
  </si>
  <si>
    <t>KXIND/S/SPP/PK25012</t>
  </si>
  <si>
    <t>30-01-2025</t>
  </si>
  <si>
    <t>ACE MANUFACTURING SYSTEMS LIMITED</t>
  </si>
  <si>
    <t>Madhusudan</t>
  </si>
  <si>
    <t>madhusudhans@amslindia.co.in</t>
  </si>
  <si>
    <t>11005043/001</t>
  </si>
  <si>
    <t>KXIND/S/SPP/PK25013</t>
  </si>
  <si>
    <t>Received single line spare PO. They releae pending line items spares next year budget 25-26.</t>
  </si>
  <si>
    <t>Narashimha Rao</t>
  </si>
  <si>
    <t>narasimharaop@bel.co.in</t>
  </si>
  <si>
    <t>KXIND/S/PK/MC/25014A</t>
  </si>
  <si>
    <t>30-05-2025</t>
  </si>
  <si>
    <t>26-06-2025</t>
  </si>
  <si>
    <t>PO RECEIVED-6005704/001, CAMC offer snet waiting for PNC call. Afetr conversation they are not insterted CAMC. we offered FLEX care contract on 30/5/2025</t>
  </si>
  <si>
    <t>06002290/001</t>
  </si>
  <si>
    <t>PO Received-CAMC offer snet waiting for PNC call. Afetr conversation they are not insterted CAMC. we offered FLEX care contract on 30/5/2025</t>
  </si>
  <si>
    <t>06002290/002</t>
  </si>
  <si>
    <t>09006090/001</t>
  </si>
  <si>
    <t>08002457/001</t>
  </si>
  <si>
    <t>08002457/002</t>
  </si>
  <si>
    <t>KK Wind Solutions Pvt Ltd (Vestas Wind Technology India Pvt Ltd)</t>
  </si>
  <si>
    <t>Karthick G</t>
  </si>
  <si>
    <t>kackg@kkwindsolutions.com</t>
  </si>
  <si>
    <t>20006094/001</t>
  </si>
  <si>
    <t>KXIND/S/PK/MC/25015</t>
  </si>
  <si>
    <t>KKI00087/2025-26</t>
  </si>
  <si>
    <t>25-04-2025</t>
  </si>
  <si>
    <t>20006094/002</t>
  </si>
  <si>
    <t>20006094/003</t>
  </si>
  <si>
    <t>KXIND/S/SPP/PK25016</t>
  </si>
  <si>
    <t xml:space="preserve">KK100019/2025-26 </t>
  </si>
  <si>
    <t>Offer sent, waiting for discussion need to start. we have received the purchase order for a limited number of spare parts. The remaining spare parts POs will be received shortly.</t>
  </si>
  <si>
    <t>Pfizer Healthcare India Pvt Ltd (Formerly Hospira Healthcare)</t>
  </si>
  <si>
    <t>Vishakapatnam</t>
  </si>
  <si>
    <t>Rakesh Parab</t>
  </si>
  <si>
    <t>rakesh.parab@pfizer.com</t>
  </si>
  <si>
    <t>13004911/001</t>
  </si>
  <si>
    <t>KXIND/S/SPP/PK23-087</t>
  </si>
  <si>
    <t>27-11-2025</t>
  </si>
  <si>
    <t>9500567633/5205</t>
  </si>
  <si>
    <t>15-02-2024</t>
  </si>
  <si>
    <t>TWO years PO we received Contract period from-01/03/2024 to 28/02/2026 - (2024 and 2025)</t>
  </si>
  <si>
    <t>13004912/001</t>
  </si>
  <si>
    <t>13004595/001</t>
  </si>
  <si>
    <t>13004620/001</t>
  </si>
  <si>
    <t>13004517/001</t>
  </si>
  <si>
    <t>13004769/001</t>
  </si>
  <si>
    <t>13004572/001</t>
  </si>
  <si>
    <t>17007652/001</t>
  </si>
  <si>
    <t>25-10-2024</t>
  </si>
  <si>
    <t>05000600/001</t>
  </si>
  <si>
    <t>Contarct</t>
  </si>
  <si>
    <t>KXIND/S/MC/PK23-033_A_B</t>
  </si>
  <si>
    <t>GEMC-511687790589987</t>
  </si>
  <si>
    <t>TWO years PO we received Contract period from-03/10/2023 to 02/10/2025 - (2024 and 2025)</t>
  </si>
  <si>
    <t>09000381/001</t>
  </si>
  <si>
    <t>08005638/001</t>
  </si>
  <si>
    <t>08005638/002</t>
  </si>
  <si>
    <t>11005309/001</t>
  </si>
  <si>
    <t>11005315/001</t>
  </si>
  <si>
    <t>01000558/001</t>
  </si>
  <si>
    <t>05000566/001</t>
  </si>
  <si>
    <t>05000566/002</t>
  </si>
  <si>
    <t>05000566/003</t>
  </si>
  <si>
    <t>07007334/001</t>
  </si>
  <si>
    <t>07007334/002</t>
  </si>
  <si>
    <t>08010234/001</t>
  </si>
  <si>
    <t>08010234/002</t>
  </si>
  <si>
    <t>06000595/001</t>
  </si>
  <si>
    <t>07007345/001</t>
  </si>
  <si>
    <t>02002801/001</t>
  </si>
  <si>
    <t>10000015/001</t>
  </si>
  <si>
    <t>10000016/001</t>
  </si>
  <si>
    <t>10000017/001</t>
  </si>
  <si>
    <t>10000019/001</t>
  </si>
  <si>
    <t>10000020/001</t>
  </si>
  <si>
    <t>12000007/001</t>
  </si>
  <si>
    <t>10000026/001</t>
  </si>
  <si>
    <t>10000028/001</t>
  </si>
  <si>
    <t>10000029/001</t>
  </si>
  <si>
    <t>10000748/001</t>
  </si>
  <si>
    <t>13000030/001</t>
  </si>
  <si>
    <t>13000031/001</t>
  </si>
  <si>
    <t>22-10-2024</t>
  </si>
  <si>
    <t>Madhusudhan</t>
  </si>
  <si>
    <t>madhusudhans@Amslindia.co.in</t>
  </si>
  <si>
    <t>KXIND/S/PK/MC/24073</t>
  </si>
  <si>
    <t>21-10-2024</t>
  </si>
  <si>
    <t>17005082/001</t>
  </si>
  <si>
    <t>14-01-2023</t>
  </si>
  <si>
    <t>Vinod</t>
  </si>
  <si>
    <t>Vinod.B@boschrexroth.co.in</t>
  </si>
  <si>
    <t>11004983/001</t>
  </si>
  <si>
    <t>KRIND/PK/MC/220057</t>
  </si>
  <si>
    <t>30-11-2023</t>
  </si>
  <si>
    <t>Three years PO we received Contract period from- 01/01/2023 to 31/12/2025- (2023 to 2025)</t>
  </si>
  <si>
    <t>Laboratary For Electro Optical System</t>
  </si>
  <si>
    <t>Bonded Store</t>
  </si>
  <si>
    <t>Raghu babu / Renuka</t>
  </si>
  <si>
    <t>renuka@leos.gov.in / raghu@leos.gov.in</t>
  </si>
  <si>
    <t>07010166/001</t>
  </si>
  <si>
    <t>KXIND/S/MC/PK23-016</t>
  </si>
  <si>
    <t>16-02-2023</t>
  </si>
  <si>
    <t>LESS 2023P001510101</t>
  </si>
  <si>
    <t>TWO years PO we received Contract period from- 30/11/2023 to 29/11/2026- (2023 to 2025)</t>
  </si>
  <si>
    <t>16004078/001</t>
  </si>
  <si>
    <t>GPS</t>
  </si>
  <si>
    <t>Uday Shankar</t>
  </si>
  <si>
    <t>udayshankar@toyota-kirloskar.co.in</t>
  </si>
  <si>
    <t>19005166/001</t>
  </si>
  <si>
    <t>Ccontarct</t>
  </si>
  <si>
    <t>KXIND/S/PK/MC/25017</t>
  </si>
  <si>
    <t>27-05-2025</t>
  </si>
  <si>
    <t>19005166/002</t>
  </si>
  <si>
    <t>19005166/003</t>
  </si>
  <si>
    <t>19005166/004</t>
  </si>
  <si>
    <t>KXIND/S/SPP/PK24065AA</t>
  </si>
  <si>
    <t>21-04-2025</t>
  </si>
  <si>
    <t>KXIND/S/SPP/PK25018</t>
  </si>
  <si>
    <t xml:space="preserve">BQ spares offer sent. </t>
  </si>
  <si>
    <t>Avinash</t>
  </si>
  <si>
    <t>87904 11883</t>
  </si>
  <si>
    <t>avinash.kovvuru@pfizer.com</t>
  </si>
  <si>
    <t>13004899/001</t>
  </si>
  <si>
    <t>Upgrade</t>
  </si>
  <si>
    <t>KXIND/S/SPP/PK25024</t>
  </si>
  <si>
    <t>IND-25-00000133-New</t>
  </si>
  <si>
    <t>13-03-2025</t>
  </si>
  <si>
    <t>We received short spares parts PO, rest all spares PO will receive end of the year 2025 INR-2120000</t>
  </si>
  <si>
    <t>Aurobindo Pharma Ltd</t>
  </si>
  <si>
    <t>Shivamalakala</t>
  </si>
  <si>
    <t>Shiva.Malakala@aurobindo.com</t>
  </si>
  <si>
    <t>21000323/001</t>
  </si>
  <si>
    <t>KXIND/S/SPP/PK25019A</t>
  </si>
  <si>
    <t>18-03-2025</t>
  </si>
  <si>
    <t>17-04-2025</t>
  </si>
  <si>
    <t>Offer submitted and waiting for PNC call. we have received the purchase order for a limited number of spare parts. The remaining spare parts POs will be received shortly.</t>
  </si>
  <si>
    <t>Mouneesh Babu</t>
  </si>
  <si>
    <t>11005877/001</t>
  </si>
  <si>
    <t>KXIND/S/PK/MC/25020</t>
  </si>
  <si>
    <t>26-02-2025</t>
  </si>
  <si>
    <t>TDA250012</t>
  </si>
  <si>
    <t>13000197/001</t>
  </si>
  <si>
    <t>TLA250010</t>
  </si>
  <si>
    <t>16003671/001</t>
  </si>
  <si>
    <t>11010125/001</t>
  </si>
  <si>
    <t>TDI250051</t>
  </si>
  <si>
    <t>CP4 Assembly</t>
  </si>
  <si>
    <t>Bikesh Kumar S</t>
  </si>
  <si>
    <t>BIKESHKUMAR.VADAKKEDATH@in.bosch.com</t>
  </si>
  <si>
    <t>16004188/001</t>
  </si>
  <si>
    <t>KXIND/S/PK/MC/25021</t>
  </si>
  <si>
    <t>BU not approved</t>
  </si>
  <si>
    <t>Planning</t>
  </si>
  <si>
    <t>Kishore Ninawe</t>
  </si>
  <si>
    <t>040-27194717</t>
  </si>
  <si>
    <t>ninawekn@bel.co.in</t>
  </si>
  <si>
    <t>09006192/001</t>
  </si>
  <si>
    <t>KXIND/S/PK/Relocation/25022</t>
  </si>
  <si>
    <t>Offer submitted</t>
  </si>
  <si>
    <t>12001717/001</t>
  </si>
  <si>
    <t>12000008/001</t>
  </si>
  <si>
    <t>KXIND/S/PK/Relocation/25023</t>
  </si>
  <si>
    <t>BQ-Offer submitted</t>
  </si>
  <si>
    <t>Shenoy Guruprasad</t>
  </si>
  <si>
    <t>Guruprasad.Shenoy@boschrexroth.co.in</t>
  </si>
  <si>
    <t>12003614/001</t>
  </si>
  <si>
    <t>KXIND/S/PK/MC/25024</t>
  </si>
  <si>
    <t>28-03-2025</t>
  </si>
  <si>
    <t>KXIND/S/SPP/PK25025</t>
  </si>
  <si>
    <t>25-03-2025</t>
  </si>
  <si>
    <t>Natarajan Annamalai</t>
  </si>
  <si>
    <t>Natarajan.Annamalai@in.bosch.com</t>
  </si>
  <si>
    <t>08003399/001</t>
  </si>
  <si>
    <t>KXIND/S/PK/MC/25026</t>
  </si>
  <si>
    <t>27-03-2025</t>
  </si>
  <si>
    <t>16004188/002</t>
  </si>
  <si>
    <t>Girish Chandra</t>
  </si>
  <si>
    <t>Girish.Chandra2@in.bosch.com</t>
  </si>
  <si>
    <t>15003424/001</t>
  </si>
  <si>
    <t>KXIND/S/SPP/PK25027</t>
  </si>
  <si>
    <t>30-04-2025</t>
  </si>
  <si>
    <t>TCT</t>
  </si>
  <si>
    <t>Anil Kumawat</t>
  </si>
  <si>
    <t>Anil.Kumawat@in.bosch.com</t>
  </si>
  <si>
    <t>05000111/001</t>
  </si>
  <si>
    <t>KXIND/S/PK/MC/25028</t>
  </si>
  <si>
    <t>Offer submitted and waiting for PO, I discussed with customer last week regarding PO. They said BU is not approved. will plan next 2026</t>
  </si>
  <si>
    <t>KXIND/S/AP/MLU/25007-A</t>
  </si>
  <si>
    <t>Syntegon Technology India Pvt Ltd (Formerly Bosch Ltd)</t>
  </si>
  <si>
    <t>Rane Chetan</t>
  </si>
  <si>
    <t>Chetan.Rane@syntegon.com</t>
  </si>
  <si>
    <t>05004114/001</t>
  </si>
  <si>
    <t>KXIND/S/SPP/PK25029</t>
  </si>
  <si>
    <t>KXIND/S/SPP/PK25030</t>
  </si>
  <si>
    <t>TDG250104</t>
  </si>
  <si>
    <t>11005878/001</t>
  </si>
  <si>
    <t>KXIND/S/SPP/PK25031</t>
  </si>
  <si>
    <t>TMP250031</t>
  </si>
  <si>
    <t>14-04-2025</t>
  </si>
  <si>
    <t>Change Parts</t>
  </si>
  <si>
    <t>KXIND/S/PK/MC/25032</t>
  </si>
  <si>
    <t>21000323/002</t>
  </si>
  <si>
    <t>21000323/003</t>
  </si>
  <si>
    <t>Weapon Equipment Depot</t>
  </si>
  <si>
    <t>Karwar</t>
  </si>
  <si>
    <t>Sanjeev Kumar</t>
  </si>
  <si>
    <t>NA</t>
  </si>
  <si>
    <t>wed-karwar@navy.gov.in</t>
  </si>
  <si>
    <t>04000834/009</t>
  </si>
  <si>
    <t>KXIND/S/PK/MC/25033</t>
  </si>
  <si>
    <t>BQ offer submitted.</t>
  </si>
  <si>
    <t>04000834/003</t>
  </si>
  <si>
    <t>04000835/002</t>
  </si>
  <si>
    <t>04000834/008</t>
  </si>
  <si>
    <t>04000834/002</t>
  </si>
  <si>
    <t>04000834/007</t>
  </si>
  <si>
    <t>04000835/004</t>
  </si>
  <si>
    <t>04000835/006</t>
  </si>
  <si>
    <t>04000834/005</t>
  </si>
  <si>
    <t>04000834/006</t>
  </si>
  <si>
    <t>04000834/004</t>
  </si>
  <si>
    <t>04000841/009</t>
  </si>
  <si>
    <t>04000841/001</t>
  </si>
  <si>
    <t>04000841/008</t>
  </si>
  <si>
    <t>04000841/002</t>
  </si>
  <si>
    <t>04000841/006</t>
  </si>
  <si>
    <t>04000841/004</t>
  </si>
  <si>
    <t>04000841/007</t>
  </si>
  <si>
    <t>Bhoopal P</t>
  </si>
  <si>
    <t>bhoopal@pragatiautomation.in</t>
  </si>
  <si>
    <t>06001274/001</t>
  </si>
  <si>
    <t>KXIND/S/PK/Relocation/25034</t>
  </si>
  <si>
    <t>PNR200275</t>
  </si>
  <si>
    <t>05003747/001</t>
  </si>
  <si>
    <t>06001475/001</t>
  </si>
  <si>
    <t xml:space="preserve">Offer submitted and waiting customer call.  I had a discussion with the customer regarding the PO. The customer mentioned that the budget has not yet been approved. </t>
  </si>
  <si>
    <t>KXIND/S/SPP/PK25035</t>
  </si>
  <si>
    <t>GEMC-511687708253638</t>
  </si>
  <si>
    <t>23-04-2025</t>
  </si>
  <si>
    <t>Arun</t>
  </si>
  <si>
    <t>maintenance.peenya@ajaxengg.com</t>
  </si>
  <si>
    <t xml:space="preserve">KXIND/S/PK/MC/25036 </t>
  </si>
  <si>
    <t>24-06-2025</t>
  </si>
  <si>
    <t>Ashok MK</t>
  </si>
  <si>
    <t>7760 990397</t>
  </si>
  <si>
    <t>KXIND/S/PK/MC/25037</t>
  </si>
  <si>
    <t>MOE13 &amp; 14</t>
  </si>
  <si>
    <t>Shebin Dharmaraj</t>
  </si>
  <si>
    <t>Shebin.Dharmaraj@in.bosch.com</t>
  </si>
  <si>
    <t>15005047/001</t>
  </si>
  <si>
    <t>KXIND/S/PK/MC/25038</t>
  </si>
  <si>
    <t>29-05-2025</t>
  </si>
  <si>
    <t>KXIND/S/SPP/PK25039</t>
  </si>
  <si>
    <t>15-04-2025</t>
  </si>
  <si>
    <t>BQ offer submitted</t>
  </si>
  <si>
    <t>KXIND/S/SPP/PK25040</t>
  </si>
  <si>
    <t>16-04-2025</t>
  </si>
  <si>
    <t>Offer submitted, Based on offer customer asking split offers.</t>
  </si>
  <si>
    <t>KXIND/S/SPP/PK25041</t>
  </si>
  <si>
    <t>24-07-2025</t>
  </si>
  <si>
    <t>Shivasagar</t>
  </si>
  <si>
    <t>Shiva.Sagar@in.bosch.com</t>
  </si>
  <si>
    <t>10007966/001</t>
  </si>
  <si>
    <t>KXIND/S/SPP/PK25042</t>
  </si>
  <si>
    <t>11007551/001</t>
  </si>
  <si>
    <t>KXIND/S/SPP/PK25043</t>
  </si>
  <si>
    <t>15003422/001</t>
  </si>
  <si>
    <t>KXIND/S/SPP/PK25044</t>
  </si>
  <si>
    <t>07007762/001</t>
  </si>
  <si>
    <t>KXIND/S/SPP/PK25045</t>
  </si>
  <si>
    <t>Electrical</t>
  </si>
  <si>
    <t>Irappa Uppar</t>
  </si>
  <si>
    <t>Irappa.Uppar@in.bosch.com</t>
  </si>
  <si>
    <t>11007552/001</t>
  </si>
  <si>
    <t>KXIND/S/SPP/PK25046</t>
  </si>
  <si>
    <t>04001158/001</t>
  </si>
  <si>
    <t>KXIND/S/PK/MC/25047</t>
  </si>
  <si>
    <t>04001159/001</t>
  </si>
  <si>
    <t>04007232/001</t>
  </si>
  <si>
    <t>TEF32</t>
  </si>
  <si>
    <t>Suneel B</t>
  </si>
  <si>
    <t>Suneel.B@in.bosch.com</t>
  </si>
  <si>
    <t>KXIND/S/PK/MC/25048</t>
  </si>
  <si>
    <t>13-06-2025</t>
  </si>
  <si>
    <t>11007519/001</t>
  </si>
  <si>
    <t>o</t>
  </si>
  <si>
    <t>07007786/001</t>
  </si>
  <si>
    <t>10008356/001</t>
  </si>
  <si>
    <t>11007554/001</t>
  </si>
  <si>
    <t>16006687/001</t>
  </si>
  <si>
    <t>11007553/001</t>
  </si>
  <si>
    <t>16001325/001</t>
  </si>
  <si>
    <t>07007338/001</t>
  </si>
  <si>
    <t>KXIND/S/SPP/PK25049</t>
  </si>
  <si>
    <t>19-05-2025</t>
  </si>
  <si>
    <t>KXIND/S/SPP/PK25016A</t>
  </si>
  <si>
    <t>KKI00137/2025-26</t>
  </si>
  <si>
    <t>28-05-2025</t>
  </si>
  <si>
    <t>QMM3</t>
  </si>
  <si>
    <t>Ramesh HL</t>
  </si>
  <si>
    <t>Ramesh.HL@in.bosch.com</t>
  </si>
  <si>
    <t>07005631/001</t>
  </si>
  <si>
    <t>KXIND/S/PK/MC/25050</t>
  </si>
  <si>
    <t>MAT</t>
  </si>
  <si>
    <t>Abdul Razack</t>
  </si>
  <si>
    <t>Abdul.razack@in.bosch.com</t>
  </si>
  <si>
    <t>KXIND/S/PK/MC/25051</t>
  </si>
  <si>
    <t>06000156/001</t>
  </si>
  <si>
    <t>ATMO6</t>
  </si>
  <si>
    <t>17007935/001</t>
  </si>
  <si>
    <t>KXIND/S/PK/MC/25052</t>
  </si>
  <si>
    <t>17007935/002</t>
  </si>
  <si>
    <t>KXIND/S/SPP/PK25053</t>
  </si>
  <si>
    <t>20-05-2025</t>
  </si>
  <si>
    <t>21-05-2025</t>
  </si>
  <si>
    <t>KXIND/S/SPP/PK25054</t>
  </si>
  <si>
    <t>29-06-2025</t>
  </si>
  <si>
    <t>15005044/001</t>
  </si>
  <si>
    <t>KXIND/S/SPP/PK25055</t>
  </si>
  <si>
    <t>KXIND/S/OTS/PK25056</t>
  </si>
  <si>
    <t>We received Flex care MC PO.</t>
  </si>
  <si>
    <t>27-06-2025</t>
  </si>
  <si>
    <t>KXIND/S/SPP/PK25057</t>
  </si>
  <si>
    <t>19-06-2025</t>
  </si>
  <si>
    <t>KXIND/S/SPP/PK25058</t>
  </si>
  <si>
    <t>maintenance</t>
  </si>
  <si>
    <t>KXIND/S/SPP/PK25059</t>
  </si>
  <si>
    <t>1000623266/0</t>
  </si>
  <si>
    <t>14-06-2025</t>
  </si>
  <si>
    <t>KXIND/S/SPP/PK25062</t>
  </si>
  <si>
    <t>16-06-2025</t>
  </si>
  <si>
    <t>Akshay Dubey</t>
  </si>
  <si>
    <t>akshay.dubey@epiroc.com</t>
  </si>
  <si>
    <t>16007191/001</t>
  </si>
  <si>
    <t>KXIND/S/PK/MC/25060</t>
  </si>
  <si>
    <t>05001698/001</t>
  </si>
  <si>
    <t>KXIND/S/PK/MC/25061</t>
  </si>
  <si>
    <t>47397532-9YR</t>
  </si>
  <si>
    <t>06009173/001</t>
  </si>
  <si>
    <t>07004001/001</t>
  </si>
  <si>
    <t>MC &amp; Stores</t>
  </si>
  <si>
    <t xml:space="preserve">KXIND/S/PK/MC/25063 </t>
  </si>
  <si>
    <t>25-06-2025</t>
  </si>
  <si>
    <t>two-year commercial offer was submitted, and a corresponding two-year purchase order has been received.</t>
  </si>
  <si>
    <t>03002438/002</t>
  </si>
  <si>
    <t>04007002/001</t>
  </si>
  <si>
    <t>06007262/001</t>
  </si>
  <si>
    <t>08001068/001</t>
  </si>
  <si>
    <t>KXIND/S/SPP/PK25040A</t>
  </si>
  <si>
    <t>KXIND/S/SPP/PK25040B</t>
  </si>
  <si>
    <t>TEF 32</t>
  </si>
  <si>
    <t>Balamurali Jagannatha</t>
  </si>
  <si>
    <t> Balamurali.Jagannatha@in.bosch.com</t>
  </si>
  <si>
    <t> KXIND/S/SPP/PK25064</t>
  </si>
  <si>
    <t>Dayanand</t>
  </si>
  <si>
    <t> KXIND/S/SPP/PK25065</t>
  </si>
  <si>
    <t xml:space="preserve">Offer submitted.   I had a discussion with the customer last week regarding the PO. The customer mentioned that the budget has not yet been approved, </t>
  </si>
  <si>
    <t> KXIND/S/SPP/PK25066</t>
  </si>
  <si>
    <t>Engineering</t>
  </si>
  <si>
    <t>Rajashekar Nagudu</t>
  </si>
  <si>
    <t>rajasekhar.nagudu@viatris.com</t>
  </si>
  <si>
    <t> KXIND/S/SPP/PK25067</t>
  </si>
  <si>
    <t> KXIND/S/SPP/PK25067A</t>
  </si>
  <si>
    <t>IND-25-00000574-NEW</t>
  </si>
  <si>
    <t>Presshop</t>
  </si>
  <si>
    <t>Yadunandan S</t>
  </si>
  <si>
    <t>YadunandanS@toyota-kirloskar.co.in</t>
  </si>
  <si>
    <t>KXIND/S/Relocation/PK068</t>
  </si>
  <si>
    <t>FCM</t>
  </si>
  <si>
    <t>Naveen S</t>
  </si>
  <si>
    <t>Naveena.S@boschrexroth.co.in</t>
  </si>
  <si>
    <t>KXIND/S/Relocation/PK069</t>
  </si>
  <si>
    <t>24/7/2025</t>
  </si>
  <si>
    <t>Himachal Futuristic Communication Limited</t>
  </si>
  <si>
    <t>Adhitya R</t>
  </si>
  <si>
    <t>adhitya.r@hfcl.com</t>
  </si>
  <si>
    <t>18004914/001</t>
  </si>
  <si>
    <t>KXIND/S/PK/MC/25070</t>
  </si>
  <si>
    <t>21/07/2025</t>
  </si>
  <si>
    <t>18004914/002</t>
  </si>
  <si>
    <t>18004914/003</t>
  </si>
  <si>
    <t>rijo.abraham@sartorius.com</t>
  </si>
  <si>
    <t>KXIND/S/OTS/PK25071</t>
  </si>
  <si>
    <t>23/07/2025</t>
  </si>
  <si>
    <t>KXIND/S/SPP/PK25072</t>
  </si>
  <si>
    <t>Karthik Pattapu</t>
  </si>
  <si>
    <t>040 68136864</t>
  </si>
  <si>
    <t>karthik.pattapu@technipfmc.com</t>
  </si>
  <si>
    <t>KXIND/S/SPP/PK25073</t>
  </si>
  <si>
    <t>Girishchandra</t>
  </si>
  <si>
    <t>girish.chandra2@in.bosch.com</t>
  </si>
  <si>
    <t>15003423/001</t>
  </si>
  <si>
    <t>KXIND/S/Relocation/PK074</t>
  </si>
  <si>
    <t>QMM4</t>
  </si>
  <si>
    <t>Shashikumar VN</t>
  </si>
  <si>
    <t>Shashikumar.VN@in.bosch.com</t>
  </si>
  <si>
    <t>KXIND/S/Relocation/PK075</t>
  </si>
  <si>
    <t>PO Recived</t>
  </si>
  <si>
    <t>07009706/001</t>
  </si>
  <si>
    <t>KXIND/S/SPP/PK25076</t>
  </si>
  <si>
    <t>We offered MLU &amp; Height Retrofit kit. I had a discussion with the customer last week regarding the PO. The customer mentioned that the budget has not yet been approved, and they are considering scrapping the unit.</t>
  </si>
  <si>
    <t>KARIND/250028_Pfizer_Relocation</t>
  </si>
  <si>
    <t>I spoke with the customer last week regarding the PO. They mentioned that the Business Unit has not approved it yet, and they are planning to revisit the matter in 2026.</t>
  </si>
  <si>
    <t>Offer submitted, waiting for PNC</t>
  </si>
  <si>
    <t>Entered and closed</t>
  </si>
  <si>
    <t>Clena Room</t>
  </si>
  <si>
    <t>Anitha</t>
  </si>
  <si>
    <t>Anitha.Nagasundara@SARTORIUS.com</t>
  </si>
  <si>
    <t>KXIND/S/Relocation/PK2577</t>
  </si>
  <si>
    <t>KXIND/S/MLU/PK25078</t>
  </si>
  <si>
    <t>KXIND/S/MLU/PK25079</t>
  </si>
  <si>
    <t>00008885/002</t>
  </si>
  <si>
    <t>KXIND/S/PK/MC/25080</t>
  </si>
  <si>
    <t>We offered TWO years prices and particiapted in GEM</t>
  </si>
  <si>
    <t>Manufacturing (BidP1/MOE13)</t>
  </si>
  <si>
    <t>Paurav P Shetty</t>
  </si>
  <si>
    <t>PauravPremanath.Shetty@in.bosch.com</t>
  </si>
  <si>
    <t>KXIND/S/SPP/PK25081</t>
  </si>
  <si>
    <t>KXIND/S/PK/Relocation/25082</t>
  </si>
  <si>
    <t>BQ offer submitted. I had a discussion with the customer last week regarding the PO. The customer mentioned that the budget has not yet been approved, and they are considering scrapping the unit.</t>
  </si>
  <si>
    <t>KXIND/S/PK/Relocation/250823</t>
  </si>
  <si>
    <t>KXIND/S/SPP/PK25084</t>
  </si>
  <si>
    <t>KXIND/S/SPP/PK25085</t>
  </si>
  <si>
    <t>KXIND/S/Relocation/PK086</t>
  </si>
  <si>
    <t>KXIND/S/SPP/PK25087A</t>
  </si>
  <si>
    <t>4400016874 &amp; 4400017258</t>
  </si>
  <si>
    <t>11/15/2025 &amp; 11/26/2025</t>
  </si>
  <si>
    <t>We received short PO, Balance INR 695222 will receive next year</t>
  </si>
  <si>
    <t>Vinayaka</t>
  </si>
  <si>
    <t>vinayaka@pragatiautomation.in</t>
  </si>
  <si>
    <t>KXIND/S/PK/MC/25088</t>
  </si>
  <si>
    <t>POR200027</t>
  </si>
  <si>
    <t>12008456/001</t>
  </si>
  <si>
    <t>12008454/001</t>
  </si>
  <si>
    <t>12008455/001</t>
  </si>
  <si>
    <t>10007433/001</t>
  </si>
  <si>
    <t>10007434/001</t>
  </si>
  <si>
    <t>14006340/001</t>
  </si>
  <si>
    <t>14006341/001</t>
  </si>
  <si>
    <t>14006342/001</t>
  </si>
  <si>
    <t>18008686/001</t>
  </si>
  <si>
    <t>18008686/002</t>
  </si>
  <si>
    <t>KXIND/S/SPP/PK25089</t>
  </si>
  <si>
    <t>KXIND/S/SPP/PK25090</t>
  </si>
  <si>
    <t>Madusudhan</t>
  </si>
  <si>
    <t>KXIND/S/PK/MC/25091</t>
  </si>
  <si>
    <t>KXIND/S/MLU/PK25092</t>
  </si>
  <si>
    <t>MOE12</t>
  </si>
  <si>
    <t>Mythri Shivashankar</t>
  </si>
  <si>
    <t>mythri.shivashankar@in.bosch.com</t>
  </si>
  <si>
    <t>KXIND/S/SPP/PK25093</t>
  </si>
  <si>
    <t>Krishan Vamshi</t>
  </si>
  <si>
    <t>KXIND/S/SPP/PK25094</t>
  </si>
  <si>
    <t>KXIND/S/SPP/PK25016AA</t>
  </si>
  <si>
    <t>KKI00852025-26</t>
  </si>
  <si>
    <t>Mouneesh</t>
  </si>
  <si>
    <t>10004688/001</t>
  </si>
  <si>
    <t>KXIND/S/SPP/PK25095</t>
  </si>
  <si>
    <t>CBx</t>
  </si>
  <si>
    <t>Bikesh Kumar</t>
  </si>
  <si>
    <t>bikeshkumar.vadakkedath@in.bosch.com</t>
  </si>
  <si>
    <t>KXIND/S/Relocation/PK096</t>
  </si>
  <si>
    <t>yogesh.s@seg-automotive.com</t>
  </si>
  <si>
    <t>KXIND/S/SPP/PK25097</t>
  </si>
  <si>
    <t>Balamurli</t>
  </si>
  <si>
    <t>balamurali.jagannatha@in.bosch.com</t>
  </si>
  <si>
    <t>KXIND/S/SPP/PK25098</t>
  </si>
  <si>
    <t>KXIND/S/PK/MC/25099</t>
  </si>
  <si>
    <t>TWO years offer submitted</t>
  </si>
  <si>
    <t>KXIND/S/PK/MC/250100</t>
  </si>
  <si>
    <t>99457 66825</t>
  </si>
  <si>
    <t>KXIND/S/PK/MC/250101</t>
  </si>
  <si>
    <t>CP4</t>
  </si>
  <si>
    <t>KXIND/S/PK/MC/250102</t>
  </si>
  <si>
    <t>Anil Kumar</t>
  </si>
  <si>
    <t>KXIND/S/PK/MC/250103</t>
  </si>
  <si>
    <t>97399 75314</t>
  </si>
  <si>
    <t>KXIND/S/PK/MC/250104</t>
  </si>
  <si>
    <t>KXIND/S/PK/MC/250105</t>
  </si>
  <si>
    <t>KXIND/S/PK/MC/250106</t>
  </si>
  <si>
    <t>KXIND/S/PK/MC/250107</t>
  </si>
  <si>
    <t>Phaneendranadh Chintala</t>
  </si>
  <si>
    <t>phaneendranadh.chintala@viatris.com</t>
  </si>
  <si>
    <t>KXIND/S/PK/MC/250108</t>
  </si>
  <si>
    <t>KXIND/S/SPP/PK250109</t>
  </si>
  <si>
    <t>KXIND/S/SPP/PK250110</t>
  </si>
  <si>
    <t>`</t>
  </si>
  <si>
    <t>KARDEX INDIA - LIVE OFFER FUNEL - SASI KUMAR - SOUTH</t>
  </si>
  <si>
    <t>ZF Wind Power Coimbatore Private Limited</t>
  </si>
  <si>
    <t>Coimbatore</t>
  </si>
  <si>
    <t>Maintenace</t>
  </si>
  <si>
    <t>Gokul das</t>
  </si>
  <si>
    <t>gokuldass.venkatesan@zf.com</t>
  </si>
  <si>
    <t>08002779/001</t>
  </si>
  <si>
    <t>KRIND/S/SPP/ASK25005</t>
  </si>
  <si>
    <t xml:space="preserve">Offer month changed </t>
  </si>
  <si>
    <t>Elgi Equipments Limited</t>
  </si>
  <si>
    <t>Bharathasarathi</t>
  </si>
  <si>
    <t>bharthasarathi@elgi.com</t>
  </si>
  <si>
    <t>13005786/001</t>
  </si>
  <si>
    <t>KRIND/S/SPP/ASK24065</t>
  </si>
  <si>
    <t>Chennai</t>
  </si>
  <si>
    <t>Gokhul</t>
  </si>
  <si>
    <t>gokhul.s@turboenergy.co.in</t>
  </si>
  <si>
    <t>06006769/001</t>
  </si>
  <si>
    <t>KRIND/S/SPP/ASK25027-1</t>
  </si>
  <si>
    <t>Viji V</t>
  </si>
  <si>
    <t>Viji.V@turboenergy.co.in</t>
  </si>
  <si>
    <t>06006940/001</t>
  </si>
  <si>
    <t>KRIND/S/SPP/ASK25021</t>
  </si>
  <si>
    <t>24/2/2025</t>
  </si>
  <si>
    <t>HL Klemove India Pvt Ltd</t>
  </si>
  <si>
    <t>arunkumar1.s@hlcompany.com</t>
  </si>
  <si>
    <t>23008935/001</t>
  </si>
  <si>
    <t>KRIND/S/MC/ASK25011</t>
  </si>
  <si>
    <t>PO will not come</t>
  </si>
  <si>
    <t>Bosch Automotive Electronics India Pvt. Ltd</t>
  </si>
  <si>
    <t>R.Srinivasan</t>
  </si>
  <si>
    <t>Srinivasan.R3@in.bosch.com</t>
  </si>
  <si>
    <t>1600791/001</t>
  </si>
  <si>
    <t>KRIND/S/SPP/ASK25026</t>
  </si>
  <si>
    <t>Aquasub Engineering Unit IV (Foundry II)</t>
  </si>
  <si>
    <t>Shyam.A</t>
  </si>
  <si>
    <t>shyamfdy2@aquagroup.in</t>
  </si>
  <si>
    <t>15008007/001</t>
  </si>
  <si>
    <t>KRIND/ASK/RL/24076</t>
  </si>
  <si>
    <t>2425U07SI00124</t>
  </si>
  <si>
    <t xml:space="preserve">Rs 2340.00 Offer month changed </t>
  </si>
  <si>
    <t>Addison &amp; CO</t>
  </si>
  <si>
    <t>Kaleem</t>
  </si>
  <si>
    <t>logistics@addison.co.in</t>
  </si>
  <si>
    <t>17000897/001</t>
  </si>
  <si>
    <t>KRIND/S/SPP/ASK25047-2</t>
  </si>
  <si>
    <t>Velan Valves India Pvt Ltd</t>
  </si>
  <si>
    <t>sanju.prakash@velan.com</t>
  </si>
  <si>
    <t>99003315/001</t>
  </si>
  <si>
    <t>KRIND/S/SPP/ASK25057</t>
  </si>
  <si>
    <t>KYUNGSHIN INDUSTRIAL</t>
  </si>
  <si>
    <t>Anandaraj</t>
  </si>
  <si>
    <t>anandaraj@kiml.motherson.com</t>
  </si>
  <si>
    <t>KRIND/S/MC/ASK25050</t>
  </si>
  <si>
    <t>ITW Engineering Pvt Ltd</t>
  </si>
  <si>
    <t>Dhinesh</t>
  </si>
  <si>
    <t>dhineshkr@itwautomotive.in</t>
  </si>
  <si>
    <t>18000849/001</t>
  </si>
  <si>
    <t>KXIND/S/MC/ASK25002</t>
  </si>
  <si>
    <t>KRIND/S/SPP/ASK25012</t>
  </si>
  <si>
    <t>Due Rs 3456</t>
  </si>
  <si>
    <t>Addison &amp; Co Ltd</t>
  </si>
  <si>
    <t>HARIRAO</t>
  </si>
  <si>
    <t>harirao.s@addison.co.in</t>
  </si>
  <si>
    <t>KRIND/SK/MC/22041-1</t>
  </si>
  <si>
    <t>IGKPO/107484/2425</t>
  </si>
  <si>
    <t>14/2/2025</t>
  </si>
  <si>
    <t>17007093/001</t>
  </si>
  <si>
    <t>17007693/001</t>
  </si>
  <si>
    <t>plvmpurchase@turboenergy.co.in</t>
  </si>
  <si>
    <t>KRIND/S/MC/ASK24056</t>
  </si>
  <si>
    <t>Danieli India Limited</t>
  </si>
  <si>
    <t>Sricity</t>
  </si>
  <si>
    <t>Narasimman</t>
  </si>
  <si>
    <t>h.narasimman@danieli.com</t>
  </si>
  <si>
    <t>13004914/001</t>
  </si>
  <si>
    <t xml:space="preserve">  KRIND/S/MC/ASK2300044  </t>
  </si>
  <si>
    <t>24948156 OB</t>
  </si>
  <si>
    <t>Timken India Manufacturing Pvt Ltd</t>
  </si>
  <si>
    <t>Tool room</t>
  </si>
  <si>
    <t>Veera</t>
  </si>
  <si>
    <t>abinaya.r@timken.com</t>
  </si>
  <si>
    <t>11004913/001</t>
  </si>
  <si>
    <t>KRIND/S/MC/ASK25001</t>
  </si>
  <si>
    <t>11004912/001</t>
  </si>
  <si>
    <t>10010132/001</t>
  </si>
  <si>
    <t>10010131/001</t>
  </si>
  <si>
    <t>10010117/001</t>
  </si>
  <si>
    <t>11010652/001</t>
  </si>
  <si>
    <t>KRIND/S/MC/ASK25030</t>
  </si>
  <si>
    <t>10009183/001</t>
  </si>
  <si>
    <t>10009175/001</t>
  </si>
  <si>
    <t>11004678/001</t>
  </si>
  <si>
    <t>11004677/001</t>
  </si>
  <si>
    <t>10009193/001</t>
  </si>
  <si>
    <t>Bhathasarathy</t>
  </si>
  <si>
    <t>13005811/001</t>
  </si>
  <si>
    <t>KRIND/S/MC/ASK25018</t>
  </si>
  <si>
    <t>KRIND/S/MC/ASK24070</t>
  </si>
  <si>
    <t>E10005262</t>
  </si>
  <si>
    <t>Elangovan</t>
  </si>
  <si>
    <t>R.Elangovan@ksb.com</t>
  </si>
  <si>
    <t>11007770/001</t>
  </si>
  <si>
    <t>KRIND/S/MC/ASK25068</t>
  </si>
  <si>
    <t xml:space="preserve">11007769/001 </t>
  </si>
  <si>
    <t xml:space="preserve">13004253/001 </t>
  </si>
  <si>
    <t xml:space="preserve">13004254/001 </t>
  </si>
  <si>
    <t xml:space="preserve">Techno Doors pvt Ltd </t>
  </si>
  <si>
    <t>Jothivanan Viswanathan</t>
  </si>
  <si>
    <t>j.viswanathan@fermator.com</t>
  </si>
  <si>
    <t>21008389/001</t>
  </si>
  <si>
    <t>KRIND/S/MC/ASK25032</t>
  </si>
  <si>
    <t>2025/825</t>
  </si>
  <si>
    <t>Rialto Enterprises Pvt Ltd</t>
  </si>
  <si>
    <t>Vijayakanth</t>
  </si>
  <si>
    <t>vijayakanth.r@rialto.co.in</t>
  </si>
  <si>
    <t>KRIND/S/MC/ASK25048</t>
  </si>
  <si>
    <t xml:space="preserve">August </t>
  </si>
  <si>
    <t>Nilpeter India P ltd</t>
  </si>
  <si>
    <t>Vijay D</t>
  </si>
  <si>
    <t>vijay@nilpeter.co.in</t>
  </si>
  <si>
    <t>18005817/001</t>
  </si>
  <si>
    <t>KRIND/S/MC/ASK25003</t>
  </si>
  <si>
    <t xml:space="preserve">Rs 5200 Offer month changed </t>
  </si>
  <si>
    <t xml:space="preserve">Tsugami Precision </t>
  </si>
  <si>
    <t>Kalai</t>
  </si>
  <si>
    <t>maintenance@tsugami.co.in</t>
  </si>
  <si>
    <t>KRIND/S/MC/ASK25004</t>
  </si>
  <si>
    <t>KRIND/S/SPP/ASK25069</t>
  </si>
  <si>
    <t>Murali</t>
  </si>
  <si>
    <t>krishnaswamy.muralidharan@rotork.com</t>
  </si>
  <si>
    <t>11003854/001</t>
  </si>
  <si>
    <t>KXIND/S/MC/ASK25054</t>
  </si>
  <si>
    <t>AQ101425</t>
  </si>
  <si>
    <t>16004089/001</t>
  </si>
  <si>
    <t>Argo-Hytos Pvt Ltd</t>
  </si>
  <si>
    <t>Boopathi</t>
  </si>
  <si>
    <t>c.boopathi@argo-hytos.com</t>
  </si>
  <si>
    <t>18007724/001 </t>
  </si>
  <si>
    <t>KRIND/S/MC/ASK25019</t>
  </si>
  <si>
    <t>18007724/002</t>
  </si>
  <si>
    <t>KRIND/S/MC/ASK25031</t>
  </si>
  <si>
    <t>KRIND/S/MC/ASK25056</t>
  </si>
  <si>
    <t>Allison Transmission</t>
  </si>
  <si>
    <t>Arun Kumar</t>
  </si>
  <si>
    <t>arunkumar.sankaran@allisontransmission.com</t>
  </si>
  <si>
    <t xml:space="preserve">10001499/001 </t>
  </si>
  <si>
    <t>KRIND/S/SPP/ASK25061</t>
  </si>
  <si>
    <t>Samvardhana Motherson Innovation Solutions Ltd</t>
  </si>
  <si>
    <t>Pondicherry</t>
  </si>
  <si>
    <t>Soundar rajan</t>
  </si>
  <si>
    <t>soundar.rajan@motherson.com</t>
  </si>
  <si>
    <t>15000956/001</t>
  </si>
  <si>
    <t>KXIND/S/MC/ASK24058</t>
  </si>
  <si>
    <t>KRIND/S/SPP/ASK24046</t>
  </si>
  <si>
    <t>E10005421</t>
  </si>
  <si>
    <t>KRIND/S/SPP/ASK25037</t>
  </si>
  <si>
    <t>E10005876</t>
  </si>
  <si>
    <t>KRIND/S/MC/ASK25064</t>
  </si>
  <si>
    <t>KRIND/S/SPP/ASK24041</t>
  </si>
  <si>
    <t>Po Recevied Nov 24 but processing on April 25</t>
  </si>
  <si>
    <t>Sundaram Fastners P Ltd</t>
  </si>
  <si>
    <t>Jagadesh</t>
  </si>
  <si>
    <t>jagadeesan.d@sfl.co.in</t>
  </si>
  <si>
    <t>19000873/001</t>
  </si>
  <si>
    <t>KRIND/S/MC/ASK25013</t>
  </si>
  <si>
    <t>19000873/002</t>
  </si>
  <si>
    <t>Hindustan Aeronautics Limited</t>
  </si>
  <si>
    <t>Kerala</t>
  </si>
  <si>
    <t>CM(PUR)</t>
  </si>
  <si>
    <t>ARIVALAGAN S</t>
  </si>
  <si>
    <r>
      <t>imm_commercial.engines@</t>
    </r>
    <r>
      <rPr>
        <sz val="11"/>
        <color rgb="FF000000"/>
        <rFont val="Segoe UI"/>
        <family val="2"/>
      </rPr>
      <t>hal</t>
    </r>
    <r>
      <rPr>
        <sz val="11"/>
        <color rgb="FF242424"/>
        <rFont val="Segoe UI"/>
        <family val="2"/>
      </rPr>
      <t>-india.co.in</t>
    </r>
  </si>
  <si>
    <t>21000483/002</t>
  </si>
  <si>
    <t>Visteon Automotive Inida Systems Pvt Ltd</t>
  </si>
  <si>
    <t>Suresh Babu</t>
  </si>
  <si>
    <t>nsureshb@visteon.com</t>
  </si>
  <si>
    <t>KRIND/S/MC/ASK25008-1</t>
  </si>
  <si>
    <t>NCI00IDV</t>
  </si>
  <si>
    <t>Freudenberg Nok</t>
  </si>
  <si>
    <t>D.Balamurugan</t>
  </si>
  <si>
    <t>Balamurugan.D@fst.com</t>
  </si>
  <si>
    <t>18009047/002</t>
  </si>
  <si>
    <t>KRIND/S/SPP/ASK24068</t>
  </si>
  <si>
    <t>KRIND/S/SPP/ASK24067</t>
  </si>
  <si>
    <t>KRIND/S/RS-KIT/ASK25038-A</t>
  </si>
  <si>
    <t>Allison Transmission Private Limited</t>
  </si>
  <si>
    <t>Ashok</t>
  </si>
  <si>
    <t>ashok.r@allisontransmission.com</t>
  </si>
  <si>
    <t>10001499_001</t>
  </si>
  <si>
    <t>KRIND/S/SPP/ASK25025</t>
  </si>
  <si>
    <t>KRIND/S/SPP/ASK24073</t>
  </si>
  <si>
    <t>18007724/001</t>
  </si>
  <si>
    <t>KRIND/S/SPP/ASK24078</t>
  </si>
  <si>
    <t>KRIND/S/BD/ASK25028</t>
  </si>
  <si>
    <t>Waitng for the update form customer</t>
  </si>
  <si>
    <t>*</t>
  </si>
  <si>
    <t xml:space="preserve">Prakesh </t>
  </si>
  <si>
    <t>lremaintenance@abishowatech.co.in</t>
  </si>
  <si>
    <t>KRIND/S/SPP/ASK25033</t>
  </si>
  <si>
    <t>ABI-SHOWATECH (INDIA) PVT LTD (M/c 13000009/001)</t>
  </si>
  <si>
    <t>KRIND/S/SPP/ASK25024</t>
  </si>
  <si>
    <t>P Harikrishnan</t>
  </si>
  <si>
    <t>Harikrishnan.Purushothaman@fst.com</t>
  </si>
  <si>
    <t>KRIND/S/SPP/ASK25046</t>
  </si>
  <si>
    <t>KRIND/S/SPP/ASK25014-2</t>
  </si>
  <si>
    <t>Vijay</t>
  </si>
  <si>
    <t>vijay@nilpeter.com</t>
  </si>
  <si>
    <t>KRIND/S/SPP/ASK25023</t>
  </si>
  <si>
    <t>KRIND/S/SPP/ASK25022</t>
  </si>
  <si>
    <t>KRIND/S/SPP/ASK25040</t>
  </si>
  <si>
    <t>KRIND/S/BD/ASK25049-1</t>
  </si>
  <si>
    <t>Ganga. R</t>
  </si>
  <si>
    <t>93807 08782</t>
  </si>
  <si>
    <t>ganga.lakshmi@zf.com</t>
  </si>
  <si>
    <t>KRIND/S/SPP/ASK25059</t>
  </si>
  <si>
    <t>KRIND/S/SPP/ASK25058</t>
  </si>
  <si>
    <t>E10006109</t>
  </si>
  <si>
    <t>Dinesh kumar</t>
  </si>
  <si>
    <t>KRIND/S/SPP/ASK25007</t>
  </si>
  <si>
    <t>KRIND/S/SPP/ASK25070</t>
  </si>
  <si>
    <t>KRIND/S/MLU/ASK25039-3</t>
  </si>
  <si>
    <t>CAP002996</t>
  </si>
  <si>
    <t>Mahindra Research valley(FD)</t>
  </si>
  <si>
    <t> Sathishram R</t>
  </si>
  <si>
    <t>R.SATHISHRAM@mahindra.com</t>
  </si>
  <si>
    <t>12002658/001</t>
  </si>
  <si>
    <t>KRIND/S/MC/ASK24052</t>
  </si>
  <si>
    <t>MRVF/X04/3400744842</t>
  </si>
  <si>
    <t>Rajganesh</t>
  </si>
  <si>
    <t>ganesh.raj@mahindra.com</t>
  </si>
  <si>
    <t>KRIND/S/MC/ASK25055</t>
  </si>
  <si>
    <t>Daimler India Commercial Vehicles Pvt Ltd</t>
  </si>
  <si>
    <t>Arun Kumar S</t>
  </si>
  <si>
    <t>sasi.kumaran@daimlertruck.com</t>
  </si>
  <si>
    <t>KXIND/S/ASK/MC/25053</t>
  </si>
  <si>
    <t>Sundaram Fastners Ltd</t>
  </si>
  <si>
    <t>KRIND/ASK/SPP/25051</t>
  </si>
  <si>
    <t>KRIND/S/MC/ASK25067</t>
  </si>
  <si>
    <t>Called customer , waiting for customer input</t>
  </si>
  <si>
    <t>KRIND/S/MLU/ASK25060</t>
  </si>
  <si>
    <t xml:space="preserve">Rs 20023 Offer month changed </t>
  </si>
  <si>
    <t>KRIND/S/SPP/ASK25045</t>
  </si>
  <si>
    <t>Suresh</t>
  </si>
  <si>
    <t>suresh.a@grundfos.com</t>
  </si>
  <si>
    <t>13003908/001</t>
  </si>
  <si>
    <t>KRIND/S/SPP/ASK25006</t>
  </si>
  <si>
    <t>Rs 265420 due</t>
  </si>
  <si>
    <t>KRIND/SK/RL/25009</t>
  </si>
  <si>
    <t xml:space="preserve">Rs 60000 dicounted </t>
  </si>
  <si>
    <t>KRIND/S/SPP/ASK25063</t>
  </si>
  <si>
    <t>KRIND/S/SPP/ASK25020-1</t>
  </si>
  <si>
    <t xml:space="preserve">PO will not come </t>
  </si>
  <si>
    <t>KRIND/S/MLU/ASK25043</t>
  </si>
  <si>
    <t>Salcomp Manufacturing India Private Limited</t>
  </si>
  <si>
    <t xml:space="preserve">Maintenace </t>
  </si>
  <si>
    <t>Muthukumar.M</t>
  </si>
  <si>
    <t>11004093/001</t>
  </si>
  <si>
    <t>sparespr.inductivestipl1@salcomp.com</t>
  </si>
  <si>
    <t>KRIND/S/RL/ASK25036</t>
  </si>
  <si>
    <t xml:space="preserve">Project delayed due to costing and approvels </t>
  </si>
  <si>
    <t>KRIND/ASK/SPP/25051-1</t>
  </si>
  <si>
    <t>KRIND/S/RL/ASK25052</t>
  </si>
  <si>
    <t>KRIND/S/RL/ASK25065</t>
  </si>
  <si>
    <t>KRIND/S/SPP/ASK25044</t>
  </si>
  <si>
    <t>KRIND/S/SPP/ASK25034</t>
  </si>
  <si>
    <t>Vestas Wind Technology India Pvt Ltd</t>
  </si>
  <si>
    <t>81476 85781</t>
  </si>
  <si>
    <t>KRIND/S/SPP/ASK2400034</t>
  </si>
  <si>
    <t>KKI00369/2024-25(OTH140)</t>
  </si>
  <si>
    <t>KRIND/S/SPP/ASK25041</t>
  </si>
  <si>
    <t xml:space="preserve">Purchase </t>
  </si>
  <si>
    <t>Ganga Lakshmi</t>
  </si>
  <si>
    <t>08002803/001 08002803/002 08002794/001 08002787/001 08002787/002
08002787/003 08002779/001 08002779/002 08002779/003
19008921/001</t>
  </si>
  <si>
    <t>KRIND/S/MC/ASK25062</t>
  </si>
  <si>
    <t>KRIND/S/MC/ASK25065-1</t>
  </si>
  <si>
    <t>KRIND/S/SPP/ASK25015</t>
  </si>
  <si>
    <t>customer planning to scrab the machine</t>
  </si>
  <si>
    <t>KRIND/S/SPP/ASK25038</t>
  </si>
  <si>
    <t>KRIND/S/RetroFIT/ASK25029</t>
  </si>
  <si>
    <t>KSB MIL Controls Limited</t>
  </si>
  <si>
    <t>Nideesh</t>
  </si>
  <si>
    <t>Nidheesh.P@ksb.com</t>
  </si>
  <si>
    <t>13004409/001</t>
  </si>
  <si>
    <t>KRIND/S/SPP/ASK25017</t>
  </si>
  <si>
    <t xml:space="preserve">Rs 461122 offer value ,Po will not come , need to send new offer </t>
  </si>
  <si>
    <t>KRIND/S/BD/ASK25016</t>
  </si>
  <si>
    <t>Rs 263980 offer given , Gajendra is taking care from Bangalore office</t>
  </si>
  <si>
    <t>10009193_001</t>
  </si>
  <si>
    <t>KRIND/S/MLU/ASK25072</t>
  </si>
  <si>
    <t>KRIND/S/SPP/ASK25071</t>
  </si>
  <si>
    <t>KRIND/S/SPP/ASK25073</t>
  </si>
  <si>
    <t>KRIND/S/SPP/ASK25074</t>
  </si>
  <si>
    <t>KRIND/S/MC/ASK25075</t>
  </si>
  <si>
    <t>KRIND/S/MC/ASK25076</t>
  </si>
  <si>
    <t>KRIND/S/BD/ASK25077</t>
  </si>
  <si>
    <t>KRIND/S/BD/ASK25078</t>
  </si>
  <si>
    <t>KRIND/S/SPP/ASK25079</t>
  </si>
  <si>
    <t>Asset cant add</t>
  </si>
  <si>
    <t>KARDEX INDIA - LIVE OFFER FUNNEL - VINAY - NORTH</t>
  </si>
  <si>
    <t>* Updated by Geetha &amp; Amrender</t>
  </si>
  <si>
    <t>Neemarana</t>
  </si>
  <si>
    <t>tool store</t>
  </si>
  <si>
    <t>Himanshu Khandelwal</t>
  </si>
  <si>
    <t>himanshu1.khandelwal@heromotocorp.com</t>
  </si>
  <si>
    <t>13000230/001</t>
  </si>
  <si>
    <t>KXIND/N/VJ/SPP/25006</t>
  </si>
  <si>
    <t>Feb</t>
  </si>
  <si>
    <t>MOGLIX10331600301550455</t>
  </si>
  <si>
    <t>Yes-V</t>
  </si>
  <si>
    <t>KXIND/N/VJ/SPP/24037</t>
  </si>
  <si>
    <t>'10331600101552948</t>
  </si>
  <si>
    <t>Adverb India</t>
  </si>
  <si>
    <t>Noida</t>
  </si>
  <si>
    <t>Barun Kumar Panda</t>
  </si>
  <si>
    <t>barun.panda@addverb.com</t>
  </si>
  <si>
    <t>23000845/001</t>
  </si>
  <si>
    <t>23000845/002</t>
  </si>
  <si>
    <t>KXIND/N/VJ/SPP/24040</t>
  </si>
  <si>
    <t>SR not Reflected</t>
  </si>
  <si>
    <t>23000845/003</t>
  </si>
  <si>
    <t>Himanshu</t>
  </si>
  <si>
    <t>himanshu.kumar@subros.com</t>
  </si>
  <si>
    <t>11006639/001</t>
  </si>
  <si>
    <t>KXIND/N/VJ/SPP/25005A</t>
  </si>
  <si>
    <t>Ghaziabad</t>
  </si>
  <si>
    <t>Brij Lal Meena</t>
  </si>
  <si>
    <t>brijlalmeena@bel.co.in</t>
  </si>
  <si>
    <t>14000084/001</t>
  </si>
  <si>
    <t>KXIND/N/SPP/VJ24-016</t>
  </si>
  <si>
    <t>GEMC-511687724211616-25032025</t>
  </si>
  <si>
    <t>Yes - V</t>
  </si>
  <si>
    <t>Lucknow</t>
  </si>
  <si>
    <t>Shyam Singh</t>
  </si>
  <si>
    <t>shyam.singh1@tatamotors.com</t>
  </si>
  <si>
    <t>07008613/001</t>
  </si>
  <si>
    <t>KXIND/N/MC/VJ25-008A</t>
  </si>
  <si>
    <t>Sushil Chaudhary</t>
  </si>
  <si>
    <t>sushilchaudhary@bluestarindia.com</t>
  </si>
  <si>
    <t>18002096/001</t>
  </si>
  <si>
    <t>KXIND/N/VJ/SPP/25001A</t>
  </si>
  <si>
    <t>Gurgaon</t>
  </si>
  <si>
    <t>export</t>
  </si>
  <si>
    <t>Gaurav</t>
  </si>
  <si>
    <t>gaurav1@heromotocorp.com</t>
  </si>
  <si>
    <t>15003407/001</t>
  </si>
  <si>
    <t>KXIND/N/VJ/SPP/25002</t>
  </si>
  <si>
    <t>Morinda</t>
  </si>
  <si>
    <t>Rajeev Saini</t>
  </si>
  <si>
    <t>rajeev.kumarsaini@fst.com</t>
  </si>
  <si>
    <t>24003544/001</t>
  </si>
  <si>
    <t>KXIND/N/VJ/SPP/25003</t>
  </si>
  <si>
    <t>Manesar</t>
  </si>
  <si>
    <t>Naveen K</t>
  </si>
  <si>
    <t>naveenk@subros.com</t>
  </si>
  <si>
    <t>17002680/001</t>
  </si>
  <si>
    <t>KXIND/N/VJ/SPP/25004A</t>
  </si>
  <si>
    <t>6500021311 &amp; 6500021403</t>
  </si>
  <si>
    <t>01-04-2025 &amp; 12-04-2025</t>
  </si>
  <si>
    <t>93504.4 + 23290.5 = (116795)</t>
  </si>
  <si>
    <t>17002680/003</t>
  </si>
  <si>
    <t>Escors Kubota Ltd.</t>
  </si>
  <si>
    <t>Faridabad</t>
  </si>
  <si>
    <t>Neel Kamal Arya</t>
  </si>
  <si>
    <t>neel.arya@escortskubota.com</t>
  </si>
  <si>
    <t>17000899/002</t>
  </si>
  <si>
    <t>KXIND/N/VJ/SPP/24035</t>
  </si>
  <si>
    <t>Janaury</t>
  </si>
  <si>
    <t>Jan</t>
  </si>
  <si>
    <t>YES - V</t>
  </si>
  <si>
    <t>Mohan Kant</t>
  </si>
  <si>
    <t>mohan.kant@heromotocorp.com</t>
  </si>
  <si>
    <t>KXIND/N/VJ/SPP/25007</t>
  </si>
  <si>
    <t>Arun Sharma</t>
  </si>
  <si>
    <t>arun.sharma3@escortskubota.com</t>
  </si>
  <si>
    <t>18000394/001</t>
  </si>
  <si>
    <t>KXIND/N/VJ/SPP/25009</t>
  </si>
  <si>
    <t>901964978 &amp; 901965757</t>
  </si>
  <si>
    <t>28-02-2025 &amp; 20-03-2025</t>
  </si>
  <si>
    <t>244045 &amp; 149272.5</t>
  </si>
  <si>
    <t>transmission</t>
  </si>
  <si>
    <t>Vikas Sharma</t>
  </si>
  <si>
    <t>vikas.sharma@escortskubota.com</t>
  </si>
  <si>
    <t>18000394/002</t>
  </si>
  <si>
    <t>KXIND/N/VJ/SPP/25010</t>
  </si>
  <si>
    <t>KXIND/N/VJ/SPP/25011</t>
  </si>
  <si>
    <t>Jaipur</t>
  </si>
  <si>
    <t>Biswajit deka</t>
  </si>
  <si>
    <t>biswajit.d@in.bosch.com</t>
  </si>
  <si>
    <t>02005983/001</t>
  </si>
  <si>
    <t>KXIND/N/VJ/SPP/25012</t>
  </si>
  <si>
    <t>0085391745/POIN004997</t>
  </si>
  <si>
    <t>antenna</t>
  </si>
  <si>
    <t>Suresh Saini</t>
  </si>
  <si>
    <t>sureskumarsaini@bel.co.in</t>
  </si>
  <si>
    <t>04007012/003</t>
  </si>
  <si>
    <t>KXIND/N/VJ/SPP/25013</t>
  </si>
  <si>
    <t>04007012/004</t>
  </si>
  <si>
    <t>13000073/001</t>
  </si>
  <si>
    <t>13000074/001</t>
  </si>
  <si>
    <t>MOGLIX10331600101580906</t>
  </si>
  <si>
    <t>13000243/001</t>
  </si>
  <si>
    <t>KXIND/N/VJ/SPP/25014</t>
  </si>
  <si>
    <t>International Tractors Ltd</t>
  </si>
  <si>
    <t>Hoshiarpur- Punjab</t>
  </si>
  <si>
    <t>Sunil Abrol</t>
  </si>
  <si>
    <t>sunil.abrol@sonalika.com</t>
  </si>
  <si>
    <t>23002676/001</t>
  </si>
  <si>
    <t>KXIND/N/SPP/VJ25-0015A</t>
  </si>
  <si>
    <t>JCB India Ltd.</t>
  </si>
  <si>
    <t>Ballabgarh</t>
  </si>
  <si>
    <t>Sachin Rana</t>
  </si>
  <si>
    <t>sachin-1.kumar@jcb.com</t>
  </si>
  <si>
    <t>10005720/001</t>
  </si>
  <si>
    <t>KXIND/N/VJ/SPP/25016A</t>
  </si>
  <si>
    <t>Rajesh Sharma</t>
  </si>
  <si>
    <t>rajesh.sharma@escortskubota.com</t>
  </si>
  <si>
    <t>17000899/001</t>
  </si>
  <si>
    <t>KXIND/N/VJ/SPP/25017B</t>
  </si>
  <si>
    <t>Haridwar</t>
  </si>
  <si>
    <t>Kamal Kant</t>
  </si>
  <si>
    <t>kamal.kant@heromotocorp.com</t>
  </si>
  <si>
    <t>07001796/001</t>
  </si>
  <si>
    <t>KXIND/N/VJ/SPP/25018</t>
  </si>
  <si>
    <t>Lalit Sharma</t>
  </si>
  <si>
    <t>lalitsharma@bluestarindia.com</t>
  </si>
  <si>
    <t>18002097/001</t>
  </si>
  <si>
    <t>KXIND/N/SER/VJ/25-001</t>
  </si>
  <si>
    <t>KXIND/N/VJ/MC/25001</t>
  </si>
  <si>
    <t>KXIND/N/VJ/SPP/25019</t>
  </si>
  <si>
    <t>Naresh yadav</t>
  </si>
  <si>
    <t>nareshk.yadav@in.bosch.com</t>
  </si>
  <si>
    <t>04007439/001</t>
  </si>
  <si>
    <t>KXIND/N/VJ/SPP/25020</t>
  </si>
  <si>
    <t>Issue with c2, unable to enter the case</t>
  </si>
  <si>
    <t>KXIND/N/VJ/SPP/25021</t>
  </si>
  <si>
    <t>Radar</t>
  </si>
  <si>
    <t>Satendra</t>
  </si>
  <si>
    <t>satendranegi@bel.co.in</t>
  </si>
  <si>
    <t>14000083/001</t>
  </si>
  <si>
    <t>KXIND/N/RL/VJ-25001</t>
  </si>
  <si>
    <t xml:space="preserve"> Gurgaon</t>
  </si>
  <si>
    <t>Nikhil</t>
  </si>
  <si>
    <t>nikhil2.gupta@heromotocorp.com</t>
  </si>
  <si>
    <t>06002968/001</t>
  </si>
  <si>
    <t>KXIND/N/VJ/SPP/25022</t>
  </si>
  <si>
    <t>KXIND/N/VJ/SPP/25023</t>
  </si>
  <si>
    <t>KXIND/N/VJ/SPP/25024</t>
  </si>
  <si>
    <t>Knorr-Bremse India Ltd.</t>
  </si>
  <si>
    <t>Palwal</t>
  </si>
  <si>
    <t>Rahul Tyagi</t>
  </si>
  <si>
    <t>rahul.tyagi2@knorr-bremse.com</t>
  </si>
  <si>
    <t>KXIND/N/VJ/SPP/25025</t>
  </si>
  <si>
    <t>KXIND/N/VJ/RET/25026</t>
  </si>
  <si>
    <t>UW call, not updated in c4</t>
  </si>
  <si>
    <t>KXIND/N/VJ/SPP/25027</t>
  </si>
  <si>
    <t>Rudrapur</t>
  </si>
  <si>
    <t>Laxmi dutt</t>
  </si>
  <si>
    <t>laxmi_datt@sansera.in</t>
  </si>
  <si>
    <t>12004078/001</t>
  </si>
  <si>
    <t>KXIND/N/VJ/SPP/25028</t>
  </si>
  <si>
    <t xml:space="preserve"> Kotdwara</t>
  </si>
  <si>
    <t>Lakhanpal</t>
  </si>
  <si>
    <t>lakhpalsinghsaini@bel.co.in</t>
  </si>
  <si>
    <t>06002289/001</t>
  </si>
  <si>
    <t>KXIND/N/VJ/SPP/25029</t>
  </si>
  <si>
    <t>06002289/002</t>
  </si>
  <si>
    <t>06002289/003</t>
  </si>
  <si>
    <t>06002289/004</t>
  </si>
  <si>
    <t>06002289/005</t>
  </si>
  <si>
    <t>04006953/001</t>
  </si>
  <si>
    <t>Metso</t>
  </si>
  <si>
    <t>Alwar</t>
  </si>
  <si>
    <t>Rajbahadur</t>
  </si>
  <si>
    <t>rajbahadur.singh@metso.com</t>
  </si>
  <si>
    <t>24004401/001</t>
  </si>
  <si>
    <t>KXIND/N/VJ/SPP/25030</t>
  </si>
  <si>
    <t>KXIND/N/VJ/SPP/25031</t>
  </si>
  <si>
    <t>Deepak</t>
  </si>
  <si>
    <t>ppc_plant4@sansera.in</t>
  </si>
  <si>
    <t>14006313/001</t>
  </si>
  <si>
    <t>KXIND/N/VJ/SPP/25032</t>
  </si>
  <si>
    <t xml:space="preserve"> Varanasi</t>
  </si>
  <si>
    <t>Alok</t>
  </si>
  <si>
    <t>alokk.singh@bhel.in</t>
  </si>
  <si>
    <t>11005295/001</t>
  </si>
  <si>
    <t>KXIND/N/VJ/SPP/25033</t>
  </si>
  <si>
    <t>Nareshk.yadav@in.bosch.com</t>
  </si>
  <si>
    <t>KXIND/N/VJ/SPP/25034</t>
  </si>
  <si>
    <t>KXIND/N/VJ/SPP/25035</t>
  </si>
  <si>
    <t>MOGLIX10331600101684740 &amp; 5800000642</t>
  </si>
  <si>
    <t>06-08-2025 &amp; 11-8-25</t>
  </si>
  <si>
    <t>Export</t>
  </si>
  <si>
    <t>KXIND/N/VJ/SPP/25036</t>
  </si>
  <si>
    <t>PHOENIX Contact India Pvt Ltd</t>
  </si>
  <si>
    <t>Steve Jose</t>
  </si>
  <si>
    <t>jsteve@phoenixcontact.co.in</t>
  </si>
  <si>
    <t>19000402/001</t>
  </si>
  <si>
    <t>KXIND/N/SER/VJ25-003</t>
  </si>
  <si>
    <t>Motherson Techno tools</t>
  </si>
  <si>
    <t>Manoj</t>
  </si>
  <si>
    <t>manoj.kumar@motherson.com</t>
  </si>
  <si>
    <t>23003270/001</t>
  </si>
  <si>
    <t>KXIND/N/VJ/MC/25002</t>
  </si>
  <si>
    <t>'4800001110</t>
  </si>
  <si>
    <t>Kapil</t>
  </si>
  <si>
    <t>kapil.dutt@escortskubota.com</t>
  </si>
  <si>
    <t>KXIND/N/VJ/SPP/25037</t>
  </si>
  <si>
    <t>Virendra</t>
  </si>
  <si>
    <t>virender.yadav@jcb.com</t>
  </si>
  <si>
    <t>KXIND/N/VJ/SPP/25038</t>
  </si>
  <si>
    <t>3500123302</t>
  </si>
  <si>
    <t>Kala Amb</t>
  </si>
  <si>
    <t>KXIND/N/VJ/SPP/25039</t>
  </si>
  <si>
    <t>'5000136889</t>
  </si>
  <si>
    <t xml:space="preserve">Govind </t>
  </si>
  <si>
    <t>govind.r@in.bosch.com</t>
  </si>
  <si>
    <t>KXIND/N/MC/VJ25040</t>
  </si>
  <si>
    <t>9710840/001</t>
  </si>
  <si>
    <t>KXIND/N/VJ/SPP/25041</t>
  </si>
  <si>
    <t>KXIND/N/VJ/SPP/25042</t>
  </si>
  <si>
    <t>4410069809, 810, 811</t>
  </si>
  <si>
    <t>MSIL</t>
  </si>
  <si>
    <t>QA-MA2</t>
  </si>
  <si>
    <t>Sunil chauhan</t>
  </si>
  <si>
    <t>sunil.chauhan2@maruti.co.in</t>
  </si>
  <si>
    <t>0003745/001</t>
  </si>
  <si>
    <t>KXIND/N/VJ/SPP/25043</t>
  </si>
  <si>
    <t>Sasnera</t>
  </si>
  <si>
    <t>KXIND/N/VJ/SPP/25044</t>
  </si>
  <si>
    <t>ITL</t>
  </si>
  <si>
    <t>Engine</t>
  </si>
  <si>
    <t>20000121/002</t>
  </si>
  <si>
    <t>KXIND/N/VJ/SPP/25045</t>
  </si>
  <si>
    <t>Govind Ram</t>
  </si>
  <si>
    <t>KXIND/N/VJ/SPP/25046</t>
  </si>
  <si>
    <t>KXIND/N/VJ/SPP/25047</t>
  </si>
  <si>
    <t>KXIND/N/VJ/SPP/25048</t>
  </si>
  <si>
    <t>Daikin</t>
  </si>
  <si>
    <t>Neemrana</t>
  </si>
  <si>
    <t>Line</t>
  </si>
  <si>
    <t>Sandeep</t>
  </si>
  <si>
    <t>sandeep.bhatt@daikinindia.com</t>
  </si>
  <si>
    <t>25003215/001</t>
  </si>
  <si>
    <t>KXIND/N/VJ/SPP/25049</t>
  </si>
  <si>
    <t>Escorts</t>
  </si>
  <si>
    <t>KXIND/N/VJ/SPP/25037A</t>
  </si>
  <si>
    <t>'154361</t>
  </si>
  <si>
    <t>901976474</t>
  </si>
  <si>
    <t>Bluestar</t>
  </si>
  <si>
    <t>plant</t>
  </si>
  <si>
    <t>KXIND/N/VJ/SPP/25050</t>
  </si>
  <si>
    <t>KXIND/N/SER/VJ25-004</t>
  </si>
  <si>
    <t>MC</t>
  </si>
  <si>
    <t>KXIND/N/MC/VJ/25050</t>
  </si>
  <si>
    <t>04007233/001</t>
  </si>
  <si>
    <t>Palnt 2</t>
  </si>
  <si>
    <t>KXIND/N/MC/VJ/25051</t>
  </si>
  <si>
    <t>QAMA2</t>
  </si>
  <si>
    <t>Shubham</t>
  </si>
  <si>
    <t>shubhamkumar.kaushik@maruti.co.in</t>
  </si>
  <si>
    <t>00003745/001</t>
  </si>
  <si>
    <t>KXIND/N/MC/VJ/25052</t>
  </si>
  <si>
    <t>KXIND/N/MC/VJ/25053</t>
  </si>
  <si>
    <t>Dharuhera</t>
  </si>
  <si>
    <t>Tushar</t>
  </si>
  <si>
    <t>tushar.vats@heromotocorp.com</t>
  </si>
  <si>
    <t>06003162/001</t>
  </si>
  <si>
    <t>KXIND/N/MC/VJ/25054</t>
  </si>
  <si>
    <t>KARDEX INDIA - LIVE OFFER FUNEL - NITIN - NORTH</t>
  </si>
  <si>
    <t>REMARKS</t>
  </si>
  <si>
    <t>STORES</t>
  </si>
  <si>
    <t>DESHRAJ CHECHI</t>
  </si>
  <si>
    <t>desraj.chechi@sonalika.com</t>
  </si>
  <si>
    <t>21002991/001</t>
  </si>
  <si>
    <t>KXIND/N/MC/NJ25001</t>
  </si>
  <si>
    <t>PO RECEIVED</t>
  </si>
  <si>
    <t>21002991/002</t>
  </si>
  <si>
    <t>21002991/003</t>
  </si>
  <si>
    <t>Maruti Suzuki India Ltd</t>
  </si>
  <si>
    <t>MAINTENANCE</t>
  </si>
  <si>
    <t>ANIL</t>
  </si>
  <si>
    <t>Anil2@maruti.co.in</t>
  </si>
  <si>
    <t>9003750/001</t>
  </si>
  <si>
    <t>KXIND/N/MC/NJ25002</t>
  </si>
  <si>
    <t>LAXMI DATT</t>
  </si>
  <si>
    <t>KXIND/N/MC/NJ25003</t>
  </si>
  <si>
    <t>TUSHAR VATS</t>
  </si>
  <si>
    <t>CONTRACT</t>
  </si>
  <si>
    <t>KXIND/N/MC/NJ25004</t>
  </si>
  <si>
    <t>REPEAT ORDER</t>
  </si>
  <si>
    <t>06003162/002</t>
  </si>
  <si>
    <t>PURCHASE</t>
  </si>
  <si>
    <t>KISHAN KUMAR</t>
  </si>
  <si>
    <t>kishan.maurya@heromotocorp.com</t>
  </si>
  <si>
    <t>KXIND/N/MC/NJ25005</t>
  </si>
  <si>
    <t>Autometers Aliance Ltd.</t>
  </si>
  <si>
    <t>SUDHIR</t>
  </si>
  <si>
    <t>maintenance@autometers.com</t>
  </si>
  <si>
    <t>01007122/001</t>
  </si>
  <si>
    <t>KXIND/N/SER/NJ25006</t>
  </si>
  <si>
    <t>9000/SER200556</t>
  </si>
  <si>
    <t>RANVIR RAMOLA</t>
  </si>
  <si>
    <t>ranvir.ramola@autometers.com</t>
  </si>
  <si>
    <t>KXIND/N/SPP/NJ25007</t>
  </si>
  <si>
    <t>9000/LGN202983</t>
  </si>
  <si>
    <t>NAHAN</t>
  </si>
  <si>
    <t>SACHIN</t>
  </si>
  <si>
    <t>KXIND/N/SER/NJ240076</t>
  </si>
  <si>
    <t>QUOTE IS FROM YEAR 2024</t>
  </si>
  <si>
    <t>RADAR</t>
  </si>
  <si>
    <t>DHEERAJ</t>
  </si>
  <si>
    <t>dheerajkumar@bel.co.in</t>
  </si>
  <si>
    <t>KXIND/N/SPP/NJ24-005</t>
  </si>
  <si>
    <t>ASHISH MEHER</t>
  </si>
  <si>
    <t>ashish.meher@heromotocorp.com</t>
  </si>
  <si>
    <t xml:space="preserve">KXIND/N/MC/NJ25008         </t>
  </si>
  <si>
    <t>12003547/001</t>
  </si>
  <si>
    <t>18006052/001</t>
  </si>
  <si>
    <t>ANTENNA</t>
  </si>
  <si>
    <t>SURESH KUMAR  SIAINI</t>
  </si>
  <si>
    <t>sureshkumarsaini@bel.co.in</t>
  </si>
  <si>
    <t xml:space="preserve">KXIND/N/MC/NJ25009         </t>
  </si>
  <si>
    <t>DCCS</t>
  </si>
  <si>
    <t>BHUPENDRAPRATAP</t>
  </si>
  <si>
    <t>bhupendrapratap@bel.co.in</t>
  </si>
  <si>
    <t>13000072/001</t>
  </si>
  <si>
    <t>KXIND/N/MC/NJ25010</t>
  </si>
  <si>
    <t>GEMC-511687761421027</t>
  </si>
  <si>
    <t>13000071/001</t>
  </si>
  <si>
    <t>13000075/001</t>
  </si>
  <si>
    <t>13000076/001</t>
  </si>
  <si>
    <t>17002060/001</t>
  </si>
  <si>
    <t>Claas India Pvt. Ltd.</t>
  </si>
  <si>
    <t>DINESH LAKHAN PAL</t>
  </si>
  <si>
    <t xml:space="preserve">inderjit_singh@yanmar.com&gt; </t>
  </si>
  <si>
    <t>12006771/001</t>
  </si>
  <si>
    <t>KXIND/N/MC/NJ25011</t>
  </si>
  <si>
    <t>Lohia Corp Limited</t>
  </si>
  <si>
    <t>Kanpur</t>
  </si>
  <si>
    <t>QUALITY</t>
  </si>
  <si>
    <t>VINOD SHARMA</t>
  </si>
  <si>
    <t>vinod.sharma@lohiagroup.com</t>
  </si>
  <si>
    <t>07005925/001</t>
  </si>
  <si>
    <t>KXIND/N/MC/NJ25012</t>
  </si>
  <si>
    <t>Victora Auto Pvt Ltd</t>
  </si>
  <si>
    <t>PANKAJ</t>
  </si>
  <si>
    <t>purchase.nsez@victora.co.in</t>
  </si>
  <si>
    <t>11001070/001</t>
  </si>
  <si>
    <t>KXIND/N/MC/NJ25013</t>
  </si>
  <si>
    <t>Syndicate Innovations International Ltd</t>
  </si>
  <si>
    <t>PLANNING</t>
  </si>
  <si>
    <t>MEENAKSHI</t>
  </si>
  <si>
    <t>pm@syndicateinnovations.com</t>
  </si>
  <si>
    <t>21002211/001</t>
  </si>
  <si>
    <t>KXIND/N/MC/NJ25014</t>
  </si>
  <si>
    <t>SIIL/PO/2024/ADMIN/012</t>
  </si>
  <si>
    <t>31/03/25</t>
  </si>
  <si>
    <t>21002212/001</t>
  </si>
  <si>
    <t>ANKIT UPADHYAY</t>
  </si>
  <si>
    <t>Ankit.Upadhyay@knorr-bremse.com</t>
  </si>
  <si>
    <t>12008379/001</t>
  </si>
  <si>
    <t>KXIND/N/MC/NJ240070</t>
  </si>
  <si>
    <t>2024 OFFER</t>
  </si>
  <si>
    <t>12005160/001</t>
  </si>
  <si>
    <t>12005161/001</t>
  </si>
  <si>
    <t>12005143/001</t>
  </si>
  <si>
    <t>12005181/001</t>
  </si>
  <si>
    <t>13003863/001</t>
  </si>
  <si>
    <t>13003900/001</t>
  </si>
  <si>
    <t>17006078/001</t>
  </si>
  <si>
    <t>ROHIT</t>
  </si>
  <si>
    <t>Rohit.Rousha@jcb.com</t>
  </si>
  <si>
    <t>KXIND/N/MC/NJ240072</t>
  </si>
  <si>
    <t>Eastman Cast&amp;Forge Ltd.</t>
  </si>
  <si>
    <t>Ludhiana</t>
  </si>
  <si>
    <t>SP GAUR</t>
  </si>
  <si>
    <t>storemgr@eastmanhandtools.com</t>
  </si>
  <si>
    <t>06003006/001</t>
  </si>
  <si>
    <t>KXIND/N/MC/NJ240050</t>
  </si>
  <si>
    <t>PO/24/FY24-25/8962</t>
  </si>
  <si>
    <t>DEEPAK GULATI</t>
  </si>
  <si>
    <t>KXIND/N/MC/NJ240071</t>
  </si>
  <si>
    <t>14006314/001</t>
  </si>
  <si>
    <t>MLU</t>
  </si>
  <si>
    <t>KXIND/N/SPP/NJ25017</t>
  </si>
  <si>
    <t>18/03/25</t>
  </si>
  <si>
    <t>BUDGETING IN PROCESS FOR THE REST OF THE PARTS IN THE QUOTE</t>
  </si>
  <si>
    <t>SUBROS LTD</t>
  </si>
  <si>
    <t>PANKAJ BHARDWAJ</t>
  </si>
  <si>
    <t>pankaj.bhardwaj@subros.com</t>
  </si>
  <si>
    <t>11003996/001</t>
  </si>
  <si>
    <t>KXIND/N/MC/NJ240080</t>
  </si>
  <si>
    <t>11004008/001</t>
  </si>
  <si>
    <t>11006752/001</t>
  </si>
  <si>
    <t>BRIJ LAL</t>
  </si>
  <si>
    <t>KXIND/N/SPP/NJ240037</t>
  </si>
  <si>
    <t>GEMC-511687765600142,GEMC-511687731620591,GEMC-511687730441577,GEMC-511687789579095,GEMC-511687736618005,GEMC-511687779674008</t>
  </si>
  <si>
    <t>25/03/25</t>
  </si>
  <si>
    <t xml:space="preserve">Yes - V </t>
  </si>
  <si>
    <t>HIMANSHU</t>
  </si>
  <si>
    <t>KXIND/N/MLU/NJ25018</t>
  </si>
  <si>
    <t>VICKY BATRA</t>
  </si>
  <si>
    <t>Vicky.Batra@claas.com</t>
  </si>
  <si>
    <t>KXIND/N/MLU/NJ25019</t>
  </si>
  <si>
    <t>JUNE</t>
  </si>
  <si>
    <t>17/06/25</t>
  </si>
  <si>
    <t xml:space="preserve">yes </t>
  </si>
  <si>
    <t>ARUN KANDERA</t>
  </si>
  <si>
    <t>arun.kandera@subros.com</t>
  </si>
  <si>
    <t>KXIND/N/SPP/NJ25020</t>
  </si>
  <si>
    <t>21-02-25</t>
  </si>
  <si>
    <t>APRIL</t>
  </si>
  <si>
    <t>AMIT PAL</t>
  </si>
  <si>
    <t>Amit.Pal@maruti.co.in</t>
  </si>
  <si>
    <t>09003750/001</t>
  </si>
  <si>
    <t>KXIND/N/MLU/NJ25021</t>
  </si>
  <si>
    <t>RFQ SUBMITTED</t>
  </si>
  <si>
    <t>CNH</t>
  </si>
  <si>
    <t>ATUL SEMWAL</t>
  </si>
  <si>
    <t>atul.semwal@cnhind.com</t>
  </si>
  <si>
    <t>09008692/001</t>
  </si>
  <si>
    <t>KXIND/N/SPP/NJ240085</t>
  </si>
  <si>
    <t>CG1003551</t>
  </si>
  <si>
    <t>DEEPAK</t>
  </si>
  <si>
    <t>KXIND/N/MLU/NJ25023</t>
  </si>
  <si>
    <t>28/02/25</t>
  </si>
  <si>
    <t>rudrapur</t>
  </si>
  <si>
    <t>KXIND/N/MLU/NJ25024</t>
  </si>
  <si>
    <t>AUGUST</t>
  </si>
  <si>
    <t>store@syndicateinnovations.com</t>
  </si>
  <si>
    <t>KXIND/N/MLU/NJ25022</t>
  </si>
  <si>
    <t>BHEL</t>
  </si>
  <si>
    <t>Varanasi</t>
  </si>
  <si>
    <t>SHEO SHANKAR</t>
  </si>
  <si>
    <t>96167 78354</t>
  </si>
  <si>
    <t>sheoshankar@bhel.in</t>
  </si>
  <si>
    <t>KXIND/N/MC/NJ25026</t>
  </si>
  <si>
    <t>15-03-25</t>
  </si>
  <si>
    <t>MARCH</t>
  </si>
  <si>
    <t>11005296/001</t>
  </si>
  <si>
    <t>11005297/001</t>
  </si>
  <si>
    <t>ITC</t>
  </si>
  <si>
    <t>Saharanpur</t>
  </si>
  <si>
    <t>JWALA KARADIYA</t>
  </si>
  <si>
    <t>jwala.karadiya@itc.in</t>
  </si>
  <si>
    <t>07007672/001</t>
  </si>
  <si>
    <t>KXIND/N/MLU/NJ25028</t>
  </si>
  <si>
    <t>KXIND/N/MLU/NJ25029</t>
  </si>
  <si>
    <t>CG1004011</t>
  </si>
  <si>
    <t>08006765/001</t>
  </si>
  <si>
    <t>BEL</t>
  </si>
  <si>
    <t>KXIND/N/SPP/NJ240062-A</t>
  </si>
  <si>
    <t>GEMC-511687725420308</t>
  </si>
  <si>
    <t>KXIND/N/MLU/NJ25030</t>
  </si>
  <si>
    <t>Phoenix Contact</t>
  </si>
  <si>
    <t>PALWAL</t>
  </si>
  <si>
    <t>LOKESH SINGH</t>
  </si>
  <si>
    <t>LPSingh@phoenixcontact.co.in</t>
  </si>
  <si>
    <t>19000395/001</t>
  </si>
  <si>
    <t>KXIND/N/MC/NJ25031</t>
  </si>
  <si>
    <t>23/03/25</t>
  </si>
  <si>
    <t>28/06/25</t>
  </si>
  <si>
    <t>19000402/002</t>
  </si>
  <si>
    <t>18003282/001</t>
  </si>
  <si>
    <t>17/04/25</t>
  </si>
  <si>
    <t xml:space="preserve">LALIT </t>
  </si>
  <si>
    <t>lalit.bansal@knorr-bremse.com</t>
  </si>
  <si>
    <t>RELOCATION</t>
  </si>
  <si>
    <t>KXIND/N/RL/NJ25032</t>
  </si>
  <si>
    <t>13003900/002</t>
  </si>
  <si>
    <t>15/05/25</t>
  </si>
  <si>
    <t>HEROMOTOCORP</t>
  </si>
  <si>
    <t>HARIDWAR</t>
  </si>
  <si>
    <t>KAMALKANT</t>
  </si>
  <si>
    <t>KXIND/N/MC/NJ25033</t>
  </si>
  <si>
    <t>08000374/001</t>
  </si>
  <si>
    <t>ESCORTS</t>
  </si>
  <si>
    <t>FARIDABAD</t>
  </si>
  <si>
    <t>NEELKAMAL</t>
  </si>
  <si>
    <t>KXIND/N/MC/NJ25034</t>
  </si>
  <si>
    <t>KAPIL DUTT</t>
  </si>
  <si>
    <t>kapil.dutt@escorts.co.in</t>
  </si>
  <si>
    <t>KXIND/N/MC/NJ25035</t>
  </si>
  <si>
    <t>GHAZIABAD</t>
  </si>
  <si>
    <t>MANISH</t>
  </si>
  <si>
    <t>manishkp@bel.co.in</t>
  </si>
  <si>
    <t>04007012/002</t>
  </si>
  <si>
    <t>KXIND/N/MLU/NJ25038</t>
  </si>
  <si>
    <t>15/04/25</t>
  </si>
  <si>
    <t>13005435/001</t>
  </si>
  <si>
    <t xml:space="preserve"> Panchkula</t>
  </si>
  <si>
    <t xml:space="preserve">MADAN </t>
  </si>
  <si>
    <t>madangopalsharma@bel.co.in</t>
  </si>
  <si>
    <t>03000186/001</t>
  </si>
  <si>
    <t>KXIND/N/MC/NJ23-029</t>
  </si>
  <si>
    <t>04000572/001</t>
  </si>
  <si>
    <t>08001462/001</t>
  </si>
  <si>
    <t>08001462/002</t>
  </si>
  <si>
    <t>08008723/001</t>
  </si>
  <si>
    <t>08008723/002</t>
  </si>
  <si>
    <t>08008723/003</t>
  </si>
  <si>
    <t>08001320/001</t>
  </si>
  <si>
    <t>06001775/001</t>
  </si>
  <si>
    <t>06001775/002</t>
  </si>
  <si>
    <t>06001775/003</t>
  </si>
  <si>
    <t>16000294/001</t>
  </si>
  <si>
    <t>06001775/004</t>
  </si>
  <si>
    <t>JCB INDIA</t>
  </si>
  <si>
    <t>BALLABHGARH</t>
  </si>
  <si>
    <t>VIRENDER YADAV</t>
  </si>
  <si>
    <t>Virender.YADAV@jcb.com</t>
  </si>
  <si>
    <t>KXIND/N/MLU/NJ25040</t>
  </si>
  <si>
    <t>COD</t>
  </si>
  <si>
    <t>AGRA</t>
  </si>
  <si>
    <t>COMMANDANT</t>
  </si>
  <si>
    <t>agd-oscc@nic.in</t>
  </si>
  <si>
    <t>18002777/001</t>
  </si>
  <si>
    <t>KXIND/N/MC/NJ25041</t>
  </si>
  <si>
    <t>18002777/002</t>
  </si>
  <si>
    <t>17006213/002</t>
  </si>
  <si>
    <t>17006213/003</t>
  </si>
  <si>
    <t>17006213/001</t>
  </si>
  <si>
    <t>17006213/004</t>
  </si>
  <si>
    <t>PRABHPREET</t>
  </si>
  <si>
    <t>prabhpreet.sandhu@escorts.co.in</t>
  </si>
  <si>
    <t>KXIND/N/MC/NJ240084</t>
  </si>
  <si>
    <t>13-03-25</t>
  </si>
  <si>
    <t>KNORR BREMSE</t>
  </si>
  <si>
    <t>KXIND/N/MLU/NJ25042</t>
  </si>
  <si>
    <t>30/04/25</t>
  </si>
  <si>
    <t>16/05/25</t>
  </si>
  <si>
    <t>KXIND/N/RS/NJ25043</t>
  </si>
  <si>
    <t>KXIND/N/RS/NJ25044</t>
  </si>
  <si>
    <t>26/05/25</t>
  </si>
  <si>
    <t>NARESH SHARMA</t>
  </si>
  <si>
    <t>nareshkumar.sharma@armor-iimak.com</t>
  </si>
  <si>
    <t>24006732/001</t>
  </si>
  <si>
    <t>KXIND/N/SPP/NJ/25047</t>
  </si>
  <si>
    <t>20/05/25</t>
  </si>
  <si>
    <t xml:space="preserve">Serial number not reflected </t>
  </si>
  <si>
    <t>RETROFIT</t>
  </si>
  <si>
    <t>KXIND/N/RET/NJ25039-A</t>
  </si>
  <si>
    <t>22/05/25</t>
  </si>
  <si>
    <t>KXIND/N/REL/NJ/25048</t>
  </si>
  <si>
    <t>KXIND/N/SPP/NJ/25049</t>
  </si>
  <si>
    <t>KXIND/N/SPP/NJ/25050</t>
  </si>
  <si>
    <t>Voith Paper</t>
  </si>
  <si>
    <t>RAJENDER KAPOOR</t>
  </si>
  <si>
    <t>rajender.kapoor@voith.com</t>
  </si>
  <si>
    <t>24006904/001</t>
  </si>
  <si>
    <t>KXIND/N/SPP/NJ/25051</t>
  </si>
  <si>
    <t>Exicom Tele-Systems Ltd</t>
  </si>
  <si>
    <t>DINESH</t>
  </si>
  <si>
    <t>dinesh.choudhary@exicom.in</t>
  </si>
  <si>
    <t>15003540/001</t>
  </si>
  <si>
    <t>KXIND/N/REL/NJ/25052</t>
  </si>
  <si>
    <t>15003540/002</t>
  </si>
  <si>
    <t>15003540/003</t>
  </si>
  <si>
    <t>15003540/004</t>
  </si>
  <si>
    <t>HARKESH</t>
  </si>
  <si>
    <t>harkesh@phoenixcontact.co.in</t>
  </si>
  <si>
    <t>KXIND/N/NJ/25053</t>
  </si>
  <si>
    <t>MANUFACTURING</t>
  </si>
  <si>
    <t xml:space="preserve">VIKAS </t>
  </si>
  <si>
    <t>vikas.kumar@sonalika.com</t>
  </si>
  <si>
    <t>20000122/001</t>
  </si>
  <si>
    <t>KXIND/N/MC/NJ25054</t>
  </si>
  <si>
    <t>20000122/002</t>
  </si>
  <si>
    <t>RAM SAKAL</t>
  </si>
  <si>
    <t>ramsakal@bel.co.in</t>
  </si>
  <si>
    <t>KXIND/N/SPP/NJ25055</t>
  </si>
  <si>
    <t>KXIND/N/SPP/NJ25036</t>
  </si>
  <si>
    <t>KXIND/N/SPP/NJ25056</t>
  </si>
  <si>
    <t>ROHIT PATEL</t>
  </si>
  <si>
    <t>RohitKumar.Patel@maruti.co.in</t>
  </si>
  <si>
    <t>00.003745/001</t>
  </si>
  <si>
    <t>KXIND/N/MC/NJ25057</t>
  </si>
  <si>
    <t>15001955/001</t>
  </si>
  <si>
    <t>KXIND/N/SPP/NJ25058</t>
  </si>
  <si>
    <t>31/07/25</t>
  </si>
  <si>
    <t>Inspros Engineers Pvt. Ltd.</t>
  </si>
  <si>
    <t>Bhopal</t>
  </si>
  <si>
    <t>GANESH</t>
  </si>
  <si>
    <t>maint@inspros.net</t>
  </si>
  <si>
    <t>08009769/001</t>
  </si>
  <si>
    <t>KXIND/N/MC/NJ25059</t>
  </si>
  <si>
    <t>11010665/001</t>
  </si>
  <si>
    <t>17007377/001</t>
  </si>
  <si>
    <t>RAHUL</t>
  </si>
  <si>
    <t>KXIND/N/MLU/NJ25060</t>
  </si>
  <si>
    <t>KXIND/N/MLU/NJ25061</t>
  </si>
  <si>
    <t>KANPUR</t>
  </si>
  <si>
    <t>PRABHAKAR</t>
  </si>
  <si>
    <t>prabhakar.rawat@lohiagroup.com</t>
  </si>
  <si>
    <t>15007236/001</t>
  </si>
  <si>
    <t>KXIND/N/SPP/NJ240088</t>
  </si>
  <si>
    <t>KOTDWAR</t>
  </si>
  <si>
    <t>KXIND/N/MLU/NJ25062</t>
  </si>
  <si>
    <t xml:space="preserve">ALOK </t>
  </si>
  <si>
    <t>KXIND/N/MLU/NJ25063</t>
  </si>
  <si>
    <t xml:space="preserve"> GEMC-511687791876629/68250167</t>
  </si>
  <si>
    <t>KXIND/N/SPP/NJ25064</t>
  </si>
  <si>
    <t>PROJECTS</t>
  </si>
  <si>
    <t>DEVENDRA SAPRA</t>
  </si>
  <si>
    <t>gmprojects@eastmanhandtools.com</t>
  </si>
  <si>
    <t>KXIND/N/MLU/NJ25065</t>
  </si>
  <si>
    <t>STEVE JOSE</t>
  </si>
  <si>
    <t>JSteve@phoenixcontact.co.in</t>
  </si>
  <si>
    <t>KXIND/N/SPP/NJ25066</t>
  </si>
  <si>
    <t>JASBIR</t>
  </si>
  <si>
    <t>imp04@eastmanhandtools.com</t>
  </si>
  <si>
    <t>KXIND/N/MC/NJ25067</t>
  </si>
  <si>
    <t>KXIND/N/MC/NJ25068</t>
  </si>
  <si>
    <t>New Holland Tractors P Ltd.(CNH Industrial India Ltd)</t>
  </si>
  <si>
    <t>atul.Semwal@cnhind.com</t>
  </si>
  <si>
    <t>KXIND/N/MC/NJ25069</t>
  </si>
  <si>
    <t>KXIND/N/MC/NJ25070</t>
  </si>
  <si>
    <t>NAVEEN</t>
  </si>
  <si>
    <t>KXIND/N/MC/NJ25071</t>
  </si>
  <si>
    <t xml:space="preserve"> Ghaziabad</t>
  </si>
  <si>
    <t>99002780/002</t>
  </si>
  <si>
    <t>KXIND/N/MLU/NJ25072</t>
  </si>
  <si>
    <t>NOIDA</t>
  </si>
  <si>
    <t>YOGENDRA YADAV</t>
  </si>
  <si>
    <t>yogendra.yadav@cnh.com</t>
  </si>
  <si>
    <t>KXIND/N/MLU/NJ25073</t>
  </si>
  <si>
    <t>CG1003999</t>
  </si>
  <si>
    <t>KXIND/N/MLU/NJ25074</t>
  </si>
  <si>
    <t>KXIND/N/SPP/NJ25075</t>
  </si>
  <si>
    <t>KXIND/N/SPP/NJ25076</t>
  </si>
  <si>
    <t>TARUN</t>
  </si>
  <si>
    <t>tarun.chaprana@escortskubota.com</t>
  </si>
  <si>
    <t>KXIND/N/SPP/NJ25077</t>
  </si>
  <si>
    <t>01.008651/001</t>
  </si>
  <si>
    <t>OFFER DIRECTLY ON GEM PORTAL</t>
  </si>
  <si>
    <t>GEMC-5116877585441654</t>
  </si>
  <si>
    <t>99.002780/2</t>
  </si>
  <si>
    <t>00.011492/001</t>
  </si>
  <si>
    <t>03005210/001</t>
  </si>
  <si>
    <t>MOHIT</t>
  </si>
  <si>
    <t>8076850687        </t>
  </si>
  <si>
    <t>mohit.kumar7@escortskubota.com</t>
  </si>
  <si>
    <t>KXIND/N/SPP/NJ25078</t>
  </si>
  <si>
    <t>Bharat petrolium corporation Ltd.</t>
  </si>
  <si>
    <t>Bina</t>
  </si>
  <si>
    <t>HARISH VISHWAKARMA</t>
  </si>
  <si>
    <t>harishvishvakar@bharatpetroleum.in</t>
  </si>
  <si>
    <t>13005519/001</t>
  </si>
  <si>
    <t>KXIND/N/MLU/NJ25079</t>
  </si>
  <si>
    <t>13005553/001</t>
  </si>
  <si>
    <t>KXIND/N/MLU/NJ25080</t>
  </si>
  <si>
    <t>neelkamal.arya@escorts.co.in</t>
  </si>
  <si>
    <t>KXIND/N/MLU/NJ25081</t>
  </si>
  <si>
    <t>KXIND/N/MC/NJ25082</t>
  </si>
  <si>
    <t>KXIND/N/MC/NJ25083</t>
  </si>
  <si>
    <t>DHANPAL SINGH</t>
  </si>
  <si>
    <t>dhanpal_singh@yanmar.com</t>
  </si>
  <si>
    <t>KXIND/N/MC/NJ25084</t>
  </si>
  <si>
    <t>KXIND/N/MC/NJ25085</t>
  </si>
  <si>
    <t>SUNIL</t>
  </si>
  <si>
    <t>sunil1.kumar@lohiagroup.com</t>
  </si>
  <si>
    <t>KXIND/N/MC/NJ25086</t>
  </si>
  <si>
    <t>19000401/001</t>
  </si>
  <si>
    <t>KXIND/N/MC/NJ25087</t>
  </si>
  <si>
    <t>KXIND/N/MC/NJ25088</t>
  </si>
  <si>
    <t>DEEPAK JAIN</t>
  </si>
  <si>
    <t>deepakkumarjain@bharatpetroleum.in</t>
  </si>
  <si>
    <t>KXIND/N/MC/NJ25089</t>
  </si>
  <si>
    <t>KXIND/N/MLU/25090</t>
  </si>
  <si>
    <t>YADAV</t>
  </si>
  <si>
    <t>nninfra737@gmail.com</t>
  </si>
  <si>
    <t>KXIND/N/RL/25063</t>
  </si>
  <si>
    <t>KXIND/N/SPP/25091</t>
  </si>
  <si>
    <t>KXIND/N/MC/25092</t>
  </si>
  <si>
    <t xml:space="preserve">ARUN </t>
  </si>
  <si>
    <t>KXIND/N/SPP/25093</t>
  </si>
  <si>
    <t>13005438/001</t>
  </si>
  <si>
    <t>KXIND/N/MC/25094</t>
  </si>
  <si>
    <t>04007012/001</t>
  </si>
  <si>
    <t>AKSHAY ABROL</t>
  </si>
  <si>
    <t>akshay.abrol@sonalika.com</t>
  </si>
  <si>
    <t>20000123/001</t>
  </si>
  <si>
    <t>KXIND/N/MC/25095</t>
  </si>
  <si>
    <t>KXIND/N/MC/25096-A</t>
  </si>
  <si>
    <t>POWERTRAIN</t>
  </si>
  <si>
    <t>PRADEEP KUMAR</t>
  </si>
  <si>
    <t>pradeep.kumar14@sonalika.com</t>
  </si>
  <si>
    <t>23001072/001</t>
  </si>
  <si>
    <t>KXIND/N/MC/25097</t>
  </si>
  <si>
    <t>23001072/002</t>
  </si>
  <si>
    <t>23001072/003</t>
  </si>
  <si>
    <t>prabhpreet.singh@sonalika.com</t>
  </si>
  <si>
    <t>23002676/002</t>
  </si>
  <si>
    <t>23002676/003</t>
  </si>
  <si>
    <t>23002676/004</t>
  </si>
  <si>
    <t>KXIND/N/SPP/25098</t>
  </si>
  <si>
    <t>DEEPANSHU VARSHNEY</t>
  </si>
  <si>
    <t>deepanshu.varshney@procx.in</t>
  </si>
  <si>
    <t>KXIND/N/SPP/25099</t>
  </si>
  <si>
    <t>KXIND/N/SPP/25100</t>
  </si>
  <si>
    <t>KARDEX INDIA - LIVE OFFER FUNEL - PANKAJ - EAST</t>
  </si>
  <si>
    <t>Surya Nepal Pvt Ltd</t>
  </si>
  <si>
    <t>Nepal</t>
  </si>
  <si>
    <t>Mr. Shiva Kharel</t>
  </si>
  <si>
    <t>0977-9802902507</t>
  </si>
  <si>
    <t>shiva.kharel@snpl.com.np</t>
  </si>
  <si>
    <t>11005649/001</t>
  </si>
  <si>
    <t>KXIND/E/PKS/SPP/25001</t>
  </si>
  <si>
    <t>Yet recei balance in June</t>
  </si>
  <si>
    <t>On hold</t>
  </si>
  <si>
    <t>Bhubneshwar</t>
  </si>
  <si>
    <t xml:space="preserve">Mr. Priyabrata Samal </t>
  </si>
  <si>
    <t>priyabrata.samal@hal-india.co.in</t>
  </si>
  <si>
    <t>KRIND/S/MC/ASK2300039-R2</t>
  </si>
  <si>
    <t>Koraput</t>
  </si>
  <si>
    <t>Mr.Pravat Panda</t>
  </si>
  <si>
    <t>pravat.kumar@hal-india.co.in</t>
  </si>
  <si>
    <t>05000254/001</t>
  </si>
  <si>
    <t>KXIND/E/PKS/SPP/24029</t>
  </si>
  <si>
    <t>HBK/243I-1226-52</t>
  </si>
  <si>
    <t>4% discount</t>
  </si>
  <si>
    <t>Maithon Power Ltd</t>
  </si>
  <si>
    <t>Dhanbad</t>
  </si>
  <si>
    <t>Mr. Partho Bhattacharaya</t>
  </si>
  <si>
    <t>partho.bhattacharyya@tatapower.com</t>
  </si>
  <si>
    <t>11010120/001</t>
  </si>
  <si>
    <t>KXIND/E/MC/PKS25002</t>
  </si>
  <si>
    <t>Kolkata</t>
  </si>
  <si>
    <t>Mr.Ritesh Kumar</t>
  </si>
  <si>
    <t>kumar.ritesh@itc.in</t>
  </si>
  <si>
    <t>06009312/001</t>
  </si>
  <si>
    <t>KXIND/E/PKS/SPP/25003</t>
  </si>
  <si>
    <t>Industrial Energy Limited</t>
  </si>
  <si>
    <t>Kalinganagar</t>
  </si>
  <si>
    <t>Mr.Subhasish Dhal</t>
  </si>
  <si>
    <t>subhasish.dhal@tatapower.com</t>
  </si>
  <si>
    <t>KXIND/E/MC/PKS25004</t>
  </si>
  <si>
    <t>Jamshedpur</t>
  </si>
  <si>
    <t>Mr. Tapan Sahoo</t>
  </si>
  <si>
    <t>tapan.sahoo@tatacummins.com</t>
  </si>
  <si>
    <t>11001751/001</t>
  </si>
  <si>
    <t>KXIND/E/MC/PKS25005</t>
  </si>
  <si>
    <t>KXIND/E/PKS/SPP/25006</t>
  </si>
  <si>
    <t>6% discount offered</t>
  </si>
  <si>
    <t>Mr. Mukesh Singh</t>
  </si>
  <si>
    <t>mukesh.s@tatamotors.com</t>
  </si>
  <si>
    <t>12002500/001</t>
  </si>
  <si>
    <t>KXIND/E/MC/PKS24009</t>
  </si>
  <si>
    <t>LPO rate Po</t>
  </si>
  <si>
    <t>The Tata Power Company Limited</t>
  </si>
  <si>
    <t>Mr. Sushil Choubey</t>
  </si>
  <si>
    <t>sushilchoubey@tatapower.com</t>
  </si>
  <si>
    <t>09005105/001</t>
  </si>
  <si>
    <t>KRIND/PKS/MC/250010</t>
  </si>
  <si>
    <t>KXIND/E/PKS/SPP/25011</t>
  </si>
  <si>
    <t>KXIND/E/PKS/SPP/25012</t>
  </si>
  <si>
    <t>KXIND/E/PKS/SPP/25013</t>
  </si>
  <si>
    <t>KXIND/E/PKS/SPP/25015</t>
  </si>
  <si>
    <t>KXIND/E/PKS/SPP/25014</t>
  </si>
  <si>
    <t>11004682/001</t>
  </si>
  <si>
    <t>977-9802902507</t>
  </si>
  <si>
    <t>KXIND/E/MC/PKS25016</t>
  </si>
  <si>
    <t>4500035464/465</t>
  </si>
  <si>
    <t>PO received on 13/11/25, Po in two part</t>
  </si>
  <si>
    <t>Mr. Badrinath Jha</t>
  </si>
  <si>
    <t>977-9855022773</t>
  </si>
  <si>
    <t>badrinath.jha@snpl.com.np</t>
  </si>
  <si>
    <t>14006317/001</t>
  </si>
  <si>
    <t>KXIND/E/MC/PKS25017</t>
  </si>
  <si>
    <t>Tata Steel Growth Shop Ltd</t>
  </si>
  <si>
    <t>Sanjeev Mishra</t>
  </si>
  <si>
    <t>Info.nrsales@gmail.com</t>
  </si>
  <si>
    <t>11006636/001</t>
  </si>
  <si>
    <t>KXIND/E/PKS/SPP/25007</t>
  </si>
  <si>
    <t>NRS/ 094 /24-25</t>
  </si>
  <si>
    <t>PO n offer to third party - N.R.Sales</t>
  </si>
  <si>
    <t>Mr. Barun Panda</t>
  </si>
  <si>
    <t>KXIND/E/PKS/SPP/25018</t>
  </si>
  <si>
    <t>Part PO</t>
  </si>
  <si>
    <t>KXIND/E/PKS/SPP/25020</t>
  </si>
  <si>
    <t>PO process after all issue resolved</t>
  </si>
  <si>
    <t>KXIND/E/PKS/SPP/25021</t>
  </si>
  <si>
    <t>Received PO on 23/8/25</t>
  </si>
  <si>
    <t>Mr. Pravat Panda</t>
  </si>
  <si>
    <t>10002336/001</t>
  </si>
  <si>
    <t>KXIND/E/PKS/SPP/25022</t>
  </si>
  <si>
    <t>KXIND/E/PKS/SPP/250023</t>
  </si>
  <si>
    <t>KXIND/E/PKS/SPP/250024</t>
  </si>
  <si>
    <t>Kharagpur</t>
  </si>
  <si>
    <t>Mr. Sandip Das</t>
  </si>
  <si>
    <t>sandip.das@tatahitachi.co.in</t>
  </si>
  <si>
    <t>09004398/001</t>
  </si>
  <si>
    <t>KXIND/E/PKS/SPP/250008a</t>
  </si>
  <si>
    <t>small amendment in offer</t>
  </si>
  <si>
    <t>Mr.Dhabaleswar Naik</t>
  </si>
  <si>
    <t>dhabaleswar.naik@hal-india.co.in</t>
  </si>
  <si>
    <t>KXIND/E/PKS/SPP/25027</t>
  </si>
  <si>
    <t xml:space="preserve">Mr. Manoj Mandal </t>
  </si>
  <si>
    <t>manoj.mandal1@tatasteel.com</t>
  </si>
  <si>
    <t>KXIND/E/PKS/SPP/25026</t>
  </si>
  <si>
    <t>Munger</t>
  </si>
  <si>
    <t xml:space="preserve">Mr. Anurag </t>
  </si>
  <si>
    <t>anuraag.ghosh@itc.in</t>
  </si>
  <si>
    <t>07000030/001</t>
  </si>
  <si>
    <t>KXIND/E/OTHER/PKS25028</t>
  </si>
  <si>
    <t>ACG Pam Pharma tech.Pvt.Ltd.</t>
  </si>
  <si>
    <t>ACME Tele Power Ltd.</t>
  </si>
  <si>
    <t>ANJ Trunky Project Pvt.Ltd.</t>
  </si>
  <si>
    <t>ATL India</t>
  </si>
  <si>
    <t>Axis Cades Engineering Technologies</t>
  </si>
  <si>
    <t>BABA AUTOMATIC RESERCH CENTER</t>
  </si>
  <si>
    <t>Bharat Oman Refinery Ltd.</t>
  </si>
  <si>
    <t>Bosch Electrical Drive India Pvt Ltd</t>
  </si>
  <si>
    <t>CCS Lanka</t>
  </si>
  <si>
    <t>CG Power &amp; Industrial Solutions Ltd</t>
  </si>
  <si>
    <t>Chennai Petroleum Products Ltd</t>
  </si>
  <si>
    <t>Cosmos Impex (I) Pvt Ltd</t>
  </si>
  <si>
    <t>Dell International Services India Pvt Ltd</t>
  </si>
  <si>
    <t xml:space="preserve">Elecon Peripherals Ltd (Prayas Enggineering Ltd) </t>
  </si>
  <si>
    <t>Energy Pack Limited</t>
  </si>
  <si>
    <t>FIEM Industries Ltd</t>
  </si>
  <si>
    <t>Flash Electronics (India) Pvt.Ltd</t>
  </si>
  <si>
    <t>Flash Viven Pvt.Ltd.</t>
  </si>
  <si>
    <t>GE Oil &amp; Gas India Pvt Ltd</t>
  </si>
  <si>
    <t>GOLDMAN SACHS SERVICE LTD</t>
  </si>
  <si>
    <t>GOTEZE TP (INDIA) LTD</t>
  </si>
  <si>
    <t>GreenTech Limited</t>
  </si>
  <si>
    <t>Hassia Packaging PVT LTD</t>
  </si>
  <si>
    <t xml:space="preserve">Hero Moto Corp Ltd. </t>
  </si>
  <si>
    <t>Hetero Labs Limited</t>
  </si>
  <si>
    <t>Honeywell Troubo Tech PVT LTD (Garrett Advancing Motion)</t>
  </si>
  <si>
    <t>Inoxpa India Pvt Ltd</t>
  </si>
  <si>
    <t>KEF Infra  (Katerra India Pvt Ltd)</t>
  </si>
  <si>
    <t>Kennametal India Limited</t>
  </si>
  <si>
    <t>Kyungshin Industrial Motherson Pvt Ltd</t>
  </si>
  <si>
    <t>Mahalaxmi &amp; company</t>
  </si>
  <si>
    <t>Mamata Machinery Pvt Ltd</t>
  </si>
  <si>
    <t>Manash Lifestyle Pvt Ltd</t>
  </si>
  <si>
    <t>Nuclear fuel complex</t>
  </si>
  <si>
    <t>Plasser India Pvt.Ltd.</t>
  </si>
  <si>
    <t>PPI Systems Ltd</t>
  </si>
  <si>
    <t xml:space="preserve">Prayas Enggineering Ltd </t>
  </si>
  <si>
    <t>Prebo Automotive</t>
  </si>
  <si>
    <t>Raina Engineering Pvt.Ltd.</t>
  </si>
  <si>
    <t>Rialto India Pvt Ltd</t>
  </si>
  <si>
    <t xml:space="preserve">S N Jewelery </t>
  </si>
  <si>
    <t>Southern Railway</t>
  </si>
  <si>
    <t>Syngene International Ltd (Biocan)</t>
  </si>
  <si>
    <t>Tara Jewels Ltd</t>
  </si>
  <si>
    <t>Vijay Ganga Speciality Care Pvt Ltd</t>
  </si>
  <si>
    <t>VINAR SYSTEMS PRIVATE LIMITED</t>
  </si>
  <si>
    <t>Adverb Technologies Limited</t>
  </si>
  <si>
    <t>Freudenberg NOK Pvt Ltd _Noida</t>
  </si>
  <si>
    <t>Hyundi Motors Limited</t>
  </si>
  <si>
    <t>ABI Showatech Limited</t>
  </si>
  <si>
    <t>Armor India Coding &amp; Imaging Supplies (P) Ltd.</t>
  </si>
  <si>
    <t>Kalyani Technoforge ltd</t>
  </si>
  <si>
    <t xml:space="preserve"> Noida</t>
  </si>
  <si>
    <t>Akurdi</t>
  </si>
  <si>
    <t>Ambarnath</t>
  </si>
  <si>
    <t>Bangalore - EDN</t>
  </si>
  <si>
    <t>Bangalore - EPD</t>
  </si>
  <si>
    <t>Bangalore - ESD</t>
  </si>
  <si>
    <t>Bangalore, Plant 7</t>
  </si>
  <si>
    <t>Bawal, Haryana</t>
  </si>
  <si>
    <t>Bidaddi</t>
  </si>
  <si>
    <t>Bidadi</t>
  </si>
  <si>
    <t>Chakan</t>
  </si>
  <si>
    <t>Chinchwad Pune</t>
  </si>
  <si>
    <t>Delhi</t>
  </si>
  <si>
    <t>Gujrat</t>
  </si>
  <si>
    <t>HARYANA</t>
  </si>
  <si>
    <t>Hosiarpur-Punjab</t>
  </si>
  <si>
    <t>HP</t>
  </si>
  <si>
    <t>Indore</t>
  </si>
  <si>
    <t>Kagal</t>
  </si>
  <si>
    <t>Kancheepuram</t>
  </si>
  <si>
    <t>Keshav Nagar</t>
  </si>
  <si>
    <t>Khopoli</t>
  </si>
  <si>
    <t>Kochi</t>
  </si>
  <si>
    <t>Kothrud</t>
  </si>
  <si>
    <t>KRISHNAGIRI</t>
  </si>
  <si>
    <t>Maneja, Vadodara</t>
  </si>
  <si>
    <t>Mundhawa</t>
  </si>
  <si>
    <t>Naidupet</t>
  </si>
  <si>
    <t>NARASAPURA</t>
  </si>
  <si>
    <t>Oragadam</t>
  </si>
  <si>
    <t>Patansai,Pune</t>
  </si>
  <si>
    <t>Pimpri Pune</t>
  </si>
  <si>
    <t>Pollachi</t>
  </si>
  <si>
    <t>Pondichery</t>
  </si>
  <si>
    <t>Pune - Mundwa</t>
  </si>
  <si>
    <t>Rajasthan - Kukas</t>
  </si>
  <si>
    <t>Satara</t>
  </si>
  <si>
    <t>Shirawal Pune</t>
  </si>
  <si>
    <t>Sholinghur</t>
  </si>
  <si>
    <t>Sinnar</t>
  </si>
  <si>
    <t>Survadi</t>
  </si>
  <si>
    <t>Tapukara</t>
  </si>
  <si>
    <t>Telangana</t>
  </si>
  <si>
    <t>Pune - Chakan</t>
  </si>
  <si>
    <t>97010840/001</t>
  </si>
  <si>
    <t>99004751/001</t>
  </si>
  <si>
    <t>99001406/001</t>
  </si>
  <si>
    <t>99006551/001</t>
  </si>
  <si>
    <t>99006551/002</t>
  </si>
  <si>
    <t>99011549/001</t>
  </si>
  <si>
    <t>99011549/002</t>
  </si>
  <si>
    <t>99011549/003</t>
  </si>
  <si>
    <t>99011549/004</t>
  </si>
  <si>
    <t>99011549/005</t>
  </si>
  <si>
    <t>99011549/006</t>
  </si>
  <si>
    <t>99011551/001</t>
  </si>
  <si>
    <t>99011551/002</t>
  </si>
  <si>
    <t>99011551/003</t>
  </si>
  <si>
    <t>99011551/004</t>
  </si>
  <si>
    <t>99011551/005</t>
  </si>
  <si>
    <t>99011551/006</t>
  </si>
  <si>
    <t>99011548/001</t>
  </si>
  <si>
    <t>99011548/002</t>
  </si>
  <si>
    <t>99011548/003</t>
  </si>
  <si>
    <t>99011548/004</t>
  </si>
  <si>
    <t>99002780/001</t>
  </si>
  <si>
    <t>00002378/001</t>
  </si>
  <si>
    <t>00011492/001</t>
  </si>
  <si>
    <t>00008885/001</t>
  </si>
  <si>
    <t>01011844/001</t>
  </si>
  <si>
    <t>01011844/002</t>
  </si>
  <si>
    <t>01008651/001</t>
  </si>
  <si>
    <t>01002999/001</t>
  </si>
  <si>
    <t>01008619/001</t>
  </si>
  <si>
    <t>01002587/001</t>
  </si>
  <si>
    <t>02000112/001</t>
  </si>
  <si>
    <t>02007411/002</t>
  </si>
  <si>
    <t>02007411/003</t>
  </si>
  <si>
    <t>02007410/001</t>
  </si>
  <si>
    <t>02007410/002</t>
  </si>
  <si>
    <t>02007410/003</t>
  </si>
  <si>
    <t>02007409/001</t>
  </si>
  <si>
    <t>02007409/002</t>
  </si>
  <si>
    <t>02007408/001</t>
  </si>
  <si>
    <t>03005917/001</t>
  </si>
  <si>
    <t>03008625/001</t>
  </si>
  <si>
    <t>03001642/001</t>
  </si>
  <si>
    <t>03001645/001</t>
  </si>
  <si>
    <t>04004067/001</t>
  </si>
  <si>
    <t>04007984/001</t>
  </si>
  <si>
    <t>04006951/001</t>
  </si>
  <si>
    <t>04006951/002</t>
  </si>
  <si>
    <t>05009546/001</t>
  </si>
  <si>
    <t>05008830/001</t>
  </si>
  <si>
    <t>05000019/001</t>
  </si>
  <si>
    <t>05002427/001</t>
  </si>
  <si>
    <t>05005971/001</t>
  </si>
  <si>
    <t>04008789/001</t>
  </si>
  <si>
    <t>05004146/001</t>
  </si>
  <si>
    <t>05004274/001</t>
  </si>
  <si>
    <t>06002102/001</t>
  </si>
  <si>
    <t>06002102/002</t>
  </si>
  <si>
    <t>06002102/003</t>
  </si>
  <si>
    <t>06005849/001</t>
  </si>
  <si>
    <t>06005849/002</t>
  </si>
  <si>
    <t>06009026/001</t>
  </si>
  <si>
    <t>06009026/002</t>
  </si>
  <si>
    <t>06009026/003</t>
  </si>
  <si>
    <t>06009026/004</t>
  </si>
  <si>
    <t xml:space="preserve"> 06009026/005</t>
  </si>
  <si>
    <t xml:space="preserve"> 06009026/006</t>
  </si>
  <si>
    <t xml:space="preserve"> 06009026/007</t>
  </si>
  <si>
    <t>06003818/001</t>
  </si>
  <si>
    <t>06003734/001</t>
  </si>
  <si>
    <t>06008021/001</t>
  </si>
  <si>
    <t>06009180/002</t>
  </si>
  <si>
    <t>06000270/003</t>
  </si>
  <si>
    <t>06000270/004</t>
  </si>
  <si>
    <t>06000270/006</t>
  </si>
  <si>
    <t>06009312/002</t>
  </si>
  <si>
    <t>06007318/001</t>
  </si>
  <si>
    <t>06005528/001</t>
  </si>
  <si>
    <t>06003915/002</t>
  </si>
  <si>
    <t>06008921/001</t>
  </si>
  <si>
    <t>06003915/004</t>
  </si>
  <si>
    <t>06003915/001</t>
  </si>
  <si>
    <t>07004576/002</t>
  </si>
  <si>
    <t>07011200/001</t>
  </si>
  <si>
    <t>07003522/002</t>
  </si>
  <si>
    <t>07003522/003</t>
  </si>
  <si>
    <t>07003776/001</t>
  </si>
  <si>
    <t>07003779/001</t>
  </si>
  <si>
    <t>070002407/001</t>
  </si>
  <si>
    <t>070002407/002</t>
  </si>
  <si>
    <t>070002407/003</t>
  </si>
  <si>
    <t>070002407/004</t>
  </si>
  <si>
    <t>070002407/005</t>
  </si>
  <si>
    <t>070002407/006</t>
  </si>
  <si>
    <t>070002407/007</t>
  </si>
  <si>
    <t>070002407/008</t>
  </si>
  <si>
    <t>07007497/001</t>
  </si>
  <si>
    <t>07007073/001</t>
  </si>
  <si>
    <t>07007112/001</t>
  </si>
  <si>
    <t>07007112/002</t>
  </si>
  <si>
    <t>07007110/001</t>
  </si>
  <si>
    <t>07007110/002</t>
  </si>
  <si>
    <t>07000132/001</t>
  </si>
  <si>
    <t>07003168/001</t>
  </si>
  <si>
    <t>07003171/001</t>
  </si>
  <si>
    <t>07498161/001</t>
  </si>
  <si>
    <t>07000040/001</t>
  </si>
  <si>
    <t>07003057/001</t>
  </si>
  <si>
    <t>07006413/001</t>
  </si>
  <si>
    <t>07008613/002</t>
  </si>
  <si>
    <t>07008613/003</t>
  </si>
  <si>
    <t>07002784/001</t>
  </si>
  <si>
    <t>07000275/001</t>
  </si>
  <si>
    <t>07000590/001</t>
  </si>
  <si>
    <t>07000264/001</t>
  </si>
  <si>
    <t>08003987/001</t>
  </si>
  <si>
    <t>08003240/001</t>
  </si>
  <si>
    <t>08001717/001</t>
  </si>
  <si>
    <t>08001717/002</t>
  </si>
  <si>
    <t>08002038/001</t>
  </si>
  <si>
    <t>08005299/001</t>
  </si>
  <si>
    <t>08000498/001</t>
  </si>
  <si>
    <t>08007598/001</t>
  </si>
  <si>
    <t>08007597/001</t>
  </si>
  <si>
    <t>08005270/001</t>
  </si>
  <si>
    <t>08005533/001</t>
  </si>
  <si>
    <t xml:space="preserve">08008481/001 </t>
  </si>
  <si>
    <t>08002054/001</t>
  </si>
  <si>
    <t>08011449/001</t>
  </si>
  <si>
    <t>08006998/001</t>
  </si>
  <si>
    <t>08008288/001</t>
  </si>
  <si>
    <t>08002803/001</t>
  </si>
  <si>
    <t>08002803/002</t>
  </si>
  <si>
    <t>08002794/001</t>
  </si>
  <si>
    <t>08002787/001</t>
  </si>
  <si>
    <t>08002787/003</t>
  </si>
  <si>
    <t>08002787/002</t>
  </si>
  <si>
    <t>08002779/002</t>
  </si>
  <si>
    <t>08002779/003</t>
  </si>
  <si>
    <t>08008789/001</t>
  </si>
  <si>
    <t>08009951/001</t>
  </si>
  <si>
    <t>08000185/001</t>
  </si>
  <si>
    <t>09005763/001</t>
  </si>
  <si>
    <t>09002884/002</t>
  </si>
  <si>
    <t>09006431/001</t>
  </si>
  <si>
    <t>09006141/001</t>
  </si>
  <si>
    <t>09006141/002</t>
  </si>
  <si>
    <t>09000519/001</t>
  </si>
  <si>
    <t>09000517/001</t>
  </si>
  <si>
    <t>09003750/002</t>
  </si>
  <si>
    <t>09003750/003</t>
  </si>
  <si>
    <t>09003750/004</t>
  </si>
  <si>
    <t>07000592/001</t>
  </si>
  <si>
    <t>07010269/001</t>
  </si>
  <si>
    <t>07001627/002</t>
  </si>
  <si>
    <t>10007473/001</t>
  </si>
  <si>
    <t>10007472/001</t>
  </si>
  <si>
    <t>11000270/001</t>
  </si>
  <si>
    <t>10009905/001</t>
  </si>
  <si>
    <t>10006287/001</t>
  </si>
  <si>
    <t>10007478/001</t>
  </si>
  <si>
    <t>10001499/001</t>
  </si>
  <si>
    <t>10006087/001</t>
  </si>
  <si>
    <t>10004293/001</t>
  </si>
  <si>
    <t>10004294/001</t>
  </si>
  <si>
    <t>11000003/001</t>
  </si>
  <si>
    <t>11002999/001</t>
  </si>
  <si>
    <t>11006412/001</t>
  </si>
  <si>
    <t>11006377/001</t>
  </si>
  <si>
    <t>11002648/004</t>
  </si>
  <si>
    <t>11002654/001</t>
  </si>
  <si>
    <t>11000801/001</t>
  </si>
  <si>
    <t>11009198/001</t>
  </si>
  <si>
    <t xml:space="preserve">11010673/001  </t>
  </si>
  <si>
    <t>11003009/001</t>
  </si>
  <si>
    <t>11003000/001</t>
  </si>
  <si>
    <t>11008753/001</t>
  </si>
  <si>
    <t>11006413/001</t>
  </si>
  <si>
    <t>11006392/001</t>
  </si>
  <si>
    <t>11006389/001</t>
  </si>
  <si>
    <t>11006411/001</t>
  </si>
  <si>
    <t>11008723/001</t>
  </si>
  <si>
    <t>10009656/001</t>
  </si>
  <si>
    <t>11006527/001</t>
  </si>
  <si>
    <t>11007769/001</t>
  </si>
  <si>
    <t>11005650/001</t>
  </si>
  <si>
    <t>11001726/001</t>
  </si>
  <si>
    <t>11001752/001</t>
  </si>
  <si>
    <t>11004679/001</t>
  </si>
  <si>
    <t>11004680/001</t>
  </si>
  <si>
    <t>11007589/001</t>
  </si>
  <si>
    <t>12006479/001</t>
  </si>
  <si>
    <t>12002171/001</t>
  </si>
  <si>
    <t>12000977/001</t>
  </si>
  <si>
    <t>12007611/001</t>
  </si>
  <si>
    <t>12007619/001</t>
  </si>
  <si>
    <t>12007562/001</t>
  </si>
  <si>
    <t>12007572/001</t>
  </si>
  <si>
    <t>12007612/001</t>
  </si>
  <si>
    <t>12002499/001</t>
  </si>
  <si>
    <t>12002501/001</t>
  </si>
  <si>
    <t>13001977/001</t>
  </si>
  <si>
    <t>13004073/001</t>
  </si>
  <si>
    <t>13000093/001</t>
  </si>
  <si>
    <t>13000092/001</t>
  </si>
  <si>
    <t>13004253/001</t>
  </si>
  <si>
    <t>13004254/001</t>
  </si>
  <si>
    <t>13000089/001</t>
  </si>
  <si>
    <t>13003904/001</t>
  </si>
  <si>
    <t>13000035/001</t>
  </si>
  <si>
    <t>13000036/001</t>
  </si>
  <si>
    <t>14000523/001</t>
  </si>
  <si>
    <t>14000029/001</t>
  </si>
  <si>
    <t>14000253/001</t>
  </si>
  <si>
    <t>14007366/001</t>
  </si>
  <si>
    <t>14007367/001</t>
  </si>
  <si>
    <t>14007368/001</t>
  </si>
  <si>
    <t>14007369/001</t>
  </si>
  <si>
    <t>14007364/001</t>
  </si>
  <si>
    <t>14007365/001</t>
  </si>
  <si>
    <t>14000059/001</t>
  </si>
  <si>
    <t>14000257/001</t>
  </si>
  <si>
    <t>15006034/001</t>
  </si>
  <si>
    <t>15001232/001</t>
  </si>
  <si>
    <t>15001234/001</t>
  </si>
  <si>
    <t>15007246/001</t>
  </si>
  <si>
    <t>15001203/001</t>
  </si>
  <si>
    <t>15001857/001</t>
  </si>
  <si>
    <t>15006903/001</t>
  </si>
  <si>
    <t>15001773/001</t>
  </si>
  <si>
    <t>16005018/001</t>
  </si>
  <si>
    <t>16000132/001</t>
  </si>
  <si>
    <t>16000132/002</t>
  </si>
  <si>
    <t>16000133/001</t>
  </si>
  <si>
    <t>16000133/002</t>
  </si>
  <si>
    <t>16000133/003</t>
  </si>
  <si>
    <t>16001976/001</t>
  </si>
  <si>
    <t>16004422/001</t>
  </si>
  <si>
    <t>16004420/001</t>
  </si>
  <si>
    <t>04002891/001</t>
  </si>
  <si>
    <t>04002891/002</t>
  </si>
  <si>
    <t>04001604/001</t>
  </si>
  <si>
    <t>04007234/001</t>
  </si>
  <si>
    <t>40007231/001</t>
  </si>
  <si>
    <t>04007517/001</t>
  </si>
  <si>
    <t>04000835/005</t>
  </si>
  <si>
    <t>04000835/003</t>
  </si>
  <si>
    <t>04000835/001</t>
  </si>
  <si>
    <t>04000841/003</t>
  </si>
  <si>
    <t>04000841/005</t>
  </si>
  <si>
    <t>04000834/001</t>
  </si>
  <si>
    <t>05008979/001</t>
  </si>
  <si>
    <t>05008978/001</t>
  </si>
  <si>
    <t>07010683/001</t>
  </si>
  <si>
    <t>07010687/001</t>
  </si>
  <si>
    <t>09004222/001</t>
  </si>
  <si>
    <t>09004222/002</t>
  </si>
  <si>
    <t>09004222/003</t>
  </si>
  <si>
    <t>09004222/004</t>
  </si>
  <si>
    <t>09004222/005</t>
  </si>
  <si>
    <t>09000940/001</t>
  </si>
  <si>
    <t>09000940/002</t>
  </si>
  <si>
    <t>09000940/003</t>
  </si>
  <si>
    <t>09000940/004</t>
  </si>
  <si>
    <t>09000940/005</t>
  </si>
  <si>
    <t>09000940/006</t>
  </si>
  <si>
    <t>09000940/007</t>
  </si>
  <si>
    <t>09000940/008</t>
  </si>
  <si>
    <t>10006676/001</t>
  </si>
  <si>
    <t>10006676/002</t>
  </si>
  <si>
    <t>0101000/906</t>
  </si>
  <si>
    <t>11004367/001</t>
  </si>
  <si>
    <t>11005880/001</t>
  </si>
  <si>
    <t>11005332/001</t>
  </si>
  <si>
    <t>14004287/001</t>
  </si>
  <si>
    <t>16001396/001</t>
  </si>
  <si>
    <t>16001396/002</t>
  </si>
  <si>
    <t>16001396/003</t>
  </si>
  <si>
    <t>16001396/004</t>
  </si>
  <si>
    <t>16004650/001</t>
  </si>
  <si>
    <t>16006115/001</t>
  </si>
  <si>
    <t>16001769/001</t>
  </si>
  <si>
    <t>16006845/001</t>
  </si>
  <si>
    <t>17000282/001</t>
  </si>
  <si>
    <t>16007988/001</t>
  </si>
  <si>
    <t>17001433 / 002</t>
  </si>
  <si>
    <t>16007646/001</t>
  </si>
  <si>
    <t>17002668 / 001</t>
  </si>
  <si>
    <t>17001599/001</t>
  </si>
  <si>
    <t>17002414/003</t>
  </si>
  <si>
    <t>17001434/001</t>
  </si>
  <si>
    <t>17002804/001</t>
  </si>
  <si>
    <t>17002667/001</t>
  </si>
  <si>
    <t>17004186/001</t>
  </si>
  <si>
    <t>17004849/001</t>
  </si>
  <si>
    <t>17004960/001</t>
  </si>
  <si>
    <t>17005025/001</t>
  </si>
  <si>
    <t>16007912/001</t>
  </si>
  <si>
    <t>17005335/001</t>
  </si>
  <si>
    <t>17006344/001</t>
  </si>
  <si>
    <t>17006346/001</t>
  </si>
  <si>
    <t>17007135/001</t>
  </si>
  <si>
    <t>17008204/001</t>
  </si>
  <si>
    <t>17008204/002</t>
  </si>
  <si>
    <t>17005871/001</t>
  </si>
  <si>
    <t>18002134/001</t>
  </si>
  <si>
    <t>17000997/001</t>
  </si>
  <si>
    <t>18001509/001</t>
  </si>
  <si>
    <t>18004621/001</t>
  </si>
  <si>
    <t>18004621/002</t>
  </si>
  <si>
    <t>18004621/003</t>
  </si>
  <si>
    <t>18004621/004</t>
  </si>
  <si>
    <t>18006247/001</t>
  </si>
  <si>
    <t>18006247/002</t>
  </si>
  <si>
    <t>18006430/001</t>
  </si>
  <si>
    <t>18006243/001</t>
  </si>
  <si>
    <t>18007043/001</t>
  </si>
  <si>
    <t>18007954/001</t>
  </si>
  <si>
    <t>18008187/001</t>
  </si>
  <si>
    <t>18006731/001</t>
  </si>
  <si>
    <t>18007780/002</t>
  </si>
  <si>
    <t>95008701/001</t>
  </si>
  <si>
    <t>18009047/001</t>
  </si>
  <si>
    <t>17006214/001</t>
  </si>
  <si>
    <t>17006214/002</t>
  </si>
  <si>
    <t>19005485/001</t>
  </si>
  <si>
    <t>19004885/001</t>
  </si>
  <si>
    <t>19007630/001</t>
  </si>
  <si>
    <t>19008921/001</t>
  </si>
  <si>
    <t>20000121/001</t>
  </si>
  <si>
    <t>20005767/001</t>
  </si>
  <si>
    <t>20005727/002</t>
  </si>
  <si>
    <t>20006461/001</t>
  </si>
  <si>
    <t>20006461/002</t>
  </si>
  <si>
    <t>21000483/001</t>
  </si>
  <si>
    <t>21002360/001</t>
  </si>
  <si>
    <t>21002944/001</t>
  </si>
  <si>
    <t>21002990/001</t>
  </si>
  <si>
    <t>21006989/001</t>
  </si>
  <si>
    <t>22001459/001</t>
  </si>
  <si>
    <t xml:space="preserve"> 22008750/001 </t>
  </si>
  <si>
    <t xml:space="preserve"> 22008750/002 </t>
  </si>
  <si>
    <t>22003476/001</t>
  </si>
  <si>
    <t>22005478/002</t>
  </si>
  <si>
    <t>22006709/001</t>
  </si>
  <si>
    <t xml:space="preserve"> 23001937/001 </t>
  </si>
  <si>
    <t>23000762/001</t>
  </si>
  <si>
    <t>23000763/001</t>
  </si>
  <si>
    <t>22006039/001</t>
  </si>
  <si>
    <t>22004188/001</t>
  </si>
  <si>
    <t>23005400/001</t>
  </si>
  <si>
    <t>23004114/001</t>
  </si>
  <si>
    <t>23003217/001</t>
  </si>
  <si>
    <t>23006314/001</t>
  </si>
  <si>
    <t>23007471/001</t>
  </si>
  <si>
    <t>23006527/001</t>
  </si>
  <si>
    <t>23006527/002</t>
  </si>
  <si>
    <t>23006527/003</t>
  </si>
  <si>
    <t>23007875/001</t>
  </si>
  <si>
    <t>23007875/002</t>
  </si>
  <si>
    <t>23008125/001</t>
  </si>
  <si>
    <t>23008134/001</t>
  </si>
  <si>
    <t>24005887/001</t>
  </si>
  <si>
    <t>24005887/002</t>
  </si>
  <si>
    <t>24005887/003</t>
  </si>
  <si>
    <t>24005887/004</t>
  </si>
  <si>
    <t>24001551/001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</si>
</sst>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(* #,##0.00_);_(* \(#,##0.00\);_(* &quot;-&quot;??_);_(@_)"/>
    <numFmt numFmtId="165" formatCode="[$₹-4009]\ #,##0.00"/>
    <numFmt numFmtId="166" formatCode="[$₹-4009]\ #,##0"/>
    <numFmt numFmtId="167" formatCode="[$₹-439]\ #,##0.00"/>
    <numFmt numFmtId="168" formatCode="&quot;₹&quot;\ #,##0.00"/>
    <numFmt numFmtId="169" formatCode="[$-10469]d/m/yyyy;@"/>
    <numFmt numFmtId="170" formatCode="[$-14009]dd/mm/yyyy;@"/>
    <numFmt numFmtId="171" formatCode="_(* #,##0_);_(* \(#,##0\);_(* &quot;-&quot;??_);_(@_)"/>
    <numFmt numFmtId="172" formatCode="dd/mm/yyyy;@"/>
    <numFmt numFmtId="173" formatCode="[$-409]d\-mmm\-yyyy;@"/>
  </numFmts>
  <fonts count="2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rgb="FF545454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0A0101"/>
      <name val="Arial"/>
      <family val="2"/>
    </font>
    <font>
      <sz val="12"/>
      <color rgb="FF222222"/>
      <name val="Arial"/>
      <family val="2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</font>
    <font>
      <b/>
      <u val="double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A0101"/>
      <name val="Abadi"/>
      <family val="2"/>
    </font>
    <font>
      <b/>
      <sz val="12"/>
      <color theme="1"/>
      <name val="Abadi"/>
      <family val="2"/>
    </font>
    <font>
      <u/>
      <sz val="24"/>
      <color theme="1"/>
      <name val="Algerian"/>
      <family val="5"/>
    </font>
    <font>
      <u/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70AD47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F75B5"/>
      <name val="Calibri"/>
      <family val="2"/>
    </font>
    <font>
      <sz val="11"/>
      <color rgb="FF2F75B5"/>
      <name val="Calibri Light"/>
      <family val="2"/>
    </font>
    <font>
      <b/>
      <u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rgb="FF0A0101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rgb="FF2F75B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33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70AD47"/>
      <name val="Calibri"/>
      <family val="2"/>
      <scheme val="minor"/>
    </font>
    <font>
      <u val="double"/>
      <sz val="12"/>
      <color rgb="FF2F75B5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 Light"/>
      <family val="2"/>
    </font>
    <font>
      <b/>
      <u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2"/>
      <color rgb="FF2F75B5"/>
      <name val="Calibri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0"/>
      <color rgb="FF2F75B5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2"/>
      <color rgb="FF2F75B5"/>
      <name val="Calibri Light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305496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rgb="FF2F75B5"/>
      <name val="Calibri"/>
      <family val="2"/>
      <scheme val="minor"/>
    </font>
    <font>
      <b/>
      <sz val="11"/>
      <name val="Calibri"/>
      <family val="2"/>
    </font>
    <font>
      <sz val="14"/>
      <color rgb="FF2F75B5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444444"/>
      <name val="Calibri"/>
      <family val="2"/>
    </font>
    <font>
      <u/>
      <sz val="12"/>
      <color rgb="FF0563C1"/>
      <name val="Calibri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 Light"/>
      <family val="2"/>
    </font>
    <font>
      <sz val="12"/>
      <color theme="1"/>
      <name val="Calibri Light"/>
      <family val="2"/>
      <scheme val="major"/>
    </font>
    <font>
      <sz val="14"/>
      <color theme="1"/>
      <name val="Times New Roman"/>
      <family val="1"/>
    </font>
    <font>
      <sz val="11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4" tint="-0.249977111117893"/>
      <name val="Calibri"/>
      <family val="2"/>
      <scheme val="minor"/>
    </font>
    <font>
      <sz val="12"/>
      <color rgb="FF9C0006"/>
      <name val="Calibri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u/>
      <sz val="14"/>
      <color theme="10"/>
      <name val="Calibri"/>
      <family val="2"/>
      <scheme val="minor"/>
    </font>
    <font>
      <u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 Light"/>
      <family val="2"/>
      <scheme val="major"/>
    </font>
    <font>
      <u/>
      <sz val="14"/>
      <color theme="10"/>
      <name val="Calibri"/>
      <family val="2"/>
    </font>
    <font>
      <sz val="11"/>
      <color rgb="FF1F4E79"/>
      <name val="Calibri"/>
      <family val="2"/>
    </font>
    <font>
      <b/>
      <sz val="11"/>
      <color rgb="FF2F75B5"/>
      <name val="Calibri Light"/>
      <family val="2"/>
    </font>
    <font>
      <sz val="14"/>
      <color rgb="FF000000"/>
      <name val="Times New Roman"/>
      <family val="1"/>
    </font>
    <font>
      <sz val="14"/>
      <color rgb="FF000000"/>
      <name val="Calibri"/>
      <family val="2"/>
    </font>
    <font>
      <sz val="24"/>
      <color rgb="FF000000"/>
      <name val="Calibri"/>
      <family val="2"/>
      <scheme val="minor"/>
    </font>
    <font>
      <b/>
      <sz val="12"/>
      <color rgb="FF000000"/>
      <name val="Abadi"/>
      <family val="2"/>
    </font>
    <font>
      <sz val="11"/>
      <color theme="4" tint="-0.249977111117893"/>
      <name val="Calibri"/>
      <family val="2"/>
    </font>
    <font>
      <sz val="11"/>
      <color rgb="FF2F75B5"/>
      <name val="Calibri"/>
      <family val="2"/>
      <scheme val="minor"/>
    </font>
    <font>
      <sz val="11"/>
      <color rgb="FF2F75B5"/>
      <name val="Calibri Light"/>
      <family val="2"/>
      <scheme val="major"/>
    </font>
    <font>
      <sz val="12"/>
      <color theme="4"/>
      <name val="Calibri"/>
      <family val="2"/>
      <scheme val="minor"/>
    </font>
    <font>
      <sz val="11"/>
      <name val="Calibri"/>
      <family val="2"/>
      <scheme val="minor"/>
    </font>
    <font>
      <sz val="10"/>
      <color rgb="FF2F75B5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Calibri"/>
      <family val="2"/>
    </font>
    <font>
      <sz val="11"/>
      <name val="Calibri Light"/>
      <family val="2"/>
      <scheme val="major"/>
    </font>
    <font>
      <b/>
      <sz val="12"/>
      <color rgb="FF545454"/>
      <name val="Arial"/>
      <family val="2"/>
    </font>
    <font>
      <sz val="12"/>
      <color theme="8"/>
      <name val="Aptos"/>
      <family val="2"/>
    </font>
    <font>
      <b/>
      <sz val="12"/>
      <color theme="8"/>
      <name val="Aptos"/>
      <family val="2"/>
    </font>
    <font>
      <u/>
      <sz val="12"/>
      <color theme="8"/>
      <name val="Aptos"/>
      <family val="2"/>
    </font>
    <font>
      <u val="double"/>
      <sz val="12"/>
      <color theme="8"/>
      <name val="Aptos"/>
      <family val="2"/>
    </font>
    <font>
      <b/>
      <u val="double"/>
      <sz val="12"/>
      <color theme="8"/>
      <name val="Aptos"/>
      <family val="2"/>
    </font>
    <font>
      <sz val="11"/>
      <color rgb="FF444444"/>
      <name val="Aptos Narrow"/>
      <family val="2"/>
    </font>
    <font>
      <sz val="12"/>
      <color rgb="FF3F586D"/>
      <name val="Calibri"/>
      <family val="2"/>
    </font>
    <font>
      <sz val="11"/>
      <color rgb="FF242424"/>
      <name val="Aptos Narrow"/>
      <family val="2"/>
    </font>
    <font>
      <sz val="12"/>
      <color rgb="FF2F75B5"/>
      <name val="Arial"/>
      <family val="2"/>
    </font>
    <font>
      <sz val="12"/>
      <color rgb="FF000000"/>
      <name val="Calibri"/>
      <family val="2"/>
      <charset val="1"/>
    </font>
    <font>
      <sz val="12"/>
      <color rgb="FF3F586D"/>
      <name val="Calibri"/>
      <family val="2"/>
      <charset val="1"/>
    </font>
    <font>
      <sz val="11"/>
      <color rgb="FF444444"/>
      <name val="Aptos Narrow"/>
      <family val="2"/>
      <charset val="1"/>
    </font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0.5"/>
      <color rgb="FF000000"/>
      <name val="Times New Roman"/>
      <family val="1"/>
      <charset val="1"/>
    </font>
    <font>
      <sz val="11"/>
      <color rgb="FF000000"/>
      <name val="Segoe UI"/>
      <family val="2"/>
    </font>
    <font>
      <sz val="11"/>
      <color rgb="FF242424"/>
      <name val="Segoe UI"/>
      <family val="2"/>
    </font>
    <font>
      <sz val="11"/>
      <color theme="1"/>
      <name val="Calibri"/>
      <family val="2"/>
      <charset val="1"/>
    </font>
    <font>
      <sz val="12"/>
      <color rgb="FF2F75B5"/>
      <name val="Calibri Light"/>
      <family val="2"/>
      <scheme val="major"/>
    </font>
    <font>
      <sz val="12"/>
      <color rgb="FF3F586D"/>
      <name val="Calibri"/>
      <family val="2"/>
      <scheme val="minor"/>
    </font>
    <font>
      <sz val="10"/>
      <color rgb="FF3F586D"/>
      <name val="Calibri"/>
      <family val="2"/>
      <scheme val="minor"/>
    </font>
    <font>
      <sz val="10"/>
      <color rgb="FF1F4E79"/>
      <name val="Arial"/>
      <family val="2"/>
    </font>
    <font>
      <u/>
      <sz val="10.5"/>
      <color rgb="FF000000"/>
      <name val="Times New Roman"/>
      <family val="1"/>
      <charset val="1"/>
    </font>
    <font>
      <sz val="11"/>
      <color rgb="FF444444"/>
      <name val="Calibri"/>
      <family val="2"/>
      <charset val="1"/>
    </font>
    <font>
      <sz val="10"/>
      <color theme="1"/>
      <name val="Calibri"/>
      <family val="2"/>
      <charset val="1"/>
    </font>
    <font>
      <b/>
      <sz val="18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rgb="FF242424"/>
      <name val="Meiryo"/>
      <family val="2"/>
      <charset val="128"/>
    </font>
    <font>
      <sz val="9"/>
      <color theme="1"/>
      <name val="Calibri"/>
      <family val="2"/>
    </font>
    <font>
      <b/>
      <sz val="12"/>
      <color theme="4"/>
      <name val="Calibri"/>
      <family val="2"/>
      <scheme val="minor"/>
    </font>
    <font>
      <u/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404040"/>
      <name val="Symbol"/>
      <family val="1"/>
      <charset val="2"/>
    </font>
    <font>
      <sz val="10"/>
      <color rgb="FF2F75B5"/>
      <name val="Calibri"/>
      <family val="2"/>
      <charset val="1"/>
    </font>
    <font>
      <sz val="10.5"/>
      <color rgb="FF000000"/>
      <name val="Calibri"/>
      <family val="2"/>
      <charset val="1"/>
    </font>
    <font>
      <sz val="11"/>
      <color rgb="FF0070C0"/>
      <name val="Calibri"/>
      <family val="2"/>
      <charset val="1"/>
    </font>
    <font>
      <sz val="9"/>
      <color rgb="FF1F497D"/>
      <name val="Arial"/>
      <family val="2"/>
    </font>
    <font>
      <b/>
      <sz val="11"/>
      <color rgb="FF70AD47"/>
      <name val="Calibri"/>
      <family val="2"/>
      <scheme val="minor"/>
    </font>
    <font>
      <u val="double"/>
      <sz val="12"/>
      <color theme="1"/>
      <name val="Calibri"/>
      <family val="2"/>
      <scheme val="minor"/>
    </font>
    <font>
      <sz val="9"/>
      <color rgb="FF242424"/>
      <name val="Segoe UI"/>
      <family val="2"/>
    </font>
    <font>
      <b/>
      <sz val="12"/>
      <color rgb="FF70AD47"/>
      <name val="Calibri"/>
      <family val="2"/>
      <scheme val="minor"/>
    </font>
    <font>
      <sz val="10"/>
      <color rgb="FF3F586D"/>
      <name val="Calibri"/>
      <family val="2"/>
      <charset val="1"/>
    </font>
    <font>
      <sz val="12"/>
      <name val="Arial"/>
      <family val="2"/>
    </font>
    <font>
      <u/>
      <sz val="11"/>
      <name val="Calibri"/>
      <family val="2"/>
      <scheme val="minor"/>
    </font>
    <font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</font>
    <font>
      <sz val="9"/>
      <name val="Calibri"/>
      <family val="2"/>
      <scheme val="minor"/>
    </font>
    <font>
      <sz val="10"/>
      <color rgb="FF1F497D"/>
      <name val="Calibri"/>
      <family val="2"/>
      <scheme val="minor"/>
    </font>
    <font>
      <sz val="10"/>
      <color rgb="FF2F5597"/>
      <name val="Calibri"/>
      <family val="2"/>
      <scheme val="minor"/>
    </font>
    <font>
      <sz val="10"/>
      <color rgb="FF000000"/>
      <name val="Arial"/>
      <family val="2"/>
    </font>
    <font>
      <sz val="11"/>
      <color rgb="FF3F586D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2"/>
      <color rgb="FF000000"/>
      <name val="Calibri Light"/>
      <family val="2"/>
    </font>
    <font>
      <sz val="9"/>
      <color rgb="FF000000"/>
      <name val="Segoe UI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charset val="1"/>
    </font>
    <font>
      <b/>
      <sz val="11"/>
      <color rgb="FFFF0000"/>
      <name val="Calibri Light"/>
      <family val="2"/>
      <scheme val="major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 Light"/>
      <family val="2"/>
    </font>
    <font>
      <sz val="11"/>
      <color rgb="FF000000"/>
      <name val="Aptos Narrow"/>
      <family val="2"/>
      <charset val="1"/>
    </font>
    <font>
      <sz val="11"/>
      <color rgb="FF242424"/>
      <name val="Aptos Narrow"/>
      <family val="2"/>
      <charset val="1"/>
    </font>
    <font>
      <sz val="10"/>
      <color rgb="FF002060"/>
      <name val="Calibri"/>
      <family val="2"/>
      <charset val="1"/>
    </font>
    <font>
      <sz val="12"/>
      <color theme="1"/>
      <name val="Arial"/>
      <family val="2"/>
    </font>
    <font>
      <sz val="11"/>
      <color rgb="FF70AD47"/>
      <name val="Calibri Light"/>
      <family val="2"/>
      <scheme val="major"/>
    </font>
    <font>
      <b/>
      <sz val="12"/>
      <color rgb="FF2F75B5"/>
      <name val="Calibri Light"/>
      <family val="2"/>
      <scheme val="major"/>
    </font>
    <font>
      <b/>
      <sz val="12"/>
      <color rgb="FF70AD47"/>
      <name val="Calibri Light"/>
      <family val="2"/>
      <scheme val="major"/>
    </font>
    <font>
      <sz val="13.5"/>
      <color theme="1"/>
      <name val="Calibri"/>
      <family val="2"/>
      <charset val="1"/>
    </font>
    <font>
      <b/>
      <u/>
      <sz val="16"/>
      <color theme="1"/>
      <name val="Calibri"/>
      <family val="2"/>
      <scheme val="minor"/>
    </font>
    <font>
      <sz val="12"/>
      <color rgb="FF000000"/>
      <name val="Times New Roman"/>
      <family val="1"/>
      <charset val="1"/>
    </font>
    <font>
      <sz val="10"/>
      <color rgb="FF000000"/>
      <name val="Courier New"/>
      <family val="3"/>
    </font>
    <font>
      <b/>
      <sz val="10"/>
      <color rgb="FF242424"/>
      <name val="Calibri"/>
      <family val="2"/>
      <charset val="1"/>
    </font>
    <font>
      <b/>
      <sz val="10"/>
      <color rgb="FF242424"/>
      <name val="Times New Roman"/>
      <family val="1"/>
      <charset val="1"/>
    </font>
    <font>
      <b/>
      <sz val="10"/>
      <color rgb="FF6F8A9D"/>
      <name val="Calibri"/>
      <family val="2"/>
      <charset val="1"/>
    </font>
    <font>
      <b/>
      <sz val="11"/>
      <color rgb="FF70AD47"/>
      <name val="Calibri Light"/>
      <family val="2"/>
    </font>
    <font>
      <sz val="12"/>
      <color rgb="FF404040"/>
      <name val="Calibri"/>
      <family val="2"/>
    </font>
    <font>
      <u/>
      <sz val="11"/>
      <color rgb="FF0070C0"/>
      <name val="Aptos Narrow"/>
      <family val="2"/>
    </font>
    <font>
      <sz val="12"/>
      <color rgb="FF0070C0"/>
      <name val="Calibri"/>
      <family val="2"/>
    </font>
    <font>
      <b/>
      <sz val="12"/>
      <color rgb="FF2F75B5"/>
      <name val="Calibri"/>
      <family val="2"/>
    </font>
    <font>
      <sz val="11"/>
      <color rgb="FF9C0006"/>
      <name val="Calibri"/>
      <family val="2"/>
    </font>
    <font>
      <sz val="12"/>
      <color rgb="FF70AD47"/>
      <name val="Calibri"/>
      <family val="2"/>
    </font>
    <font>
      <sz val="12"/>
      <color rgb="FF4472C4"/>
      <name val="Calibri"/>
      <family val="2"/>
    </font>
    <font>
      <sz val="11"/>
      <color rgb="FF2F75B5"/>
      <name val="Arial"/>
      <family val="2"/>
    </font>
    <font>
      <sz val="12"/>
      <color rgb="FF003300"/>
      <name val="Calibri"/>
      <family val="2"/>
    </font>
    <font>
      <sz val="10"/>
      <color theme="4" tint="-0.249977111117893"/>
      <name val="Courier New"/>
      <family val="3"/>
    </font>
    <font>
      <u/>
      <sz val="11"/>
      <color rgb="FFFF0000"/>
      <name val="Calibri"/>
      <family val="2"/>
      <scheme val="minor"/>
    </font>
    <font>
      <sz val="10.5"/>
      <color rgb="FFFF0000"/>
      <name val="Times New Roman"/>
      <family val="1"/>
      <charset val="1"/>
    </font>
    <font>
      <sz val="12"/>
      <color rgb="FFFF0000"/>
      <name val="Calibri"/>
      <family val="2"/>
    </font>
    <font>
      <sz val="11"/>
      <color rgb="FF000000"/>
      <name val="Aptos"/>
      <family val="2"/>
      <charset val="1"/>
    </font>
    <font>
      <sz val="11"/>
      <color theme="1"/>
      <name val="Aptos Narrow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theme="1"/>
      <name val="Helvetica"/>
      <family val="2"/>
      <charset val="1"/>
    </font>
    <font>
      <sz val="10"/>
      <color rgb="FF1F497D"/>
      <name val="Calibri"/>
      <family val="2"/>
      <charset val="1"/>
    </font>
    <font>
      <b/>
      <sz val="11"/>
      <color rgb="FF444444"/>
      <name val="Aptos Narrow"/>
      <family val="2"/>
      <charset val="1"/>
    </font>
    <font>
      <sz val="14"/>
      <color rgb="FF3F586D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242424"/>
      <name val="Aptos Narrow"/>
      <family val="2"/>
      <charset val="1"/>
    </font>
    <font>
      <b/>
      <sz val="12"/>
      <color theme="1"/>
      <name val="Aptos"/>
      <family val="2"/>
    </font>
    <font>
      <sz val="12"/>
      <name val="Aptos"/>
      <family val="2"/>
    </font>
    <font>
      <u/>
      <sz val="11"/>
      <color theme="1"/>
      <name val="Calibri"/>
      <family val="2"/>
      <scheme val="minor"/>
    </font>
    <font>
      <b/>
      <sz val="11"/>
      <color theme="1" tint="0.14999847407452621"/>
      <name val="Calibri Light"/>
      <family val="2"/>
      <scheme val="major"/>
    </font>
    <font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</font>
    <font>
      <u/>
      <sz val="11"/>
      <color theme="1" tint="0.1499984740745262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sz val="12"/>
      <color theme="1"/>
      <name val="Aptos"/>
      <family val="2"/>
      <charset val="1"/>
    </font>
    <font>
      <b/>
      <sz val="14"/>
      <color theme="1"/>
      <name val="Calibri"/>
      <family val="2"/>
      <charset val="1"/>
    </font>
    <font>
      <sz val="10"/>
      <color rgb="FF000000"/>
      <name val="Helv"/>
      <family val="2"/>
      <charset val="1"/>
    </font>
    <font>
      <u/>
      <sz val="11"/>
      <color rgb="FF0070C0"/>
      <name val="Calibri"/>
      <family val="2"/>
      <scheme val="minor"/>
    </font>
    <font>
      <sz val="11"/>
      <color rgb="FF000000"/>
      <name val="Times New Roman"/>
      <family val="1"/>
      <charset val="1"/>
    </font>
    <font>
      <sz val="11"/>
      <color theme="1"/>
      <name val="Calibri Light"/>
      <family val="2"/>
    </font>
    <font>
      <sz val="12"/>
      <color theme="1"/>
      <name val="Tahoma"/>
      <family val="2"/>
    </font>
    <font>
      <sz val="11.5"/>
      <color rgb="FF000000"/>
      <name val="Times New Roman"/>
      <family val="1"/>
      <charset val="1"/>
    </font>
    <font>
      <b/>
      <sz val="12"/>
      <name val="Calibri"/>
      <family val="2"/>
      <scheme val="minor"/>
    </font>
    <font>
      <b/>
      <sz val="12"/>
      <name val="Calibri"/>
      <family val="2"/>
    </font>
    <font>
      <sz val="12"/>
      <color rgb="FF000000"/>
      <name val="Aptos"/>
      <family val="2"/>
    </font>
    <font>
      <b/>
      <u/>
      <sz val="11"/>
      <color theme="10"/>
      <name val="Calibri"/>
      <family val="2"/>
      <scheme val="minor"/>
    </font>
    <font>
      <b/>
      <sz val="11"/>
      <color rgb="FF2F75B5"/>
      <name val="Calibri"/>
      <family val="2"/>
    </font>
    <font>
      <b/>
      <sz val="11"/>
      <color rgb="FF2F75B5"/>
      <name val="Calibri"/>
      <family val="2"/>
      <scheme val="minor"/>
    </font>
    <font>
      <sz val="12"/>
      <color theme="8"/>
      <name val="Calibri"/>
      <family val="2"/>
    </font>
    <font>
      <sz val="12"/>
      <color theme="8"/>
      <name val="Calibri"/>
      <family val="2"/>
      <scheme val="minor"/>
    </font>
    <font>
      <b/>
      <sz val="11"/>
      <color theme="4" tint="0.39997558519241921"/>
      <name val="Calibri Light"/>
      <family val="2"/>
      <scheme val="major"/>
    </font>
    <font>
      <sz val="10"/>
      <color theme="1"/>
      <name val="Arial"/>
      <family val="2"/>
    </font>
    <font>
      <b/>
      <sz val="11"/>
      <color rgb="FF242424"/>
      <name val="Aptos Narrow"/>
      <family val="2"/>
    </font>
    <font>
      <b/>
      <sz val="11"/>
      <color rgb="FF444444"/>
      <name val="Aptos Narrow"/>
      <family val="2"/>
    </font>
    <font>
      <sz val="11.5"/>
      <color rgb="FF000000"/>
      <name val="Calibri"/>
      <family val="2"/>
      <charset val="1"/>
    </font>
    <font>
      <b/>
      <sz val="10"/>
      <color theme="1"/>
      <name val="Calibri"/>
      <family val="2"/>
      <charset val="1"/>
    </font>
    <font>
      <sz val="14"/>
      <color theme="1"/>
      <name val="Abadi Extra Light"/>
      <family val="2"/>
      <charset val="1"/>
    </font>
    <font>
      <b/>
      <sz val="9"/>
      <color theme="1"/>
      <name val="MyriadPro-Regular"/>
      <family val="2"/>
      <charset val="1"/>
    </font>
    <font>
      <b/>
      <sz val="11"/>
      <color rgb="FF000000"/>
      <name val="Arial"/>
      <family val="2"/>
      <charset val="1"/>
    </font>
    <font>
      <sz val="9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Aptos"/>
      <family val="2"/>
    </font>
    <font>
      <b/>
      <sz val="12"/>
      <color theme="1"/>
      <name val="Calibri"/>
      <family val="2"/>
    </font>
    <font>
      <b/>
      <sz val="12"/>
      <color theme="1"/>
      <name val="Calibri Light"/>
      <family val="2"/>
      <scheme val="major"/>
    </font>
    <font>
      <sz val="12"/>
      <color rgb="FF0070C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b/>
      <sz val="10"/>
      <color rgb="FF545454"/>
      <name val="Calibri"/>
      <family val="2"/>
      <scheme val="minor"/>
    </font>
    <font>
      <b/>
      <sz val="10"/>
      <color rgb="FF0A0101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F75B5"/>
      <name val="Calibri Light"/>
      <family val="2"/>
    </font>
    <font>
      <u/>
      <sz val="12"/>
      <color rgb="FF0070C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u/>
      <sz val="12"/>
      <color rgb="FF0070C0"/>
      <name val="Aptos Narrow"/>
      <family val="2"/>
    </font>
    <font>
      <u/>
      <sz val="12"/>
      <color rgb="FF0070C0"/>
      <name val="Calibri"/>
      <family val="2"/>
      <charset val="1"/>
    </font>
    <font>
      <sz val="12"/>
      <color rgb="FF0D0D0D"/>
      <name val="Calibri"/>
      <family val="2"/>
      <scheme val="minor"/>
    </font>
    <font>
      <sz val="12"/>
      <color rgb="FF242424"/>
      <name val="Calibri"/>
      <family val="2"/>
      <scheme val="minor"/>
    </font>
    <font>
      <sz val="12"/>
      <color theme="1"/>
      <name val="Calibri"/>
      <family val="2"/>
      <charset val="1"/>
    </font>
  </fonts>
  <fills count="4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9EE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rgb="FFFFC7CE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DEBF7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E9EEF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rgb="FFDDEBF7"/>
      </patternFill>
    </fill>
    <fill>
      <patternFill patternType="solid">
        <fgColor rgb="FFA9D08E"/>
        <bgColor rgb="FF000000"/>
      </patternFill>
    </fill>
    <fill>
      <patternFill patternType="solid">
        <fgColor rgb="FFA9D08E"/>
        <bgColor rgb="FFDDEBF7"/>
      </patternFill>
    </fill>
    <fill>
      <patternFill patternType="solid">
        <fgColor rgb="FFF4B084"/>
        <bgColor rgb="FF000000"/>
      </patternFill>
    </fill>
    <fill>
      <patternFill patternType="solid">
        <fgColor theme="4" tint="0.79998168889431442"/>
        <bgColor rgb="FFDDEBF7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rgb="FFDDEBF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DEBF7"/>
      </patternFill>
    </fill>
  </fills>
  <borders count="9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96AEC2"/>
      </top>
      <bottom style="thick">
        <color rgb="FF96AEC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96AEC2"/>
      </top>
      <bottom style="thin">
        <color rgb="FF96AEC2"/>
      </bottom>
      <diagonal/>
    </border>
    <border>
      <left/>
      <right style="thin">
        <color rgb="FF000000"/>
      </right>
      <top/>
      <bottom/>
      <diagonal/>
    </border>
    <border>
      <left style="thin">
        <color rgb="FFBFCEDA"/>
      </left>
      <right/>
      <top style="thin">
        <color rgb="FFBFCEDA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>
      <alignment vertical="center"/>
    </xf>
    <xf numFmtId="0" fontId="45" fillId="0" borderId="0" applyNumberFormat="0" applyFill="0" applyBorder="0" applyAlignment="0" applyProtection="0"/>
  </cellStyleXfs>
  <cellXfs count="35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/>
    </xf>
    <xf numFmtId="0" fontId="0" fillId="4" borderId="0" xfId="0" applyFill="1"/>
    <xf numFmtId="0" fontId="3" fillId="0" borderId="0" xfId="0" applyFont="1"/>
    <xf numFmtId="0" fontId="3" fillId="0" borderId="3" xfId="0" applyFont="1" applyBorder="1"/>
    <xf numFmtId="0" fontId="0" fillId="0" borderId="3" xfId="0" applyBorder="1"/>
    <xf numFmtId="14" fontId="0" fillId="0" borderId="0" xfId="0" applyNumberFormat="1"/>
    <xf numFmtId="0" fontId="13" fillId="0" borderId="0" xfId="3">
      <alignment vertical="center"/>
    </xf>
    <xf numFmtId="0" fontId="13" fillId="4" borderId="0" xfId="3" applyFill="1">
      <alignment vertical="center"/>
    </xf>
    <xf numFmtId="166" fontId="17" fillId="0" borderId="3" xfId="0" applyNumberFormat="1" applyFont="1" applyBorder="1" applyAlignment="1">
      <alignment horizontal="center"/>
    </xf>
    <xf numFmtId="165" fontId="16" fillId="4" borderId="3" xfId="0" applyNumberFormat="1" applyFont="1" applyFill="1" applyBorder="1" applyAlignment="1">
      <alignment horizontal="center"/>
    </xf>
    <xf numFmtId="0" fontId="13" fillId="3" borderId="0" xfId="3" applyFill="1">
      <alignment vertical="center"/>
    </xf>
    <xf numFmtId="0" fontId="18" fillId="3" borderId="9" xfId="3" applyFont="1" applyFill="1" applyBorder="1">
      <alignment vertical="center"/>
    </xf>
    <xf numFmtId="0" fontId="19" fillId="3" borderId="0" xfId="3" applyFont="1" applyFill="1">
      <alignment vertical="center"/>
    </xf>
    <xf numFmtId="0" fontId="19" fillId="0" borderId="0" xfId="3" applyFont="1">
      <alignment vertical="center"/>
    </xf>
    <xf numFmtId="14" fontId="3" fillId="0" borderId="0" xfId="0" applyNumberFormat="1" applyFont="1"/>
    <xf numFmtId="165" fontId="3" fillId="0" borderId="0" xfId="0" applyNumberFormat="1" applyFont="1"/>
    <xf numFmtId="0" fontId="6" fillId="7" borderId="3" xfId="3" applyFont="1" applyFill="1" applyBorder="1" applyAlignment="1">
      <alignment horizontal="center" vertical="center"/>
    </xf>
    <xf numFmtId="9" fontId="6" fillId="7" borderId="3" xfId="2" applyFont="1" applyFill="1" applyBorder="1" applyAlignment="1">
      <alignment horizontal="center" vertical="center"/>
    </xf>
    <xf numFmtId="167" fontId="8" fillId="4" borderId="0" xfId="0" applyNumberFormat="1" applyFont="1" applyFill="1" applyAlignment="1">
      <alignment horizontal="right"/>
    </xf>
    <xf numFmtId="168" fontId="7" fillId="4" borderId="0" xfId="0" applyNumberFormat="1" applyFont="1" applyFill="1" applyAlignment="1">
      <alignment horizontal="right"/>
    </xf>
    <xf numFmtId="0" fontId="14" fillId="0" borderId="0" xfId="3" applyFont="1" applyAlignment="1">
      <alignment horizontal="center" vertical="center"/>
    </xf>
    <xf numFmtId="164" fontId="14" fillId="0" borderId="0" xfId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6" fillId="7" borderId="7" xfId="3" applyFont="1" applyFill="1" applyBorder="1" applyAlignment="1">
      <alignment horizontal="center" vertical="center"/>
    </xf>
    <xf numFmtId="9" fontId="6" fillId="7" borderId="7" xfId="2" applyFont="1" applyFill="1" applyBorder="1" applyAlignment="1">
      <alignment horizontal="center" vertical="center"/>
    </xf>
    <xf numFmtId="1" fontId="13" fillId="0" borderId="0" xfId="3" applyNumberFormat="1">
      <alignment vertical="center"/>
    </xf>
    <xf numFmtId="0" fontId="24" fillId="0" borderId="0" xfId="3" applyFont="1">
      <alignment vertical="center"/>
    </xf>
    <xf numFmtId="0" fontId="24" fillId="0" borderId="0" xfId="3" applyFont="1" applyAlignment="1">
      <alignment horizontal="center" vertical="center"/>
    </xf>
    <xf numFmtId="0" fontId="29" fillId="0" borderId="0" xfId="3" applyFont="1">
      <alignment vertical="center"/>
    </xf>
    <xf numFmtId="166" fontId="13" fillId="0" borderId="0" xfId="3" applyNumberFormat="1">
      <alignment vertical="center"/>
    </xf>
    <xf numFmtId="1" fontId="9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wrapText="1"/>
      <protection locked="0"/>
    </xf>
    <xf numFmtId="14" fontId="10" fillId="0" borderId="3" xfId="0" applyNumberFormat="1" applyFont="1" applyBorder="1" applyAlignment="1" applyProtection="1">
      <alignment horizontal="center"/>
      <protection locked="0"/>
    </xf>
    <xf numFmtId="165" fontId="3" fillId="0" borderId="3" xfId="0" applyNumberFormat="1" applyFont="1" applyBorder="1" applyProtection="1">
      <protection locked="0"/>
    </xf>
    <xf numFmtId="0" fontId="10" fillId="0" borderId="3" xfId="0" applyFont="1" applyBorder="1" applyProtection="1">
      <protection locked="0"/>
    </xf>
    <xf numFmtId="14" fontId="10" fillId="0" borderId="3" xfId="0" applyNumberFormat="1" applyFont="1" applyBorder="1" applyProtection="1">
      <protection locked="0"/>
    </xf>
    <xf numFmtId="165" fontId="22" fillId="0" borderId="3" xfId="0" applyNumberFormat="1" applyFont="1" applyBorder="1" applyProtection="1">
      <protection locked="0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4" fontId="0" fillId="0" borderId="3" xfId="0" applyNumberFormat="1" applyBorder="1"/>
    <xf numFmtId="14" fontId="12" fillId="0" borderId="3" xfId="0" applyNumberFormat="1" applyFont="1" applyBorder="1"/>
    <xf numFmtId="165" fontId="12" fillId="0" borderId="3" xfId="0" applyNumberFormat="1" applyFont="1" applyBorder="1"/>
    <xf numFmtId="0" fontId="32" fillId="0" borderId="3" xfId="0" applyFont="1" applyBorder="1" applyAlignment="1">
      <alignment vertical="center"/>
    </xf>
    <xf numFmtId="0" fontId="32" fillId="0" borderId="3" xfId="0" applyFont="1" applyBorder="1" applyAlignment="1" applyProtection="1">
      <alignment horizontal="center" vertical="center" readingOrder="1"/>
      <protection locked="0"/>
    </xf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readingOrder="1"/>
    </xf>
    <xf numFmtId="0" fontId="32" fillId="0" borderId="3" xfId="0" applyFont="1" applyBorder="1" applyAlignment="1" applyProtection="1">
      <alignment horizontal="center" vertical="center"/>
      <protection locked="0"/>
    </xf>
    <xf numFmtId="0" fontId="32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center" wrapText="1"/>
    </xf>
    <xf numFmtId="0" fontId="32" fillId="0" borderId="3" xfId="0" applyFont="1" applyBorder="1" applyAlignment="1">
      <alignment vertical="center" readingOrder="1"/>
    </xf>
    <xf numFmtId="0" fontId="32" fillId="0" borderId="3" xfId="0" applyFont="1" applyBorder="1" applyAlignment="1" applyProtection="1">
      <alignment horizontal="center" vertical="center" wrapText="1"/>
      <protection locked="0"/>
    </xf>
    <xf numFmtId="0" fontId="32" fillId="0" borderId="3" xfId="3" applyFont="1" applyBorder="1" applyAlignment="1"/>
    <xf numFmtId="0" fontId="13" fillId="0" borderId="3" xfId="0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0" fontId="32" fillId="0" borderId="7" xfId="0" applyFont="1" applyBorder="1" applyAlignment="1">
      <alignment horizontal="center" vertical="center" readingOrder="1"/>
    </xf>
    <xf numFmtId="0" fontId="32" fillId="0" borderId="3" xfId="0" quotePrefix="1" applyFont="1" applyBorder="1" applyAlignment="1">
      <alignment horizontal="center" vertical="center" readingOrder="1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readingOrder="1"/>
    </xf>
    <xf numFmtId="0" fontId="13" fillId="0" borderId="3" xfId="0" quotePrefix="1" applyFont="1" applyBorder="1" applyAlignment="1">
      <alignment horizontal="center" vertical="center" readingOrder="1"/>
    </xf>
    <xf numFmtId="170" fontId="13" fillId="0" borderId="3" xfId="0" applyNumberFormat="1" applyFont="1" applyBorder="1" applyAlignment="1">
      <alignment horizontal="center" vertical="center" readingOrder="1"/>
    </xf>
    <xf numFmtId="0" fontId="21" fillId="6" borderId="2" xfId="3" applyFont="1" applyFill="1" applyBorder="1">
      <alignment vertical="center"/>
    </xf>
    <xf numFmtId="166" fontId="21" fillId="6" borderId="2" xfId="3" applyNumberFormat="1" applyFont="1" applyFill="1" applyBorder="1">
      <alignment vertical="center"/>
    </xf>
    <xf numFmtId="0" fontId="6" fillId="6" borderId="13" xfId="3" applyFont="1" applyFill="1" applyBorder="1" applyAlignment="1">
      <alignment horizontal="center" vertical="center"/>
    </xf>
    <xf numFmtId="0" fontId="6" fillId="6" borderId="14" xfId="3" applyFont="1" applyFill="1" applyBorder="1" applyAlignment="1">
      <alignment horizontal="center" vertical="center"/>
    </xf>
    <xf numFmtId="0" fontId="20" fillId="6" borderId="14" xfId="3" applyFont="1" applyFill="1" applyBorder="1" applyAlignment="1">
      <alignment horizontal="center" vertical="center"/>
    </xf>
    <xf numFmtId="0" fontId="6" fillId="6" borderId="5" xfId="3" applyFont="1" applyFill="1" applyBorder="1" applyAlignment="1">
      <alignment horizontal="center" vertical="center"/>
    </xf>
    <xf numFmtId="0" fontId="6" fillId="6" borderId="21" xfId="3" applyFont="1" applyFill="1" applyBorder="1" applyAlignment="1">
      <alignment horizontal="center" vertical="center"/>
    </xf>
    <xf numFmtId="0" fontId="21" fillId="6" borderId="25" xfId="3" applyFont="1" applyFill="1" applyBorder="1">
      <alignment vertical="center"/>
    </xf>
    <xf numFmtId="0" fontId="21" fillId="6" borderId="26" xfId="3" applyFont="1" applyFill="1" applyBorder="1">
      <alignment vertical="center"/>
    </xf>
    <xf numFmtId="0" fontId="6" fillId="7" borderId="22" xfId="3" applyFont="1" applyFill="1" applyBorder="1" applyAlignment="1">
      <alignment horizontal="center" vertical="center"/>
    </xf>
    <xf numFmtId="9" fontId="6" fillId="7" borderId="22" xfId="2" applyFont="1" applyFill="1" applyBorder="1" applyAlignment="1">
      <alignment horizontal="center" vertical="center"/>
    </xf>
    <xf numFmtId="165" fontId="17" fillId="0" borderId="7" xfId="0" applyNumberFormat="1" applyFont="1" applyBorder="1" applyAlignment="1">
      <alignment horizontal="center"/>
    </xf>
    <xf numFmtId="166" fontId="17" fillId="0" borderId="7" xfId="0" applyNumberFormat="1" applyFont="1" applyBorder="1" applyAlignment="1">
      <alignment horizontal="center"/>
    </xf>
    <xf numFmtId="0" fontId="4" fillId="2" borderId="24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165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0" fontId="3" fillId="0" borderId="31" xfId="0" applyFont="1" applyBorder="1" applyAlignment="1">
      <alignment horizontal="center"/>
    </xf>
    <xf numFmtId="169" fontId="5" fillId="0" borderId="32" xfId="0" applyNumberFormat="1" applyFont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9" fontId="13" fillId="0" borderId="0" xfId="3" applyNumberFormat="1">
      <alignment vertical="center"/>
    </xf>
    <xf numFmtId="9" fontId="0" fillId="0" borderId="0" xfId="2" applyFont="1" applyFill="1" applyBorder="1"/>
    <xf numFmtId="9" fontId="3" fillId="0" borderId="0" xfId="2" applyFont="1" applyBorder="1"/>
    <xf numFmtId="9" fontId="3" fillId="0" borderId="0" xfId="2" applyFont="1" applyBorder="1" applyAlignment="1">
      <alignment horizontal="left"/>
    </xf>
    <xf numFmtId="9" fontId="10" fillId="0" borderId="3" xfId="2" applyFont="1" applyFill="1" applyBorder="1" applyProtection="1">
      <protection locked="0"/>
    </xf>
    <xf numFmtId="9" fontId="0" fillId="0" borderId="3" xfId="2" applyFont="1" applyFill="1" applyBorder="1"/>
    <xf numFmtId="9" fontId="0" fillId="0" borderId="0" xfId="2" applyFont="1"/>
    <xf numFmtId="14" fontId="3" fillId="0" borderId="0" xfId="0" applyNumberFormat="1" applyFont="1" applyAlignment="1">
      <alignment horizontal="left"/>
    </xf>
    <xf numFmtId="0" fontId="15" fillId="0" borderId="0" xfId="3" applyFont="1" applyAlignment="1">
      <alignment horizontal="right" vertical="center"/>
    </xf>
    <xf numFmtId="165" fontId="14" fillId="0" borderId="0" xfId="1" applyNumberFormat="1" applyFont="1" applyFill="1" applyBorder="1" applyAlignment="1">
      <alignment horizontal="center" vertical="center"/>
    </xf>
    <xf numFmtId="166" fontId="21" fillId="6" borderId="24" xfId="3" applyNumberFormat="1" applyFont="1" applyFill="1" applyBorder="1">
      <alignment vertical="center"/>
    </xf>
    <xf numFmtId="0" fontId="33" fillId="0" borderId="3" xfId="0" applyFont="1" applyBorder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14" fontId="34" fillId="0" borderId="3" xfId="0" applyNumberFormat="1" applyFont="1" applyBorder="1" applyAlignment="1">
      <alignment horizontal="left" vertical="center"/>
    </xf>
    <xf numFmtId="0" fontId="35" fillId="0" borderId="3" xfId="0" applyFont="1" applyBorder="1" applyAlignment="1">
      <alignment horizontal="left" vertical="center" wrapText="1"/>
    </xf>
    <xf numFmtId="9" fontId="34" fillId="0" borderId="3" xfId="2" applyFont="1" applyFill="1" applyBorder="1" applyAlignment="1">
      <alignment horizontal="left" vertical="center"/>
    </xf>
    <xf numFmtId="0" fontId="34" fillId="0" borderId="3" xfId="0" applyFont="1" applyBorder="1" applyAlignment="1">
      <alignment horizontal="left" vertical="center" wrapText="1"/>
    </xf>
    <xf numFmtId="14" fontId="34" fillId="0" borderId="3" xfId="0" applyNumberFormat="1" applyFont="1" applyBorder="1" applyAlignment="1">
      <alignment horizontal="left" vertical="center" wrapText="1"/>
    </xf>
    <xf numFmtId="14" fontId="35" fillId="0" borderId="3" xfId="0" applyNumberFormat="1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/>
    </xf>
    <xf numFmtId="14" fontId="35" fillId="0" borderId="3" xfId="0" applyNumberFormat="1" applyFont="1" applyBorder="1" applyAlignment="1">
      <alignment horizontal="left" vertical="center"/>
    </xf>
    <xf numFmtId="0" fontId="33" fillId="0" borderId="3" xfId="0" applyFont="1" applyBorder="1" applyAlignment="1">
      <alignment horizontal="left" vertical="center" wrapText="1"/>
    </xf>
    <xf numFmtId="14" fontId="33" fillId="0" borderId="3" xfId="0" applyNumberFormat="1" applyFont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1" fontId="37" fillId="0" borderId="3" xfId="0" applyNumberFormat="1" applyFont="1" applyBorder="1" applyAlignment="1">
      <alignment horizontal="center" vertical="center"/>
    </xf>
    <xf numFmtId="0" fontId="37" fillId="0" borderId="3" xfId="0" applyFont="1" applyBorder="1" applyAlignment="1" applyProtection="1">
      <alignment horizontal="center" vertical="center"/>
      <protection locked="0"/>
    </xf>
    <xf numFmtId="0" fontId="37" fillId="0" borderId="3" xfId="0" applyFont="1" applyBorder="1" applyAlignment="1" applyProtection="1">
      <alignment horizontal="left"/>
      <protection locked="0"/>
    </xf>
    <xf numFmtId="0" fontId="35" fillId="0" borderId="3" xfId="0" applyFont="1" applyBorder="1" applyAlignment="1" applyProtection="1">
      <alignment wrapText="1"/>
      <protection locked="0"/>
    </xf>
    <xf numFmtId="14" fontId="37" fillId="0" borderId="3" xfId="0" applyNumberFormat="1" applyFont="1" applyBorder="1" applyAlignment="1" applyProtection="1">
      <alignment horizontal="center"/>
      <protection locked="0"/>
    </xf>
    <xf numFmtId="0" fontId="37" fillId="0" borderId="3" xfId="0" applyFont="1" applyBorder="1" applyProtection="1">
      <protection locked="0"/>
    </xf>
    <xf numFmtId="9" fontId="37" fillId="0" borderId="3" xfId="2" applyFont="1" applyFill="1" applyBorder="1" applyProtection="1">
      <protection locked="0"/>
    </xf>
    <xf numFmtId="14" fontId="37" fillId="0" borderId="3" xfId="0" applyNumberFormat="1" applyFont="1" applyBorder="1" applyProtection="1">
      <protection locked="0"/>
    </xf>
    <xf numFmtId="14" fontId="37" fillId="0" borderId="3" xfId="0" applyNumberFormat="1" applyFont="1" applyBorder="1" applyAlignment="1" applyProtection="1">
      <alignment horizontal="center" vertical="center"/>
      <protection locked="0"/>
    </xf>
    <xf numFmtId="0" fontId="38" fillId="0" borderId="3" xfId="0" applyFont="1" applyBorder="1" applyAlignment="1">
      <alignment horizontal="left" vertical="center"/>
    </xf>
    <xf numFmtId="0" fontId="39" fillId="0" borderId="3" xfId="0" applyFont="1" applyBorder="1"/>
    <xf numFmtId="0" fontId="39" fillId="0" borderId="3" xfId="0" applyFont="1" applyBorder="1" applyAlignment="1">
      <alignment horizontal="left" vertical="center"/>
    </xf>
    <xf numFmtId="14" fontId="39" fillId="0" borderId="3" xfId="0" applyNumberFormat="1" applyFont="1" applyBorder="1" applyAlignment="1">
      <alignment horizontal="left" vertical="center"/>
    </xf>
    <xf numFmtId="165" fontId="37" fillId="0" borderId="3" xfId="0" applyNumberFormat="1" applyFont="1" applyBorder="1" applyProtection="1">
      <protection locked="0"/>
    </xf>
    <xf numFmtId="0" fontId="41" fillId="0" borderId="8" xfId="0" applyFont="1" applyBorder="1" applyAlignment="1" applyProtection="1">
      <alignment horizontal="center" vertical="top" wrapText="1"/>
      <protection locked="0"/>
    </xf>
    <xf numFmtId="14" fontId="40" fillId="0" borderId="8" xfId="0" applyNumberFormat="1" applyFont="1" applyBorder="1" applyAlignment="1" applyProtection="1">
      <alignment horizontal="center" vertical="top" wrapText="1"/>
      <protection locked="0"/>
    </xf>
    <xf numFmtId="0" fontId="40" fillId="0" borderId="8" xfId="0" applyFont="1" applyBorder="1" applyAlignment="1" applyProtection="1">
      <alignment horizontal="center" vertical="center" wrapText="1"/>
      <protection locked="0"/>
    </xf>
    <xf numFmtId="0" fontId="21" fillId="8" borderId="27" xfId="3" applyFont="1" applyFill="1" applyBorder="1">
      <alignment vertical="center"/>
    </xf>
    <xf numFmtId="166" fontId="21" fillId="8" borderId="7" xfId="3" applyNumberFormat="1" applyFont="1" applyFill="1" applyBorder="1">
      <alignment vertical="center"/>
    </xf>
    <xf numFmtId="166" fontId="21" fillId="8" borderId="10" xfId="3" applyNumberFormat="1" applyFont="1" applyFill="1" applyBorder="1">
      <alignment vertical="center"/>
    </xf>
    <xf numFmtId="9" fontId="21" fillId="8" borderId="7" xfId="2" applyFont="1" applyFill="1" applyBorder="1" applyAlignment="1">
      <alignment vertical="center"/>
    </xf>
    <xf numFmtId="9" fontId="21" fillId="8" borderId="28" xfId="2" applyFont="1" applyFill="1" applyBorder="1" applyAlignment="1">
      <alignment vertical="center"/>
    </xf>
    <xf numFmtId="0" fontId="21" fillId="8" borderId="11" xfId="3" applyFont="1" applyFill="1" applyBorder="1">
      <alignment vertical="center"/>
    </xf>
    <xf numFmtId="166" fontId="21" fillId="8" borderId="3" xfId="3" applyNumberFormat="1" applyFont="1" applyFill="1" applyBorder="1">
      <alignment vertical="center"/>
    </xf>
    <xf numFmtId="9" fontId="21" fillId="8" borderId="3" xfId="2" applyFont="1" applyFill="1" applyBorder="1" applyAlignment="1">
      <alignment vertical="center"/>
    </xf>
    <xf numFmtId="9" fontId="21" fillId="8" borderId="12" xfId="2" applyFont="1" applyFill="1" applyBorder="1" applyAlignment="1">
      <alignment vertical="center"/>
    </xf>
    <xf numFmtId="0" fontId="21" fillId="8" borderId="4" xfId="3" applyFont="1" applyFill="1" applyBorder="1">
      <alignment vertical="center"/>
    </xf>
    <xf numFmtId="166" fontId="21" fillId="8" borderId="22" xfId="3" applyNumberFormat="1" applyFont="1" applyFill="1" applyBorder="1">
      <alignment vertical="center"/>
    </xf>
    <xf numFmtId="9" fontId="21" fillId="8" borderId="22" xfId="2" applyFont="1" applyFill="1" applyBorder="1" applyAlignment="1">
      <alignment vertical="center"/>
    </xf>
    <xf numFmtId="9" fontId="21" fillId="8" borderId="23" xfId="2" applyFont="1" applyFill="1" applyBorder="1" applyAlignment="1">
      <alignment vertical="center"/>
    </xf>
    <xf numFmtId="0" fontId="14" fillId="6" borderId="35" xfId="3" applyFont="1" applyFill="1" applyBorder="1" applyAlignment="1">
      <alignment horizontal="center" vertical="center"/>
    </xf>
    <xf numFmtId="0" fontId="14" fillId="6" borderId="36" xfId="3" applyFont="1" applyFill="1" applyBorder="1" applyAlignment="1">
      <alignment horizontal="center" vertical="center"/>
    </xf>
    <xf numFmtId="0" fontId="14" fillId="6" borderId="37" xfId="3" applyFont="1" applyFill="1" applyBorder="1" applyAlignment="1">
      <alignment horizontal="center" vertical="center"/>
    </xf>
    <xf numFmtId="0" fontId="14" fillId="6" borderId="17" xfId="3" applyFont="1" applyFill="1" applyBorder="1" applyAlignment="1">
      <alignment horizontal="center" vertical="center"/>
    </xf>
    <xf numFmtId="165" fontId="14" fillId="6" borderId="15" xfId="1" applyNumberFormat="1" applyFont="1" applyFill="1" applyBorder="1" applyAlignment="1">
      <alignment horizontal="center" vertical="center"/>
    </xf>
    <xf numFmtId="165" fontId="14" fillId="6" borderId="38" xfId="1" applyNumberFormat="1" applyFont="1" applyFill="1" applyBorder="1" applyAlignment="1">
      <alignment horizontal="center" vertical="center"/>
    </xf>
    <xf numFmtId="165" fontId="14" fillId="6" borderId="39" xfId="1" applyNumberFormat="1" applyFont="1" applyFill="1" applyBorder="1" applyAlignment="1">
      <alignment horizontal="center" vertical="center"/>
    </xf>
    <xf numFmtId="165" fontId="14" fillId="6" borderId="29" xfId="1" applyNumberFormat="1" applyFont="1" applyFill="1" applyBorder="1" applyAlignment="1">
      <alignment horizontal="center" vertical="center"/>
    </xf>
    <xf numFmtId="164" fontId="14" fillId="6" borderId="35" xfId="1" applyFont="1" applyFill="1" applyBorder="1" applyAlignment="1">
      <alignment horizontal="center" vertical="center"/>
    </xf>
    <xf numFmtId="164" fontId="14" fillId="6" borderId="36" xfId="1" applyFont="1" applyFill="1" applyBorder="1" applyAlignment="1">
      <alignment horizontal="center" vertical="center"/>
    </xf>
    <xf numFmtId="164" fontId="14" fillId="6" borderId="37" xfId="1" applyFont="1" applyFill="1" applyBorder="1" applyAlignment="1">
      <alignment horizontal="center" vertical="center"/>
    </xf>
    <xf numFmtId="164" fontId="14" fillId="6" borderId="17" xfId="1" applyFont="1" applyFill="1" applyBorder="1" applyAlignment="1">
      <alignment horizontal="center" vertical="center"/>
    </xf>
    <xf numFmtId="0" fontId="15" fillId="6" borderId="24" xfId="3" applyFont="1" applyFill="1" applyBorder="1" applyAlignment="1">
      <alignment horizontal="center" vertical="center"/>
    </xf>
    <xf numFmtId="0" fontId="14" fillId="6" borderId="16" xfId="3" applyFont="1" applyFill="1" applyBorder="1" applyAlignment="1">
      <alignment horizontal="left" vertical="center"/>
    </xf>
    <xf numFmtId="0" fontId="14" fillId="6" borderId="33" xfId="3" applyFont="1" applyFill="1" applyBorder="1" applyAlignment="1">
      <alignment horizontal="left" vertical="center"/>
    </xf>
    <xf numFmtId="0" fontId="14" fillId="6" borderId="34" xfId="3" applyFont="1" applyFill="1" applyBorder="1" applyAlignment="1">
      <alignment horizontal="left" vertical="center"/>
    </xf>
    <xf numFmtId="0" fontId="15" fillId="5" borderId="24" xfId="3" applyFont="1" applyFill="1" applyBorder="1" applyAlignment="1">
      <alignment horizontal="center" vertical="center"/>
    </xf>
    <xf numFmtId="0" fontId="15" fillId="5" borderId="17" xfId="3" applyFont="1" applyFill="1" applyBorder="1" applyAlignment="1">
      <alignment horizontal="center" vertical="center"/>
    </xf>
    <xf numFmtId="0" fontId="15" fillId="5" borderId="29" xfId="3" applyFont="1" applyFill="1" applyBorder="1" applyAlignment="1">
      <alignment horizontal="center" vertical="center"/>
    </xf>
    <xf numFmtId="0" fontId="15" fillId="3" borderId="0" xfId="3" applyFont="1" applyFill="1" applyAlignment="1">
      <alignment horizontal="left" vertical="center"/>
    </xf>
    <xf numFmtId="0" fontId="14" fillId="3" borderId="0" xfId="3" applyFont="1" applyFill="1" applyAlignment="1">
      <alignment horizontal="center" vertical="center"/>
    </xf>
    <xf numFmtId="165" fontId="14" fillId="3" borderId="0" xfId="1" applyNumberFormat="1" applyFont="1" applyFill="1" applyBorder="1" applyAlignment="1">
      <alignment horizontal="center" vertical="center"/>
    </xf>
    <xf numFmtId="166" fontId="21" fillId="6" borderId="25" xfId="3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22" fillId="0" borderId="3" xfId="0" applyNumberFormat="1" applyFont="1" applyBorder="1" applyAlignment="1" applyProtection="1">
      <alignment horizontal="left" vertical="center"/>
      <protection locked="0"/>
    </xf>
    <xf numFmtId="9" fontId="10" fillId="0" borderId="3" xfId="2" applyFont="1" applyFill="1" applyBorder="1" applyAlignment="1" applyProtection="1">
      <alignment horizontal="left" vertical="center"/>
      <protection locked="0"/>
    </xf>
    <xf numFmtId="14" fontId="10" fillId="0" borderId="3" xfId="0" applyNumberFormat="1" applyFont="1" applyBorder="1" applyAlignment="1" applyProtection="1">
      <alignment horizontal="left" vertical="center" wrapText="1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47" fillId="0" borderId="3" xfId="0" applyFont="1" applyBorder="1" applyAlignment="1">
      <alignment wrapText="1"/>
    </xf>
    <xf numFmtId="0" fontId="3" fillId="0" borderId="31" xfId="0" applyFont="1" applyBorder="1" applyAlignment="1">
      <alignment horizontal="center" vertical="center"/>
    </xf>
    <xf numFmtId="0" fontId="48" fillId="0" borderId="3" xfId="0" applyFont="1" applyBorder="1"/>
    <xf numFmtId="0" fontId="48" fillId="0" borderId="7" xfId="0" applyFont="1" applyBorder="1"/>
    <xf numFmtId="0" fontId="45" fillId="0" borderId="3" xfId="4" applyFill="1" applyBorder="1" applyAlignment="1"/>
    <xf numFmtId="0" fontId="48" fillId="0" borderId="0" xfId="0" applyFont="1"/>
    <xf numFmtId="1" fontId="9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 applyProtection="1">
      <alignment horizontal="left"/>
      <protection locked="0"/>
    </xf>
    <xf numFmtId="0" fontId="11" fillId="0" borderId="22" xfId="0" applyFont="1" applyBorder="1" applyAlignment="1" applyProtection="1">
      <alignment wrapText="1"/>
      <protection locked="0"/>
    </xf>
    <xf numFmtId="14" fontId="10" fillId="0" borderId="22" xfId="0" applyNumberFormat="1" applyFont="1" applyBorder="1" applyAlignment="1" applyProtection="1">
      <alignment horizontal="center"/>
      <protection locked="0"/>
    </xf>
    <xf numFmtId="165" fontId="3" fillId="0" borderId="22" xfId="0" applyNumberFormat="1" applyFont="1" applyBorder="1" applyProtection="1">
      <protection locked="0"/>
    </xf>
    <xf numFmtId="165" fontId="22" fillId="0" borderId="22" xfId="0" applyNumberFormat="1" applyFont="1" applyBorder="1" applyProtection="1">
      <protection locked="0"/>
    </xf>
    <xf numFmtId="9" fontId="10" fillId="0" borderId="22" xfId="2" applyFont="1" applyFill="1" applyBorder="1" applyProtection="1">
      <protection locked="0"/>
    </xf>
    <xf numFmtId="14" fontId="10" fillId="0" borderId="22" xfId="0" applyNumberFormat="1" applyFont="1" applyBorder="1" applyProtection="1">
      <protection locked="0"/>
    </xf>
    <xf numFmtId="0" fontId="23" fillId="0" borderId="22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 applyProtection="1">
      <alignment horizont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  <xf numFmtId="14" fontId="0" fillId="0" borderId="3" xfId="0" applyNumberFormat="1" applyBorder="1" applyAlignment="1">
      <alignment horizontal="center"/>
    </xf>
    <xf numFmtId="0" fontId="40" fillId="0" borderId="0" xfId="0" applyFont="1" applyAlignment="1" applyProtection="1">
      <alignment horizontal="center" vertical="center" wrapText="1"/>
      <protection locked="0"/>
    </xf>
    <xf numFmtId="14" fontId="34" fillId="0" borderId="45" xfId="0" applyNumberFormat="1" applyFont="1" applyBorder="1" applyAlignment="1">
      <alignment horizontal="left" vertical="center" wrapText="1"/>
    </xf>
    <xf numFmtId="168" fontId="31" fillId="3" borderId="45" xfId="0" applyNumberFormat="1" applyFont="1" applyFill="1" applyBorder="1" applyAlignment="1">
      <alignment horizontal="left"/>
    </xf>
    <xf numFmtId="0" fontId="34" fillId="0" borderId="45" xfId="0" applyFont="1" applyBorder="1" applyAlignment="1">
      <alignment horizontal="left" vertical="center"/>
    </xf>
    <xf numFmtId="14" fontId="40" fillId="0" borderId="0" xfId="0" applyNumberFormat="1" applyFont="1" applyAlignment="1" applyProtection="1">
      <alignment horizontal="center" vertical="top" wrapText="1"/>
      <protection locked="0"/>
    </xf>
    <xf numFmtId="0" fontId="57" fillId="0" borderId="0" xfId="0" applyFont="1" applyAlignment="1">
      <alignment horizontal="center" vertical="top" wrapText="1"/>
    </xf>
    <xf numFmtId="0" fontId="21" fillId="0" borderId="3" xfId="0" applyFont="1" applyBorder="1"/>
    <xf numFmtId="0" fontId="21" fillId="4" borderId="3" xfId="0" applyFont="1" applyFill="1" applyBorder="1"/>
    <xf numFmtId="0" fontId="21" fillId="0" borderId="3" xfId="0" applyFont="1" applyBorder="1" applyAlignment="1">
      <alignment horizontal="left"/>
    </xf>
    <xf numFmtId="14" fontId="37" fillId="0" borderId="3" xfId="0" applyNumberFormat="1" applyFont="1" applyBorder="1" applyAlignment="1" applyProtection="1">
      <alignment horizontal="left"/>
      <protection locked="0"/>
    </xf>
    <xf numFmtId="0" fontId="21" fillId="0" borderId="0" xfId="0" applyFont="1"/>
    <xf numFmtId="0" fontId="10" fillId="0" borderId="3" xfId="0" applyFont="1" applyBorder="1" applyAlignment="1" applyProtection="1">
      <alignment horizontal="center"/>
      <protection locked="0"/>
    </xf>
    <xf numFmtId="166" fontId="14" fillId="0" borderId="0" xfId="1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/>
    </xf>
    <xf numFmtId="9" fontId="61" fillId="0" borderId="22" xfId="2" applyFont="1" applyFill="1" applyBorder="1" applyAlignment="1" applyProtection="1">
      <alignment horizontal="center" vertical="center"/>
      <protection locked="0"/>
    </xf>
    <xf numFmtId="0" fontId="61" fillId="0" borderId="0" xfId="0" applyFont="1" applyAlignment="1">
      <alignment horizontal="center" vertical="center"/>
    </xf>
    <xf numFmtId="0" fontId="4" fillId="2" borderId="29" xfId="0" applyFont="1" applyFill="1" applyBorder="1" applyAlignment="1">
      <alignment horizontal="right" vertical="center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0" fillId="0" borderId="8" xfId="0" applyFont="1" applyBorder="1" applyAlignment="1" applyProtection="1">
      <alignment horizontal="right" vertical="center" wrapText="1"/>
      <protection locked="0"/>
    </xf>
    <xf numFmtId="0" fontId="34" fillId="0" borderId="3" xfId="0" applyFont="1" applyBorder="1" applyAlignment="1">
      <alignment horizontal="right" vertical="center"/>
    </xf>
    <xf numFmtId="9" fontId="0" fillId="0" borderId="0" xfId="2" applyFont="1" applyFill="1" applyBorder="1" applyAlignment="1">
      <alignment horizontal="center"/>
    </xf>
    <xf numFmtId="9" fontId="3" fillId="0" borderId="0" xfId="2" applyFont="1" applyBorder="1" applyAlignment="1">
      <alignment horizontal="center"/>
    </xf>
    <xf numFmtId="9" fontId="34" fillId="0" borderId="3" xfId="2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165" fontId="63" fillId="0" borderId="22" xfId="0" applyNumberFormat="1" applyFont="1" applyBorder="1" applyProtection="1">
      <protection locked="0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9" fontId="52" fillId="0" borderId="22" xfId="2" applyFont="1" applyFill="1" applyBorder="1" applyAlignment="1" applyProtection="1">
      <alignment horizontal="center"/>
      <protection locked="0"/>
    </xf>
    <xf numFmtId="9" fontId="58" fillId="0" borderId="22" xfId="2" applyFont="1" applyFill="1" applyBorder="1" applyProtection="1">
      <protection locked="0"/>
    </xf>
    <xf numFmtId="9" fontId="10" fillId="0" borderId="22" xfId="2" applyFont="1" applyFill="1" applyBorder="1" applyAlignment="1" applyProtection="1">
      <alignment horizontal="center" vertical="top"/>
      <protection locked="0"/>
    </xf>
    <xf numFmtId="0" fontId="67" fillId="0" borderId="7" xfId="0" applyFont="1" applyBorder="1" applyAlignment="1">
      <alignment readingOrder="1"/>
    </xf>
    <xf numFmtId="0" fontId="4" fillId="2" borderId="3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166" fontId="17" fillId="0" borderId="7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17" fillId="0" borderId="3" xfId="0" applyNumberFormat="1" applyFont="1" applyBorder="1" applyAlignment="1">
      <alignment horizontal="center" vertical="center"/>
    </xf>
    <xf numFmtId="167" fontId="8" fillId="4" borderId="0" xfId="0" applyNumberFormat="1" applyFont="1" applyFill="1" applyAlignment="1">
      <alignment horizontal="center" vertical="center"/>
    </xf>
    <xf numFmtId="169" fontId="5" fillId="0" borderId="32" xfId="0" applyNumberFormat="1" applyFont="1" applyBorder="1" applyAlignment="1">
      <alignment horizontal="center" vertical="center"/>
    </xf>
    <xf numFmtId="168" fontId="7" fillId="4" borderId="0" xfId="0" applyNumberFormat="1" applyFont="1" applyFill="1" applyAlignment="1">
      <alignment horizontal="center" vertical="center"/>
    </xf>
    <xf numFmtId="168" fontId="31" fillId="3" borderId="45" xfId="0" applyNumberFormat="1" applyFont="1" applyFill="1" applyBorder="1" applyAlignment="1">
      <alignment horizontal="center" vertical="center"/>
    </xf>
    <xf numFmtId="0" fontId="41" fillId="0" borderId="8" xfId="0" applyFont="1" applyBorder="1" applyAlignment="1" applyProtection="1">
      <alignment horizontal="center" vertical="center" wrapText="1"/>
      <protection locked="0"/>
    </xf>
    <xf numFmtId="14" fontId="40" fillId="0" borderId="47" xfId="0" applyNumberFormat="1" applyFont="1" applyBorder="1" applyAlignment="1" applyProtection="1">
      <alignment horizontal="center" vertical="center" wrapText="1"/>
      <protection locked="0"/>
    </xf>
    <xf numFmtId="0" fontId="37" fillId="0" borderId="3" xfId="0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37" fillId="0" borderId="3" xfId="2" applyFont="1" applyFill="1" applyBorder="1" applyAlignment="1" applyProtection="1">
      <alignment horizontal="left"/>
      <protection locked="0"/>
    </xf>
    <xf numFmtId="0" fontId="37" fillId="0" borderId="0" xfId="0" applyFont="1"/>
    <xf numFmtId="9" fontId="68" fillId="0" borderId="3" xfId="2" applyFont="1" applyFill="1" applyBorder="1" applyAlignment="1">
      <alignment horizontal="left" vertical="center"/>
    </xf>
    <xf numFmtId="0" fontId="45" fillId="0" borderId="3" xfId="4" applyFill="1" applyBorder="1" applyAlignment="1">
      <alignment horizontal="left" vertical="center"/>
    </xf>
    <xf numFmtId="9" fontId="37" fillId="0" borderId="22" xfId="2" applyFont="1" applyFill="1" applyBorder="1" applyAlignment="1" applyProtection="1">
      <alignment horizontal="left"/>
      <protection locked="0"/>
    </xf>
    <xf numFmtId="0" fontId="45" fillId="0" borderId="3" xfId="4" applyFill="1" applyBorder="1"/>
    <xf numFmtId="0" fontId="45" fillId="0" borderId="3" xfId="4" applyFill="1" applyBorder="1" applyAlignment="1">
      <alignment horizontal="left" vertical="center" wrapText="1"/>
    </xf>
    <xf numFmtId="0" fontId="39" fillId="0" borderId="3" xfId="0" applyFont="1" applyBorder="1" applyAlignment="1">
      <alignment horizontal="left"/>
    </xf>
    <xf numFmtId="165" fontId="37" fillId="0" borderId="3" xfId="0" applyNumberFormat="1" applyFont="1" applyBorder="1" applyAlignment="1" applyProtection="1">
      <alignment horizontal="left"/>
      <protection locked="0"/>
    </xf>
    <xf numFmtId="9" fontId="10" fillId="0" borderId="22" xfId="2" applyFont="1" applyFill="1" applyBorder="1" applyAlignment="1" applyProtection="1">
      <alignment horizontal="center"/>
      <protection locked="0"/>
    </xf>
    <xf numFmtId="0" fontId="48" fillId="0" borderId="51" xfId="0" applyFont="1" applyBorder="1"/>
    <xf numFmtId="14" fontId="34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/>
    </xf>
    <xf numFmtId="0" fontId="75" fillId="0" borderId="8" xfId="0" applyFont="1" applyBorder="1" applyAlignment="1" applyProtection="1">
      <alignment horizontal="center" vertical="top" wrapText="1"/>
      <protection locked="0"/>
    </xf>
    <xf numFmtId="0" fontId="77" fillId="0" borderId="0" xfId="0" applyFont="1" applyAlignment="1">
      <alignment horizontal="center" vertical="center"/>
    </xf>
    <xf numFmtId="0" fontId="74" fillId="0" borderId="8" xfId="0" applyFont="1" applyBorder="1" applyAlignment="1" applyProtection="1">
      <alignment horizontal="center" vertical="center" wrapText="1"/>
      <protection locked="0"/>
    </xf>
    <xf numFmtId="0" fontId="74" fillId="0" borderId="0" xfId="0" applyFont="1" applyAlignment="1" applyProtection="1">
      <alignment horizontal="center" vertical="center" wrapText="1"/>
      <protection locked="0"/>
    </xf>
    <xf numFmtId="169" fontId="0" fillId="0" borderId="0" xfId="0" applyNumberFormat="1" applyAlignment="1">
      <alignment horizontal="left"/>
    </xf>
    <xf numFmtId="0" fontId="4" fillId="2" borderId="29" xfId="0" applyFont="1" applyFill="1" applyBorder="1" applyAlignment="1">
      <alignment horizontal="left" vertical="center"/>
    </xf>
    <xf numFmtId="0" fontId="5" fillId="3" borderId="26" xfId="0" applyFont="1" applyFill="1" applyBorder="1" applyAlignment="1">
      <alignment horizontal="left"/>
    </xf>
    <xf numFmtId="169" fontId="5" fillId="0" borderId="32" xfId="0" applyNumberFormat="1" applyFont="1" applyBorder="1" applyAlignment="1">
      <alignment horizontal="left"/>
    </xf>
    <xf numFmtId="0" fontId="40" fillId="0" borderId="8" xfId="0" applyFont="1" applyBorder="1" applyAlignment="1" applyProtection="1">
      <alignment horizontal="left" vertical="center" wrapText="1"/>
      <protection locked="0"/>
    </xf>
    <xf numFmtId="14" fontId="0" fillId="0" borderId="0" xfId="0" applyNumberFormat="1" applyAlignment="1">
      <alignment horizontal="left"/>
    </xf>
    <xf numFmtId="165" fontId="3" fillId="0" borderId="0" xfId="0" applyNumberFormat="1" applyFont="1" applyAlignment="1">
      <alignment horizontal="left"/>
    </xf>
    <xf numFmtId="165" fontId="17" fillId="0" borderId="7" xfId="0" applyNumberFormat="1" applyFont="1" applyBorder="1" applyAlignment="1">
      <alignment horizontal="left"/>
    </xf>
    <xf numFmtId="166" fontId="17" fillId="0" borderId="7" xfId="0" applyNumberFormat="1" applyFont="1" applyBorder="1" applyAlignment="1">
      <alignment horizontal="left"/>
    </xf>
    <xf numFmtId="0" fontId="0" fillId="4" borderId="0" xfId="0" applyFill="1" applyAlignment="1">
      <alignment horizontal="left"/>
    </xf>
    <xf numFmtId="165" fontId="16" fillId="4" borderId="3" xfId="0" applyNumberFormat="1" applyFont="1" applyFill="1" applyBorder="1" applyAlignment="1">
      <alignment horizontal="left"/>
    </xf>
    <xf numFmtId="166" fontId="17" fillId="0" borderId="3" xfId="0" applyNumberFormat="1" applyFont="1" applyBorder="1" applyAlignment="1">
      <alignment horizontal="left"/>
    </xf>
    <xf numFmtId="167" fontId="8" fillId="4" borderId="0" xfId="0" applyNumberFormat="1" applyFont="1" applyFill="1" applyAlignment="1">
      <alignment horizontal="left"/>
    </xf>
    <xf numFmtId="168" fontId="7" fillId="4" borderId="0" xfId="0" applyNumberFormat="1" applyFont="1" applyFill="1" applyAlignment="1">
      <alignment horizontal="left"/>
    </xf>
    <xf numFmtId="0" fontId="41" fillId="0" borderId="8" xfId="0" applyFont="1" applyBorder="1" applyAlignment="1" applyProtection="1">
      <alignment horizontal="left" vertical="top" wrapText="1"/>
      <protection locked="0"/>
    </xf>
    <xf numFmtId="14" fontId="0" fillId="0" borderId="3" xfId="0" applyNumberFormat="1" applyBorder="1" applyAlignment="1">
      <alignment horizontal="left"/>
    </xf>
    <xf numFmtId="9" fontId="0" fillId="0" borderId="0" xfId="2" applyFont="1" applyAlignment="1">
      <alignment horizontal="left"/>
    </xf>
    <xf numFmtId="0" fontId="51" fillId="0" borderId="7" xfId="0" applyFont="1" applyBorder="1"/>
    <xf numFmtId="0" fontId="53" fillId="0" borderId="7" xfId="0" applyFont="1" applyBorder="1" applyAlignment="1">
      <alignment wrapText="1"/>
    </xf>
    <xf numFmtId="0" fontId="53" fillId="0" borderId="7" xfId="0" applyFont="1" applyBorder="1"/>
    <xf numFmtId="0" fontId="51" fillId="0" borderId="7" xfId="0" applyFont="1" applyBorder="1" applyAlignment="1">
      <alignment readingOrder="1"/>
    </xf>
    <xf numFmtId="0" fontId="35" fillId="0" borderId="3" xfId="0" applyFont="1" applyBorder="1" applyAlignment="1">
      <alignment horizontal="center" vertical="center" wrapText="1"/>
    </xf>
    <xf numFmtId="0" fontId="23" fillId="0" borderId="7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71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center"/>
    </xf>
    <xf numFmtId="14" fontId="10" fillId="0" borderId="3" xfId="0" applyNumberFormat="1" applyFont="1" applyBorder="1" applyAlignment="1" applyProtection="1">
      <alignment horizontal="left"/>
      <protection locked="0"/>
    </xf>
    <xf numFmtId="0" fontId="34" fillId="0" borderId="3" xfId="0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left"/>
    </xf>
    <xf numFmtId="14" fontId="10" fillId="0" borderId="22" xfId="0" applyNumberFormat="1" applyFont="1" applyBorder="1" applyAlignment="1" applyProtection="1">
      <alignment horizontal="left"/>
      <protection locked="0"/>
    </xf>
    <xf numFmtId="0" fontId="37" fillId="4" borderId="3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center" wrapText="1"/>
    </xf>
    <xf numFmtId="0" fontId="50" fillId="0" borderId="3" xfId="0" applyFont="1" applyBorder="1"/>
    <xf numFmtId="14" fontId="50" fillId="0" borderId="3" xfId="0" applyNumberFormat="1" applyFont="1" applyBorder="1"/>
    <xf numFmtId="0" fontId="50" fillId="0" borderId="3" xfId="0" applyFont="1" applyBorder="1" applyAlignment="1">
      <alignment horizontal="center"/>
    </xf>
    <xf numFmtId="0" fontId="55" fillId="0" borderId="3" xfId="0" applyFont="1" applyBorder="1"/>
    <xf numFmtId="0" fontId="47" fillId="0" borderId="3" xfId="0" applyFont="1" applyBorder="1"/>
    <xf numFmtId="14" fontId="47" fillId="0" borderId="3" xfId="0" applyNumberFormat="1" applyFont="1" applyBorder="1"/>
    <xf numFmtId="9" fontId="50" fillId="0" borderId="3" xfId="0" applyNumberFormat="1" applyFont="1" applyBorder="1"/>
    <xf numFmtId="9" fontId="10" fillId="0" borderId="22" xfId="2" applyFont="1" applyFill="1" applyBorder="1" applyAlignment="1" applyProtection="1">
      <alignment horizontal="left" vertical="center"/>
      <protection locked="0"/>
    </xf>
    <xf numFmtId="0" fontId="21" fillId="0" borderId="0" xfId="0" applyFont="1" applyAlignment="1">
      <alignment horizontal="left"/>
    </xf>
    <xf numFmtId="0" fontId="21" fillId="2" borderId="29" xfId="0" applyFont="1" applyFill="1" applyBorder="1" applyAlignment="1">
      <alignment vertical="center"/>
    </xf>
    <xf numFmtId="0" fontId="88" fillId="0" borderId="22" xfId="0" applyFont="1" applyBorder="1" applyAlignment="1" applyProtection="1">
      <alignment horizontal="left"/>
      <protection locked="0"/>
    </xf>
    <xf numFmtId="0" fontId="86" fillId="0" borderId="22" xfId="4" applyFont="1" applyFill="1" applyBorder="1" applyAlignment="1" applyProtection="1">
      <alignment horizontal="center"/>
      <protection locked="0"/>
    </xf>
    <xf numFmtId="0" fontId="88" fillId="0" borderId="3" xfId="4" applyFont="1" applyFill="1" applyBorder="1" applyAlignment="1" applyProtection="1">
      <alignment horizontal="left"/>
      <protection locked="0"/>
    </xf>
    <xf numFmtId="0" fontId="73" fillId="0" borderId="22" xfId="4" applyFont="1" applyFill="1" applyBorder="1" applyAlignment="1" applyProtection="1">
      <alignment horizontal="center" vertical="center"/>
      <protection locked="0"/>
    </xf>
    <xf numFmtId="0" fontId="88" fillId="0" borderId="22" xfId="4" applyFont="1" applyFill="1" applyBorder="1" applyAlignment="1" applyProtection="1">
      <alignment horizontal="left"/>
      <protection locked="0"/>
    </xf>
    <xf numFmtId="0" fontId="50" fillId="0" borderId="3" xfId="0" applyFont="1" applyBorder="1" applyAlignment="1">
      <alignment wrapText="1"/>
    </xf>
    <xf numFmtId="0" fontId="45" fillId="0" borderId="3" xfId="4" applyFill="1" applyBorder="1" applyAlignment="1">
      <alignment wrapText="1"/>
    </xf>
    <xf numFmtId="14" fontId="47" fillId="0" borderId="3" xfId="0" applyNumberFormat="1" applyFont="1" applyBorder="1" applyAlignment="1">
      <alignment wrapText="1"/>
    </xf>
    <xf numFmtId="0" fontId="27" fillId="0" borderId="3" xfId="0" applyFont="1" applyBorder="1"/>
    <xf numFmtId="0" fontId="28" fillId="0" borderId="3" xfId="0" applyFont="1" applyBorder="1"/>
    <xf numFmtId="14" fontId="50" fillId="0" borderId="3" xfId="0" applyNumberFormat="1" applyFont="1" applyBorder="1" applyAlignment="1">
      <alignment wrapText="1"/>
    </xf>
    <xf numFmtId="0" fontId="28" fillId="0" borderId="0" xfId="0" applyFont="1"/>
    <xf numFmtId="0" fontId="37" fillId="0" borderId="3" xfId="0" applyFont="1" applyBorder="1" applyAlignment="1">
      <alignment horizontal="left" vertical="center"/>
    </xf>
    <xf numFmtId="0" fontId="50" fillId="0" borderId="3" xfId="0" applyFont="1" applyBorder="1" applyAlignment="1">
      <alignment horizontal="left"/>
    </xf>
    <xf numFmtId="0" fontId="74" fillId="0" borderId="8" xfId="0" applyFont="1" applyBorder="1" applyAlignment="1" applyProtection="1">
      <alignment horizontal="left" vertical="center" wrapText="1"/>
      <protection locked="0"/>
    </xf>
    <xf numFmtId="9" fontId="10" fillId="0" borderId="3" xfId="2" applyFont="1" applyFill="1" applyBorder="1" applyAlignment="1" applyProtection="1">
      <alignment horizontal="left"/>
      <protection locked="0"/>
    </xf>
    <xf numFmtId="9" fontId="0" fillId="0" borderId="3" xfId="2" applyFont="1" applyFill="1" applyBorder="1" applyAlignment="1">
      <alignment horizontal="left"/>
    </xf>
    <xf numFmtId="165" fontId="3" fillId="0" borderId="3" xfId="0" applyNumberFormat="1" applyFont="1" applyBorder="1" applyAlignment="1" applyProtection="1">
      <alignment horizontal="left"/>
      <protection locked="0"/>
    </xf>
    <xf numFmtId="0" fontId="4" fillId="2" borderId="30" xfId="0" applyFont="1" applyFill="1" applyBorder="1" applyAlignment="1">
      <alignment horizontal="left" vertical="center"/>
    </xf>
    <xf numFmtId="0" fontId="74" fillId="0" borderId="0" xfId="0" applyFont="1" applyAlignment="1" applyProtection="1">
      <alignment horizontal="left" vertical="center" wrapText="1"/>
      <protection locked="0"/>
    </xf>
    <xf numFmtId="171" fontId="57" fillId="0" borderId="0" xfId="0" applyNumberFormat="1" applyFont="1" applyAlignment="1">
      <alignment horizontal="center"/>
    </xf>
    <xf numFmtId="171" fontId="94" fillId="0" borderId="29" xfId="0" applyNumberFormat="1" applyFont="1" applyBorder="1" applyAlignment="1">
      <alignment vertical="center"/>
    </xf>
    <xf numFmtId="171" fontId="95" fillId="0" borderId="7" xfId="0" applyNumberFormat="1" applyFont="1" applyBorder="1" applyAlignment="1">
      <alignment horizontal="center"/>
    </xf>
    <xf numFmtId="171" fontId="95" fillId="0" borderId="3" xfId="0" applyNumberFormat="1" applyFont="1" applyBorder="1" applyAlignment="1">
      <alignment horizontal="center"/>
    </xf>
    <xf numFmtId="171" fontId="40" fillId="0" borderId="8" xfId="0" applyNumberFormat="1" applyFont="1" applyBorder="1" applyAlignment="1" applyProtection="1">
      <alignment horizontal="center" vertical="center" wrapText="1"/>
      <protection locked="0"/>
    </xf>
    <xf numFmtId="171" fontId="57" fillId="0" borderId="0" xfId="0" applyNumberFormat="1" applyFont="1"/>
    <xf numFmtId="168" fontId="31" fillId="3" borderId="0" xfId="0" applyNumberFormat="1" applyFont="1" applyFill="1" applyAlignment="1">
      <alignment horizontal="center"/>
    </xf>
    <xf numFmtId="168" fontId="31" fillId="0" borderId="0" xfId="0" applyNumberFormat="1" applyFont="1" applyAlignment="1">
      <alignment horizontal="center"/>
    </xf>
    <xf numFmtId="0" fontId="46" fillId="0" borderId="0" xfId="0" applyFont="1" applyAlignment="1">
      <alignment horizontal="center" vertical="top" wrapText="1"/>
    </xf>
    <xf numFmtId="0" fontId="59" fillId="0" borderId="0" xfId="0" applyFont="1" applyAlignment="1">
      <alignment horizontal="left" vertical="center"/>
    </xf>
    <xf numFmtId="0" fontId="3" fillId="0" borderId="50" xfId="0" applyFont="1" applyBorder="1"/>
    <xf numFmtId="0" fontId="3" fillId="0" borderId="57" xfId="0" applyFont="1" applyBorder="1"/>
    <xf numFmtId="0" fontId="3" fillId="0" borderId="60" xfId="0" applyFont="1" applyBorder="1"/>
    <xf numFmtId="171" fontId="0" fillId="0" borderId="64" xfId="0" applyNumberFormat="1" applyBorder="1"/>
    <xf numFmtId="171" fontId="0" fillId="0" borderId="65" xfId="0" applyNumberFormat="1" applyBorder="1"/>
    <xf numFmtId="171" fontId="0" fillId="0" borderId="0" xfId="0" applyNumberFormat="1"/>
    <xf numFmtId="0" fontId="0" fillId="0" borderId="76" xfId="0" applyBorder="1"/>
    <xf numFmtId="0" fontId="0" fillId="0" borderId="79" xfId="0" applyBorder="1"/>
    <xf numFmtId="0" fontId="0" fillId="0" borderId="80" xfId="0" applyBorder="1"/>
    <xf numFmtId="171" fontId="0" fillId="0" borderId="74" xfId="0" applyNumberFormat="1" applyBorder="1"/>
    <xf numFmtId="171" fontId="0" fillId="0" borderId="68" xfId="0" applyNumberFormat="1" applyBorder="1"/>
    <xf numFmtId="171" fontId="0" fillId="0" borderId="75" xfId="0" applyNumberFormat="1" applyBorder="1"/>
    <xf numFmtId="171" fontId="0" fillId="0" borderId="78" xfId="0" applyNumberFormat="1" applyBorder="1"/>
    <xf numFmtId="0" fontId="28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/>
    </xf>
    <xf numFmtId="171" fontId="21" fillId="4" borderId="3" xfId="0" applyNumberFormat="1" applyFont="1" applyFill="1" applyBorder="1"/>
    <xf numFmtId="171" fontId="21" fillId="0" borderId="3" xfId="0" applyNumberFormat="1" applyFont="1" applyBorder="1"/>
    <xf numFmtId="171" fontId="4" fillId="2" borderId="29" xfId="0" applyNumberFormat="1" applyFont="1" applyFill="1" applyBorder="1" applyAlignment="1">
      <alignment horizontal="right" vertical="center"/>
    </xf>
    <xf numFmtId="171" fontId="4" fillId="2" borderId="29" xfId="0" applyNumberFormat="1" applyFont="1" applyFill="1" applyBorder="1" applyAlignment="1">
      <alignment vertical="center"/>
    </xf>
    <xf numFmtId="171" fontId="3" fillId="0" borderId="0" xfId="0" applyNumberFormat="1" applyFont="1"/>
    <xf numFmtId="0" fontId="37" fillId="0" borderId="3" xfId="0" applyFont="1" applyBorder="1" applyAlignment="1">
      <alignment vertical="center"/>
    </xf>
    <xf numFmtId="0" fontId="10" fillId="0" borderId="22" xfId="4" applyFont="1" applyFill="1" applyBorder="1" applyAlignment="1" applyProtection="1">
      <alignment horizontal="left"/>
      <protection locked="0"/>
    </xf>
    <xf numFmtId="0" fontId="0" fillId="9" borderId="0" xfId="0" applyFill="1"/>
    <xf numFmtId="0" fontId="0" fillId="18" borderId="0" xfId="0" applyFill="1" applyAlignment="1">
      <alignment horizontal="center" vertical="center"/>
    </xf>
    <xf numFmtId="0" fontId="0" fillId="17" borderId="0" xfId="0" applyFill="1"/>
    <xf numFmtId="0" fontId="0" fillId="3" borderId="0" xfId="0" applyFill="1"/>
    <xf numFmtId="0" fontId="93" fillId="0" borderId="3" xfId="0" applyFont="1" applyBorder="1"/>
    <xf numFmtId="0" fontId="37" fillId="0" borderId="0" xfId="0" applyFont="1" applyAlignment="1">
      <alignment vertical="center"/>
    </xf>
    <xf numFmtId="0" fontId="37" fillId="0" borderId="45" xfId="0" applyFont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169" fontId="37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65" fontId="25" fillId="0" borderId="3" xfId="0" applyNumberFormat="1" applyFont="1" applyBorder="1" applyAlignment="1">
      <alignment horizontal="center" vertical="center"/>
    </xf>
    <xf numFmtId="9" fontId="37" fillId="0" borderId="3" xfId="2" applyFont="1" applyBorder="1" applyAlignment="1">
      <alignment horizontal="center" vertical="center"/>
    </xf>
    <xf numFmtId="0" fontId="48" fillId="13" borderId="3" xfId="0" applyFont="1" applyFill="1" applyBorder="1" applyAlignment="1">
      <alignment horizontal="center" wrapText="1"/>
    </xf>
    <xf numFmtId="0" fontId="45" fillId="13" borderId="3" xfId="4" applyFill="1" applyBorder="1" applyAlignment="1">
      <alignment horizontal="center" wrapText="1"/>
    </xf>
    <xf numFmtId="0" fontId="27" fillId="13" borderId="3" xfId="0" applyFont="1" applyFill="1" applyBorder="1" applyAlignment="1">
      <alignment horizontal="center"/>
    </xf>
    <xf numFmtId="0" fontId="37" fillId="0" borderId="40" xfId="0" applyFont="1" applyBorder="1" applyAlignment="1">
      <alignment horizontal="center"/>
    </xf>
    <xf numFmtId="0" fontId="37" fillId="4" borderId="4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21" fillId="4" borderId="0" xfId="0" applyFont="1" applyFill="1" applyAlignment="1">
      <alignment horizontal="center"/>
    </xf>
    <xf numFmtId="0" fontId="79" fillId="4" borderId="0" xfId="0" applyFont="1" applyFill="1" applyAlignment="1">
      <alignment horizontal="center"/>
    </xf>
    <xf numFmtId="0" fontId="45" fillId="0" borderId="3" xfId="4" applyFill="1" applyBorder="1" applyAlignment="1">
      <alignment horizontal="center" wrapText="1"/>
    </xf>
    <xf numFmtId="14" fontId="48" fillId="0" borderId="3" xfId="0" applyNumberFormat="1" applyFont="1" applyBorder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45" fillId="0" borderId="3" xfId="4" applyFill="1" applyBorder="1" applyAlignment="1">
      <alignment horizontal="center"/>
    </xf>
    <xf numFmtId="0" fontId="21" fillId="17" borderId="0" xfId="0" applyFont="1" applyFill="1" applyAlignment="1">
      <alignment horizontal="center"/>
    </xf>
    <xf numFmtId="0" fontId="83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9" fontId="97" fillId="0" borderId="3" xfId="2" applyFont="1" applyFill="1" applyBorder="1" applyAlignment="1">
      <alignment horizontal="center" vertical="center"/>
    </xf>
    <xf numFmtId="0" fontId="40" fillId="0" borderId="8" xfId="0" applyFont="1" applyBorder="1" applyAlignment="1" applyProtection="1">
      <alignment horizontal="center" vertical="center" wrapText="1"/>
      <protection hidden="1"/>
    </xf>
    <xf numFmtId="0" fontId="84" fillId="0" borderId="8" xfId="0" applyFont="1" applyBorder="1" applyAlignment="1" applyProtection="1">
      <alignment horizontal="center" vertical="center" wrapText="1"/>
      <protection hidden="1"/>
    </xf>
    <xf numFmtId="0" fontId="41" fillId="0" borderId="8" xfId="0" applyFont="1" applyBorder="1" applyAlignment="1" applyProtection="1">
      <alignment horizontal="center" vertical="top" wrapText="1"/>
      <protection hidden="1"/>
    </xf>
    <xf numFmtId="14" fontId="40" fillId="0" borderId="8" xfId="0" applyNumberFormat="1" applyFont="1" applyBorder="1" applyAlignment="1" applyProtection="1">
      <alignment horizontal="left" vertical="top" wrapText="1"/>
      <protection hidden="1"/>
    </xf>
    <xf numFmtId="0" fontId="40" fillId="0" borderId="8" xfId="0" applyFont="1" applyBorder="1" applyAlignment="1" applyProtection="1">
      <alignment horizontal="left" vertical="center" wrapText="1"/>
      <protection hidden="1"/>
    </xf>
    <xf numFmtId="0" fontId="3" fillId="0" borderId="40" xfId="0" applyFont="1" applyBorder="1" applyProtection="1">
      <protection hidden="1"/>
    </xf>
    <xf numFmtId="0" fontId="0" fillId="0" borderId="0" xfId="0" applyProtection="1">
      <protection hidden="1"/>
    </xf>
    <xf numFmtId="0" fontId="3" fillId="0" borderId="40" xfId="0" applyFont="1" applyBorder="1" applyAlignment="1" applyProtection="1">
      <alignment horizontal="center"/>
      <protection hidden="1"/>
    </xf>
    <xf numFmtId="0" fontId="97" fillId="0" borderId="3" xfId="0" applyFont="1" applyBorder="1" applyAlignment="1">
      <alignment horizontal="left" vertical="center"/>
    </xf>
    <xf numFmtId="0" fontId="45" fillId="0" borderId="22" xfId="4" applyFill="1" applyBorder="1" applyAlignment="1" applyProtection="1">
      <alignment horizontal="left"/>
      <protection locked="0"/>
    </xf>
    <xf numFmtId="0" fontId="21" fillId="16" borderId="0" xfId="0" applyFont="1" applyFill="1" applyAlignment="1">
      <alignment horizontal="center"/>
    </xf>
    <xf numFmtId="0" fontId="14" fillId="2" borderId="24" xfId="0" applyFont="1" applyFill="1" applyBorder="1" applyAlignment="1">
      <alignment horizontal="left" vertical="center"/>
    </xf>
    <xf numFmtId="166" fontId="13" fillId="0" borderId="0" xfId="3" applyNumberFormat="1" applyAlignment="1">
      <alignment horizontal="center" vertical="center"/>
    </xf>
    <xf numFmtId="165" fontId="14" fillId="6" borderId="15" xfId="1" applyNumberFormat="1" applyFont="1" applyFill="1" applyBorder="1" applyAlignment="1">
      <alignment horizontal="right" vertical="center"/>
    </xf>
    <xf numFmtId="164" fontId="14" fillId="6" borderId="38" xfId="1" applyFont="1" applyFill="1" applyBorder="1" applyAlignment="1">
      <alignment horizontal="right" vertical="center"/>
    </xf>
    <xf numFmtId="164" fontId="14" fillId="6" borderId="39" xfId="1" applyFont="1" applyFill="1" applyBorder="1" applyAlignment="1">
      <alignment horizontal="right" vertical="center"/>
    </xf>
    <xf numFmtId="165" fontId="14" fillId="6" borderId="29" xfId="1" applyNumberFormat="1" applyFont="1" applyFill="1" applyBorder="1" applyAlignment="1">
      <alignment horizontal="right" vertical="center"/>
    </xf>
    <xf numFmtId="0" fontId="14" fillId="10" borderId="82" xfId="3" applyFont="1" applyFill="1" applyBorder="1" applyAlignment="1">
      <alignment horizontal="center" vertical="center"/>
    </xf>
    <xf numFmtId="166" fontId="14" fillId="9" borderId="83" xfId="3" applyNumberFormat="1" applyFont="1" applyFill="1" applyBorder="1" applyAlignment="1">
      <alignment horizontal="center" vertical="center"/>
    </xf>
    <xf numFmtId="166" fontId="14" fillId="9" borderId="57" xfId="3" applyNumberFormat="1" applyFont="1" applyFill="1" applyBorder="1" applyAlignment="1">
      <alignment horizontal="center" vertical="center"/>
    </xf>
    <xf numFmtId="166" fontId="14" fillId="9" borderId="58" xfId="3" applyNumberFormat="1" applyFont="1" applyFill="1" applyBorder="1" applyAlignment="1">
      <alignment horizontal="center" vertical="center"/>
    </xf>
    <xf numFmtId="166" fontId="14" fillId="9" borderId="84" xfId="3" applyNumberFormat="1" applyFont="1" applyFill="1" applyBorder="1" applyAlignment="1">
      <alignment horizontal="center" vertical="center"/>
    </xf>
    <xf numFmtId="0" fontId="14" fillId="10" borderId="67" xfId="3" applyFont="1" applyFill="1" applyBorder="1" applyAlignment="1">
      <alignment horizontal="center" vertical="center"/>
    </xf>
    <xf numFmtId="166" fontId="14" fillId="9" borderId="77" xfId="3" applyNumberFormat="1" applyFont="1" applyFill="1" applyBorder="1" applyAlignment="1">
      <alignment horizontal="center" vertical="center"/>
    </xf>
    <xf numFmtId="14" fontId="10" fillId="0" borderId="22" xfId="0" applyNumberFormat="1" applyFont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9" fontId="10" fillId="0" borderId="22" xfId="2" applyFont="1" applyBorder="1" applyProtection="1">
      <protection locked="0"/>
    </xf>
    <xf numFmtId="9" fontId="34" fillId="0" borderId="3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15" fillId="10" borderId="57" xfId="3" applyFont="1" applyFill="1" applyBorder="1" applyAlignment="1">
      <alignment horizontal="center" vertical="center"/>
    </xf>
    <xf numFmtId="9" fontId="15" fillId="10" borderId="59" xfId="3" applyNumberFormat="1" applyFont="1" applyFill="1" applyBorder="1" applyAlignment="1">
      <alignment horizontal="center" vertical="center"/>
    </xf>
    <xf numFmtId="0" fontId="15" fillId="3" borderId="50" xfId="3" applyFont="1" applyFill="1" applyBorder="1" applyAlignment="1">
      <alignment horizontal="center" vertical="center"/>
    </xf>
    <xf numFmtId="166" fontId="15" fillId="3" borderId="56" xfId="3" applyNumberFormat="1" applyFont="1" applyFill="1" applyBorder="1" applyAlignment="1">
      <alignment horizontal="center" vertical="center"/>
    </xf>
    <xf numFmtId="166" fontId="15" fillId="3" borderId="85" xfId="3" applyNumberFormat="1" applyFont="1" applyFill="1" applyBorder="1" applyAlignment="1">
      <alignment horizontal="center" vertical="center"/>
    </xf>
    <xf numFmtId="166" fontId="15" fillId="3" borderId="50" xfId="3" applyNumberFormat="1" applyFont="1" applyFill="1" applyBorder="1" applyAlignment="1">
      <alignment horizontal="center" vertical="center"/>
    </xf>
    <xf numFmtId="0" fontId="40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>
      <alignment horizontal="right"/>
    </xf>
    <xf numFmtId="0" fontId="4" fillId="2" borderId="30" xfId="0" applyFont="1" applyFill="1" applyBorder="1" applyAlignment="1">
      <alignment horizontal="right" vertical="center"/>
    </xf>
    <xf numFmtId="0" fontId="0" fillId="4" borderId="0" xfId="0" applyFill="1" applyAlignment="1">
      <alignment horizontal="right"/>
    </xf>
    <xf numFmtId="168" fontId="31" fillId="3" borderId="45" xfId="0" applyNumberFormat="1" applyFont="1" applyFill="1" applyBorder="1" applyAlignment="1">
      <alignment horizontal="right"/>
    </xf>
    <xf numFmtId="166" fontId="3" fillId="0" borderId="0" xfId="0" applyNumberFormat="1" applyFont="1" applyAlignment="1">
      <alignment horizontal="left" vertical="center"/>
    </xf>
    <xf numFmtId="0" fontId="100" fillId="0" borderId="22" xfId="0" applyFont="1" applyBorder="1" applyAlignment="1" applyProtection="1">
      <alignment horizontal="center"/>
      <protection locked="0"/>
    </xf>
    <xf numFmtId="0" fontId="104" fillId="0" borderId="22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 wrapText="1"/>
      <protection locked="0"/>
    </xf>
    <xf numFmtId="0" fontId="87" fillId="0" borderId="0" xfId="0" applyFont="1" applyAlignment="1">
      <alignment horizontal="center"/>
    </xf>
    <xf numFmtId="9" fontId="99" fillId="0" borderId="3" xfId="2" applyFont="1" applyFill="1" applyBorder="1" applyAlignment="1">
      <alignment horizontal="center" vertical="center"/>
    </xf>
    <xf numFmtId="168" fontId="31" fillId="3" borderId="45" xfId="0" applyNumberFormat="1" applyFont="1" applyFill="1" applyBorder="1"/>
    <xf numFmtId="0" fontId="40" fillId="0" borderId="0" xfId="0" applyFont="1" applyAlignment="1" applyProtection="1">
      <alignment vertical="center" wrapText="1"/>
      <protection hidden="1"/>
    </xf>
    <xf numFmtId="0" fontId="3" fillId="0" borderId="71" xfId="0" applyFont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7" fillId="0" borderId="7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57" fillId="0" borderId="63" xfId="0" applyFont="1" applyBorder="1" applyAlignment="1">
      <alignment horizontal="center" vertical="center" wrapText="1"/>
    </xf>
    <xf numFmtId="168" fontId="31" fillId="3" borderId="0" xfId="0" applyNumberFormat="1" applyFont="1" applyFill="1" applyAlignment="1">
      <alignment horizontal="left" vertical="center"/>
    </xf>
    <xf numFmtId="0" fontId="57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/>
    </xf>
    <xf numFmtId="0" fontId="77" fillId="0" borderId="3" xfId="0" applyFont="1" applyBorder="1" applyAlignment="1">
      <alignment horizontal="center" vertical="center"/>
    </xf>
    <xf numFmtId="171" fontId="77" fillId="0" borderId="3" xfId="0" applyNumberFormat="1" applyFont="1" applyBorder="1" applyAlignment="1">
      <alignment horizontal="center" vertical="center"/>
    </xf>
    <xf numFmtId="0" fontId="28" fillId="0" borderId="6" xfId="0" applyFont="1" applyBorder="1"/>
    <xf numFmtId="0" fontId="66" fillId="0" borderId="3" xfId="0" applyFont="1" applyBorder="1" applyAlignment="1">
      <alignment horizontal="left" vertical="center"/>
    </xf>
    <xf numFmtId="14" fontId="40" fillId="0" borderId="47" xfId="0" applyNumberFormat="1" applyFont="1" applyBorder="1" applyAlignment="1" applyProtection="1">
      <alignment horizontal="center" vertical="top" wrapText="1"/>
      <protection locked="0"/>
    </xf>
    <xf numFmtId="0" fontId="57" fillId="0" borderId="47" xfId="0" applyFont="1" applyBorder="1" applyAlignment="1">
      <alignment horizontal="center" vertical="top" wrapText="1"/>
    </xf>
    <xf numFmtId="171" fontId="78" fillId="0" borderId="3" xfId="0" applyNumberFormat="1" applyFont="1" applyBorder="1"/>
    <xf numFmtId="0" fontId="81" fillId="0" borderId="3" xfId="0" applyFont="1" applyBorder="1" applyAlignment="1">
      <alignment wrapText="1"/>
    </xf>
    <xf numFmtId="0" fontId="10" fillId="0" borderId="22" xfId="0" applyFont="1" applyBorder="1" applyAlignment="1" applyProtection="1">
      <alignment horizontal="left" vertical="center"/>
      <protection locked="0"/>
    </xf>
    <xf numFmtId="166" fontId="14" fillId="9" borderId="66" xfId="3" applyNumberFormat="1" applyFont="1" applyFill="1" applyBorder="1" applyAlignment="1">
      <alignment horizontal="center" vertical="center" wrapText="1"/>
    </xf>
    <xf numFmtId="166" fontId="14" fillId="9" borderId="57" xfId="3" applyNumberFormat="1" applyFont="1" applyFill="1" applyBorder="1" applyAlignment="1">
      <alignment horizontal="center" vertical="center" wrapText="1"/>
    </xf>
    <xf numFmtId="0" fontId="25" fillId="0" borderId="0" xfId="3" applyFont="1" applyAlignment="1">
      <alignment horizontal="center" vertical="center"/>
    </xf>
    <xf numFmtId="0" fontId="25" fillId="0" borderId="0" xfId="3" applyFont="1" applyAlignment="1">
      <alignment horizontal="left" vertical="center"/>
    </xf>
    <xf numFmtId="9" fontId="25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9" fontId="26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1" fontId="3" fillId="0" borderId="0" xfId="2" applyNumberFormat="1" applyFont="1" applyFill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48" fillId="0" borderId="70" xfId="0" applyFont="1" applyBorder="1"/>
    <xf numFmtId="0" fontId="92" fillId="0" borderId="0" xfId="0" applyFont="1"/>
    <xf numFmtId="0" fontId="37" fillId="0" borderId="3" xfId="0" applyFont="1" applyBorder="1" applyAlignment="1">
      <alignment horizontal="left"/>
    </xf>
    <xf numFmtId="0" fontId="37" fillId="0" borderId="3" xfId="0" applyFont="1" applyBorder="1"/>
    <xf numFmtId="1" fontId="37" fillId="0" borderId="22" xfId="0" applyNumberFormat="1" applyFont="1" applyBorder="1" applyAlignment="1">
      <alignment horizontal="left" vertical="center"/>
    </xf>
    <xf numFmtId="0" fontId="37" fillId="0" borderId="22" xfId="0" applyFont="1" applyBorder="1" applyAlignment="1" applyProtection="1">
      <alignment horizontal="left"/>
      <protection locked="0"/>
    </xf>
    <xf numFmtId="0" fontId="35" fillId="0" borderId="22" xfId="0" applyFont="1" applyBorder="1" applyAlignment="1" applyProtection="1">
      <alignment horizontal="left" wrapText="1"/>
      <protection locked="0"/>
    </xf>
    <xf numFmtId="14" fontId="37" fillId="0" borderId="22" xfId="0" applyNumberFormat="1" applyFont="1" applyBorder="1" applyAlignment="1" applyProtection="1">
      <alignment horizontal="left"/>
      <protection locked="0"/>
    </xf>
    <xf numFmtId="165" fontId="25" fillId="0" borderId="22" xfId="0" applyNumberFormat="1" applyFont="1" applyBorder="1" applyAlignment="1" applyProtection="1">
      <alignment horizontal="left"/>
      <protection locked="0"/>
    </xf>
    <xf numFmtId="0" fontId="37" fillId="0" borderId="22" xfId="0" applyFont="1" applyBorder="1" applyAlignment="1" applyProtection="1">
      <alignment horizontal="center"/>
      <protection locked="0"/>
    </xf>
    <xf numFmtId="0" fontId="37" fillId="0" borderId="22" xfId="0" applyFont="1" applyBorder="1" applyAlignment="1" applyProtection="1">
      <alignment horizontal="left" vertical="center"/>
      <protection locked="0"/>
    </xf>
    <xf numFmtId="0" fontId="34" fillId="0" borderId="3" xfId="0" applyFont="1" applyBorder="1" applyAlignment="1">
      <alignment horizontal="center" vertical="top"/>
    </xf>
    <xf numFmtId="14" fontId="34" fillId="0" borderId="3" xfId="0" applyNumberFormat="1" applyFont="1" applyBorder="1" applyAlignment="1">
      <alignment horizontal="center" vertical="top"/>
    </xf>
    <xf numFmtId="0" fontId="35" fillId="0" borderId="3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/>
    </xf>
    <xf numFmtId="0" fontId="34" fillId="0" borderId="45" xfId="0" applyFont="1" applyBorder="1" applyAlignment="1">
      <alignment horizontal="left" vertical="center" wrapText="1"/>
    </xf>
    <xf numFmtId="0" fontId="76" fillId="0" borderId="3" xfId="0" applyFont="1" applyBorder="1" applyAlignment="1" applyProtection="1">
      <alignment horizontal="left" vertical="top"/>
      <protection locked="0"/>
    </xf>
    <xf numFmtId="14" fontId="34" fillId="0" borderId="45" xfId="0" applyNumberFormat="1" applyFont="1" applyBorder="1" applyAlignment="1">
      <alignment horizontal="left" vertical="center"/>
    </xf>
    <xf numFmtId="0" fontId="97" fillId="0" borderId="3" xfId="0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/>
    </xf>
    <xf numFmtId="0" fontId="48" fillId="0" borderId="3" xfId="0" applyFont="1" applyBorder="1" applyAlignment="1">
      <alignment horizontal="center" wrapText="1"/>
    </xf>
    <xf numFmtId="0" fontId="27" fillId="0" borderId="3" xfId="0" applyFont="1" applyBorder="1" applyAlignment="1">
      <alignment horizontal="center"/>
    </xf>
    <xf numFmtId="9" fontId="27" fillId="0" borderId="3" xfId="0" applyNumberFormat="1" applyFont="1" applyBorder="1" applyAlignment="1">
      <alignment horizontal="center"/>
    </xf>
    <xf numFmtId="0" fontId="27" fillId="0" borderId="3" xfId="0" applyFont="1" applyBorder="1" applyAlignment="1">
      <alignment horizontal="center" wrapText="1"/>
    </xf>
    <xf numFmtId="14" fontId="27" fillId="0" borderId="3" xfId="0" applyNumberFormat="1" applyFont="1" applyBorder="1" applyAlignment="1">
      <alignment horizontal="center" wrapText="1"/>
    </xf>
    <xf numFmtId="0" fontId="27" fillId="0" borderId="45" xfId="0" applyFont="1" applyBorder="1" applyAlignment="1">
      <alignment wrapText="1"/>
    </xf>
    <xf numFmtId="0" fontId="58" fillId="0" borderId="3" xfId="0" applyFont="1" applyBorder="1" applyAlignment="1">
      <alignment horizontal="center"/>
    </xf>
    <xf numFmtId="14" fontId="27" fillId="0" borderId="45" xfId="0" applyNumberFormat="1" applyFont="1" applyBorder="1" applyAlignment="1">
      <alignment wrapText="1"/>
    </xf>
    <xf numFmtId="0" fontId="37" fillId="0" borderId="7" xfId="0" applyFont="1" applyBorder="1" applyAlignment="1">
      <alignment horizontal="center"/>
    </xf>
    <xf numFmtId="0" fontId="53" fillId="0" borderId="3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60" fillId="0" borderId="3" xfId="0" applyFont="1" applyBorder="1" applyAlignment="1">
      <alignment horizontal="center" vertical="center" wrapText="1"/>
    </xf>
    <xf numFmtId="0" fontId="97" fillId="0" borderId="3" xfId="0" applyFont="1" applyBorder="1" applyAlignment="1">
      <alignment horizontal="center" vertical="center" wrapText="1"/>
    </xf>
    <xf numFmtId="14" fontId="97" fillId="0" borderId="3" xfId="0" applyNumberFormat="1" applyFont="1" applyBorder="1" applyAlignment="1">
      <alignment horizontal="center" vertical="center"/>
    </xf>
    <xf numFmtId="0" fontId="45" fillId="0" borderId="3" xfId="4" applyFill="1" applyBorder="1" applyAlignment="1">
      <alignment horizontal="center" vertical="center" wrapText="1"/>
    </xf>
    <xf numFmtId="14" fontId="60" fillId="0" borderId="3" xfId="0" applyNumberFormat="1" applyFont="1" applyBorder="1" applyAlignment="1">
      <alignment horizontal="center" vertical="center" wrapText="1"/>
    </xf>
    <xf numFmtId="14" fontId="97" fillId="0" borderId="3" xfId="0" applyNumberFormat="1" applyFont="1" applyBorder="1" applyAlignment="1">
      <alignment horizontal="center" vertical="center" wrapText="1"/>
    </xf>
    <xf numFmtId="0" fontId="68" fillId="0" borderId="45" xfId="0" applyFont="1" applyBorder="1" applyAlignment="1">
      <alignment vertical="center" wrapText="1"/>
    </xf>
    <xf numFmtId="0" fontId="97" fillId="0" borderId="45" xfId="0" applyFont="1" applyBorder="1" applyAlignment="1">
      <alignment vertical="center" wrapText="1"/>
    </xf>
    <xf numFmtId="0" fontId="68" fillId="0" borderId="3" xfId="0" applyFont="1" applyBorder="1" applyAlignment="1">
      <alignment horizontal="left" vertical="center"/>
    </xf>
    <xf numFmtId="0" fontId="68" fillId="0" borderId="45" xfId="0" applyFont="1" applyBorder="1" applyAlignment="1">
      <alignment horizontal="left" vertical="center"/>
    </xf>
    <xf numFmtId="0" fontId="68" fillId="0" borderId="3" xfId="0" applyFont="1" applyBorder="1" applyAlignment="1">
      <alignment horizontal="left" vertical="center" wrapText="1"/>
    </xf>
    <xf numFmtId="14" fontId="68" fillId="0" borderId="3" xfId="0" applyNumberFormat="1" applyFont="1" applyBorder="1" applyAlignment="1">
      <alignment horizontal="left" vertical="center" wrapText="1"/>
    </xf>
    <xf numFmtId="0" fontId="100" fillId="0" borderId="3" xfId="0" applyFont="1" applyBorder="1" applyAlignment="1" applyProtection="1">
      <alignment horizontal="center"/>
      <protection locked="0"/>
    </xf>
    <xf numFmtId="14" fontId="100" fillId="0" borderId="3" xfId="0" applyNumberFormat="1" applyFont="1" applyBorder="1" applyAlignment="1">
      <alignment horizontal="center" vertical="center" wrapText="1"/>
    </xf>
    <xf numFmtId="0" fontId="97" fillId="0" borderId="3" xfId="0" applyFont="1" applyBorder="1" applyAlignment="1">
      <alignment horizontal="center"/>
    </xf>
    <xf numFmtId="0" fontId="97" fillId="0" borderId="45" xfId="0" applyFont="1" applyBorder="1" applyAlignment="1">
      <alignment horizontal="left" vertical="center"/>
    </xf>
    <xf numFmtId="14" fontId="35" fillId="0" borderId="3" xfId="0" applyNumberFormat="1" applyFont="1" applyBorder="1" applyAlignment="1">
      <alignment horizontal="center" vertical="center" wrapText="1"/>
    </xf>
    <xf numFmtId="0" fontId="101" fillId="0" borderId="3" xfId="0" applyFont="1" applyBorder="1" applyAlignment="1">
      <alignment horizontal="center" vertical="center"/>
    </xf>
    <xf numFmtId="0" fontId="34" fillId="0" borderId="45" xfId="0" applyFont="1" applyBorder="1" applyAlignment="1">
      <alignment vertical="center" wrapText="1"/>
    </xf>
    <xf numFmtId="0" fontId="58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14" fontId="34" fillId="0" borderId="3" xfId="0" applyNumberFormat="1" applyFont="1" applyBorder="1" applyAlignment="1">
      <alignment horizontal="center" vertical="center" wrapText="1"/>
    </xf>
    <xf numFmtId="0" fontId="97" fillId="0" borderId="3" xfId="0" applyFont="1" applyBorder="1" applyAlignment="1">
      <alignment horizontal="left" vertical="center" wrapText="1"/>
    </xf>
    <xf numFmtId="14" fontId="97" fillId="0" borderId="3" xfId="0" applyNumberFormat="1" applyFont="1" applyBorder="1" applyAlignment="1">
      <alignment horizontal="left" vertical="center" wrapText="1"/>
    </xf>
    <xf numFmtId="0" fontId="48" fillId="0" borderId="3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wrapText="1"/>
    </xf>
    <xf numFmtId="14" fontId="97" fillId="0" borderId="3" xfId="0" applyNumberFormat="1" applyFont="1" applyBorder="1" applyAlignment="1">
      <alignment horizontal="center" wrapText="1"/>
    </xf>
    <xf numFmtId="0" fontId="97" fillId="0" borderId="45" xfId="0" applyFont="1" applyBorder="1" applyAlignment="1">
      <alignment wrapText="1"/>
    </xf>
    <xf numFmtId="14" fontId="34" fillId="0" borderId="3" xfId="0" applyNumberFormat="1" applyFont="1" applyBorder="1" applyAlignment="1">
      <alignment horizontal="center"/>
    </xf>
    <xf numFmtId="14" fontId="35" fillId="0" borderId="3" xfId="0" applyNumberFormat="1" applyFont="1" applyBorder="1" applyAlignment="1">
      <alignment horizontal="center" wrapText="1"/>
    </xf>
    <xf numFmtId="0" fontId="34" fillId="0" borderId="3" xfId="0" applyFont="1" applyBorder="1" applyAlignment="1">
      <alignment horizontal="center"/>
    </xf>
    <xf numFmtId="0" fontId="34" fillId="0" borderId="3" xfId="0" applyFont="1" applyBorder="1" applyAlignment="1">
      <alignment horizontal="center" wrapText="1"/>
    </xf>
    <xf numFmtId="14" fontId="34" fillId="0" borderId="3" xfId="0" applyNumberFormat="1" applyFont="1" applyBorder="1" applyAlignment="1">
      <alignment horizontal="center" wrapText="1"/>
    </xf>
    <xf numFmtId="0" fontId="34" fillId="0" borderId="45" xfId="0" applyFont="1" applyBorder="1" applyAlignment="1">
      <alignment wrapText="1"/>
    </xf>
    <xf numFmtId="0" fontId="56" fillId="0" borderId="3" xfId="4" applyFont="1" applyFill="1" applyBorder="1" applyAlignment="1">
      <alignment horizontal="center" vertical="center" wrapText="1"/>
    </xf>
    <xf numFmtId="0" fontId="103" fillId="0" borderId="3" xfId="0" applyFont="1" applyBorder="1" applyAlignment="1">
      <alignment horizontal="center"/>
    </xf>
    <xf numFmtId="0" fontId="45" fillId="0" borderId="22" xfId="4" applyFill="1" applyBorder="1" applyAlignment="1">
      <alignment horizontal="center" vertical="center" wrapText="1"/>
    </xf>
    <xf numFmtId="0" fontId="85" fillId="0" borderId="3" xfId="4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14" fontId="33" fillId="0" borderId="3" xfId="0" applyNumberFormat="1" applyFont="1" applyBorder="1" applyAlignment="1">
      <alignment horizontal="center" vertical="center" wrapText="1"/>
    </xf>
    <xf numFmtId="0" fontId="99" fillId="0" borderId="3" xfId="0" applyFont="1" applyBorder="1" applyAlignment="1">
      <alignment horizontal="center" vertical="center"/>
    </xf>
    <xf numFmtId="0" fontId="100" fillId="0" borderId="3" xfId="0" applyFont="1" applyBorder="1" applyAlignment="1">
      <alignment horizontal="left" vertical="center" wrapText="1"/>
    </xf>
    <xf numFmtId="0" fontId="100" fillId="0" borderId="3" xfId="0" applyFont="1" applyBorder="1" applyAlignment="1" applyProtection="1">
      <alignment horizontal="left"/>
      <protection locked="0"/>
    </xf>
    <xf numFmtId="0" fontId="85" fillId="0" borderId="3" xfId="4" applyFont="1" applyFill="1" applyBorder="1" applyAlignment="1">
      <alignment horizontal="left" vertical="center" wrapText="1"/>
    </xf>
    <xf numFmtId="0" fontId="58" fillId="0" borderId="3" xfId="0" applyFont="1" applyBorder="1" applyAlignment="1">
      <alignment horizontal="left"/>
    </xf>
    <xf numFmtId="0" fontId="87" fillId="0" borderId="3" xfId="0" applyFont="1" applyBorder="1" applyAlignment="1">
      <alignment horizontal="left" vertical="center"/>
    </xf>
    <xf numFmtId="0" fontId="21" fillId="0" borderId="3" xfId="0" applyFont="1" applyBorder="1" applyAlignment="1" applyProtection="1">
      <alignment horizontal="left"/>
      <protection locked="0"/>
    </xf>
    <xf numFmtId="0" fontId="88" fillId="0" borderId="3" xfId="0" applyFont="1" applyBorder="1" applyAlignment="1" applyProtection="1">
      <alignment horizontal="left"/>
      <protection locked="0"/>
    </xf>
    <xf numFmtId="0" fontId="54" fillId="0" borderId="3" xfId="0" applyFont="1" applyBorder="1" applyAlignment="1">
      <alignment horizontal="center" vertical="top"/>
    </xf>
    <xf numFmtId="14" fontId="54" fillId="0" borderId="3" xfId="0" applyNumberFormat="1" applyFont="1" applyBorder="1" applyAlignment="1">
      <alignment horizontal="center" vertical="top"/>
    </xf>
    <xf numFmtId="0" fontId="48" fillId="0" borderId="22" xfId="0" applyFont="1" applyBorder="1" applyAlignment="1" applyProtection="1">
      <alignment horizontal="center"/>
      <protection locked="0"/>
    </xf>
    <xf numFmtId="0" fontId="89" fillId="0" borderId="22" xfId="4" applyFont="1" applyFill="1" applyBorder="1" applyAlignment="1" applyProtection="1">
      <alignment horizontal="center"/>
      <protection locked="0"/>
    </xf>
    <xf numFmtId="0" fontId="48" fillId="0" borderId="48" xfId="0" applyFont="1" applyBorder="1" applyAlignment="1" applyProtection="1">
      <alignment wrapText="1"/>
      <protection locked="0"/>
    </xf>
    <xf numFmtId="14" fontId="48" fillId="0" borderId="49" xfId="0" applyNumberFormat="1" applyFont="1" applyBorder="1" applyAlignment="1" applyProtection="1">
      <alignment horizontal="left"/>
      <protection locked="0"/>
    </xf>
    <xf numFmtId="1" fontId="62" fillId="0" borderId="22" xfId="0" applyNumberFormat="1" applyFont="1" applyBorder="1" applyAlignment="1" applyProtection="1">
      <alignment horizontal="center"/>
      <protection locked="0"/>
    </xf>
    <xf numFmtId="165" fontId="58" fillId="0" borderId="22" xfId="0" applyNumberFormat="1" applyFont="1" applyBorder="1" applyProtection="1">
      <protection locked="0"/>
    </xf>
    <xf numFmtId="14" fontId="58" fillId="0" borderId="22" xfId="0" applyNumberFormat="1" applyFont="1" applyBorder="1" applyAlignment="1" applyProtection="1">
      <alignment horizontal="left"/>
      <protection locked="0"/>
    </xf>
    <xf numFmtId="14" fontId="58" fillId="0" borderId="22" xfId="0" applyNumberFormat="1" applyFont="1" applyBorder="1" applyProtection="1">
      <protection locked="0"/>
    </xf>
    <xf numFmtId="0" fontId="58" fillId="0" borderId="22" xfId="0" applyFont="1" applyBorder="1" applyAlignment="1" applyProtection="1">
      <alignment horizontal="center"/>
      <protection locked="0"/>
    </xf>
    <xf numFmtId="1" fontId="61" fillId="0" borderId="3" xfId="0" applyNumberFormat="1" applyFont="1" applyBorder="1" applyAlignment="1">
      <alignment horizontal="center" vertical="center"/>
    </xf>
    <xf numFmtId="1" fontId="52" fillId="0" borderId="22" xfId="0" applyNumberFormat="1" applyFont="1" applyBorder="1" applyAlignment="1">
      <alignment horizontal="center" vertical="center"/>
    </xf>
    <xf numFmtId="14" fontId="52" fillId="0" borderId="3" xfId="0" applyNumberFormat="1" applyFont="1" applyBorder="1" applyAlignment="1">
      <alignment horizontal="center" vertical="top"/>
    </xf>
    <xf numFmtId="0" fontId="52" fillId="0" borderId="22" xfId="0" applyFont="1" applyBorder="1" applyAlignment="1" applyProtection="1">
      <alignment horizontal="center"/>
      <protection locked="0"/>
    </xf>
    <xf numFmtId="0" fontId="52" fillId="0" borderId="22" xfId="0" applyFont="1" applyBorder="1" applyAlignment="1" applyProtection="1">
      <alignment horizontal="center" wrapText="1"/>
      <protection locked="0"/>
    </xf>
    <xf numFmtId="14" fontId="52" fillId="0" borderId="22" xfId="0" applyNumberFormat="1" applyFont="1" applyBorder="1" applyAlignment="1" applyProtection="1">
      <alignment horizontal="left"/>
      <protection locked="0"/>
    </xf>
    <xf numFmtId="1" fontId="52" fillId="0" borderId="22" xfId="0" applyNumberFormat="1" applyFont="1" applyBorder="1" applyAlignment="1" applyProtection="1">
      <alignment horizontal="center"/>
      <protection locked="0"/>
    </xf>
    <xf numFmtId="165" fontId="48" fillId="0" borderId="22" xfId="0" applyNumberFormat="1" applyFont="1" applyBorder="1" applyAlignment="1" applyProtection="1">
      <alignment horizontal="center"/>
      <protection locked="0"/>
    </xf>
    <xf numFmtId="165" fontId="65" fillId="0" borderId="22" xfId="0" applyNumberFormat="1" applyFont="1" applyBorder="1" applyAlignment="1" applyProtection="1">
      <alignment horizontal="center"/>
      <protection locked="0"/>
    </xf>
    <xf numFmtId="14" fontId="52" fillId="0" borderId="22" xfId="0" applyNumberFormat="1" applyFont="1" applyBorder="1" applyAlignment="1" applyProtection="1">
      <alignment horizontal="center"/>
      <protection locked="0"/>
    </xf>
    <xf numFmtId="165" fontId="63" fillId="0" borderId="3" xfId="0" applyNumberFormat="1" applyFont="1" applyBorder="1" applyProtection="1">
      <protection locked="0"/>
    </xf>
    <xf numFmtId="1" fontId="61" fillId="0" borderId="22" xfId="0" applyNumberFormat="1" applyFont="1" applyBorder="1" applyAlignment="1">
      <alignment horizontal="center" vertical="center"/>
    </xf>
    <xf numFmtId="0" fontId="61" fillId="0" borderId="22" xfId="0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 applyProtection="1">
      <alignment horizontal="center" vertical="center" wrapText="1"/>
      <protection locked="0"/>
    </xf>
    <xf numFmtId="14" fontId="61" fillId="0" borderId="22" xfId="0" applyNumberFormat="1" applyFont="1" applyBorder="1" applyAlignment="1" applyProtection="1">
      <alignment horizontal="left" vertical="center"/>
      <protection locked="0"/>
    </xf>
    <xf numFmtId="165" fontId="64" fillId="0" borderId="22" xfId="0" applyNumberFormat="1" applyFont="1" applyBorder="1" applyAlignment="1" applyProtection="1">
      <alignment horizontal="center" vertical="center"/>
      <protection locked="0"/>
    </xf>
    <xf numFmtId="1" fontId="61" fillId="0" borderId="22" xfId="0" applyNumberFormat="1" applyFont="1" applyBorder="1" applyAlignment="1" applyProtection="1">
      <alignment horizontal="left" vertical="center" wrapText="1"/>
      <protection locked="0"/>
    </xf>
    <xf numFmtId="14" fontId="61" fillId="0" borderId="22" xfId="0" applyNumberFormat="1" applyFont="1" applyBorder="1" applyAlignment="1" applyProtection="1">
      <alignment horizontal="left" vertical="center" wrapText="1"/>
      <protection locked="0"/>
    </xf>
    <xf numFmtId="14" fontId="61" fillId="0" borderId="22" xfId="0" applyNumberFormat="1" applyFont="1" applyBorder="1" applyAlignment="1" applyProtection="1">
      <alignment horizontal="center" vertical="center"/>
      <protection locked="0"/>
    </xf>
    <xf numFmtId="165" fontId="3" fillId="0" borderId="22" xfId="0" applyNumberFormat="1" applyFont="1" applyBorder="1" applyAlignment="1" applyProtection="1">
      <alignment horizontal="center" vertical="top"/>
      <protection locked="0"/>
    </xf>
    <xf numFmtId="165" fontId="22" fillId="0" borderId="22" xfId="0" applyNumberFormat="1" applyFont="1" applyBorder="1" applyAlignment="1" applyProtection="1">
      <alignment horizontal="center" vertical="top"/>
      <protection locked="0"/>
    </xf>
    <xf numFmtId="14" fontId="10" fillId="0" borderId="22" xfId="0" applyNumberFormat="1" applyFont="1" applyBorder="1" applyAlignment="1" applyProtection="1">
      <alignment horizontal="left" vertical="top" wrapText="1"/>
      <protection locked="0"/>
    </xf>
    <xf numFmtId="14" fontId="10" fillId="0" borderId="22" xfId="0" applyNumberFormat="1" applyFont="1" applyBorder="1" applyAlignment="1" applyProtection="1">
      <alignment horizontal="center" vertical="top"/>
      <protection locked="0"/>
    </xf>
    <xf numFmtId="165" fontId="22" fillId="0" borderId="22" xfId="0" applyNumberFormat="1" applyFont="1" applyBorder="1" applyAlignment="1" applyProtection="1">
      <alignment horizontal="center" vertical="top" wrapText="1"/>
      <protection locked="0"/>
    </xf>
    <xf numFmtId="14" fontId="68" fillId="0" borderId="3" xfId="0" applyNumberFormat="1" applyFont="1" applyBorder="1" applyAlignment="1">
      <alignment horizontal="left" vertical="center"/>
    </xf>
    <xf numFmtId="0" fontId="69" fillId="0" borderId="3" xfId="0" applyFont="1" applyBorder="1" applyAlignment="1">
      <alignment horizontal="left" vertical="center" wrapText="1"/>
    </xf>
    <xf numFmtId="165" fontId="3" fillId="0" borderId="3" xfId="0" applyNumberFormat="1" applyFont="1" applyBorder="1" applyAlignment="1" applyProtection="1">
      <alignment horizontal="left" vertical="center"/>
      <protection locked="0"/>
    </xf>
    <xf numFmtId="14" fontId="10" fillId="0" borderId="3" xfId="0" applyNumberFormat="1" applyFont="1" applyBorder="1" applyAlignment="1" applyProtection="1">
      <alignment horizontal="left" vertical="center"/>
      <protection locked="0"/>
    </xf>
    <xf numFmtId="165" fontId="3" fillId="0" borderId="22" xfId="0" applyNumberFormat="1" applyFont="1" applyBorder="1" applyAlignment="1" applyProtection="1">
      <alignment horizontal="left" vertical="center"/>
      <protection locked="0"/>
    </xf>
    <xf numFmtId="165" fontId="22" fillId="0" borderId="22" xfId="0" applyNumberFormat="1" applyFont="1" applyBorder="1" applyAlignment="1" applyProtection="1">
      <alignment horizontal="left" vertical="center"/>
      <protection locked="0"/>
    </xf>
    <xf numFmtId="14" fontId="10" fillId="0" borderId="22" xfId="0" applyNumberFormat="1" applyFont="1" applyBorder="1" applyAlignment="1" applyProtection="1">
      <alignment horizontal="left" vertical="center" wrapText="1"/>
      <protection locked="0"/>
    </xf>
    <xf numFmtId="14" fontId="10" fillId="0" borderId="22" xfId="0" applyNumberFormat="1" applyFont="1" applyBorder="1" applyAlignment="1" applyProtection="1">
      <alignment horizontal="left" vertical="center"/>
      <protection locked="0"/>
    </xf>
    <xf numFmtId="14" fontId="68" fillId="0" borderId="45" xfId="0" applyNumberFormat="1" applyFont="1" applyBorder="1" applyAlignment="1">
      <alignment horizontal="left" vertical="center" wrapText="1"/>
    </xf>
    <xf numFmtId="0" fontId="0" fillId="0" borderId="42" xfId="0" applyBorder="1"/>
    <xf numFmtId="0" fontId="28" fillId="0" borderId="42" xfId="0" applyFont="1" applyBorder="1" applyAlignment="1">
      <alignment horizontal="left" vertical="center"/>
    </xf>
    <xf numFmtId="0" fontId="28" fillId="13" borderId="42" xfId="0" applyFont="1" applyFill="1" applyBorder="1"/>
    <xf numFmtId="0" fontId="28" fillId="0" borderId="42" xfId="0" applyFont="1" applyBorder="1"/>
    <xf numFmtId="0" fontId="27" fillId="13" borderId="42" xfId="0" applyFont="1" applyFill="1" applyBorder="1"/>
    <xf numFmtId="0" fontId="27" fillId="0" borderId="42" xfId="0" applyFont="1" applyBorder="1"/>
    <xf numFmtId="0" fontId="27" fillId="0" borderId="81" xfId="0" applyFont="1" applyBorder="1"/>
    <xf numFmtId="0" fontId="27" fillId="13" borderId="6" xfId="0" applyFont="1" applyFill="1" applyBorder="1"/>
    <xf numFmtId="0" fontId="27" fillId="0" borderId="6" xfId="0" applyFont="1" applyBorder="1"/>
    <xf numFmtId="0" fontId="28" fillId="13" borderId="6" xfId="0" applyFont="1" applyFill="1" applyBorder="1"/>
    <xf numFmtId="0" fontId="0" fillId="0" borderId="6" xfId="0" applyBorder="1"/>
    <xf numFmtId="0" fontId="34" fillId="0" borderId="3" xfId="0" applyFont="1" applyBorder="1" applyAlignment="1">
      <alignment horizontal="right" vertical="center" wrapText="1"/>
    </xf>
    <xf numFmtId="14" fontId="34" fillId="0" borderId="3" xfId="0" applyNumberFormat="1" applyFont="1" applyBorder="1" applyAlignment="1">
      <alignment horizontal="right" vertical="center" wrapText="1"/>
    </xf>
    <xf numFmtId="0" fontId="45" fillId="0" borderId="3" xfId="4" quotePrefix="1" applyFill="1" applyBorder="1" applyAlignment="1">
      <alignment horizontal="left" vertical="center" wrapText="1"/>
    </xf>
    <xf numFmtId="3" fontId="34" fillId="0" borderId="3" xfId="0" applyNumberFormat="1" applyFont="1" applyBorder="1" applyAlignment="1">
      <alignment horizontal="left" vertical="center"/>
    </xf>
    <xf numFmtId="0" fontId="50" fillId="0" borderId="3" xfId="0" applyFont="1" applyBorder="1" applyAlignment="1">
      <alignment horizontal="center" wrapText="1"/>
    </xf>
    <xf numFmtId="14" fontId="50" fillId="0" borderId="3" xfId="0" applyNumberFormat="1" applyFont="1" applyBorder="1" applyAlignment="1">
      <alignment horizontal="right" wrapText="1"/>
    </xf>
    <xf numFmtId="0" fontId="50" fillId="0" borderId="3" xfId="0" applyFont="1" applyBorder="1" applyAlignment="1">
      <alignment horizontal="right" wrapText="1"/>
    </xf>
    <xf numFmtId="0" fontId="50" fillId="0" borderId="3" xfId="0" applyFont="1" applyBorder="1" applyAlignment="1">
      <alignment horizontal="right"/>
    </xf>
    <xf numFmtId="14" fontId="50" fillId="0" borderId="3" xfId="0" applyNumberFormat="1" applyFont="1" applyBorder="1" applyAlignment="1">
      <alignment horizontal="right"/>
    </xf>
    <xf numFmtId="14" fontId="27" fillId="0" borderId="3" xfId="0" applyNumberFormat="1" applyFont="1" applyBorder="1" applyAlignment="1">
      <alignment horizontal="right"/>
    </xf>
    <xf numFmtId="0" fontId="27" fillId="0" borderId="3" xfId="0" applyFont="1" applyBorder="1" applyAlignment="1">
      <alignment horizontal="right"/>
    </xf>
    <xf numFmtId="0" fontId="0" fillId="0" borderId="3" xfId="0" applyBorder="1" applyAlignment="1">
      <alignment horizontal="right"/>
    </xf>
    <xf numFmtId="14" fontId="0" fillId="0" borderId="3" xfId="0" applyNumberFormat="1" applyBorder="1" applyAlignment="1">
      <alignment horizontal="right"/>
    </xf>
    <xf numFmtId="14" fontId="34" fillId="0" borderId="3" xfId="0" applyNumberFormat="1" applyFont="1" applyBorder="1" applyAlignment="1">
      <alignment horizontal="right" vertical="center"/>
    </xf>
    <xf numFmtId="14" fontId="10" fillId="0" borderId="3" xfId="0" applyNumberFormat="1" applyFont="1" applyBorder="1" applyAlignment="1" applyProtection="1">
      <alignment horizontal="right" vertical="center"/>
      <protection locked="0"/>
    </xf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right" vertical="center"/>
    </xf>
    <xf numFmtId="14" fontId="37" fillId="0" borderId="3" xfId="0" applyNumberFormat="1" applyFont="1" applyBorder="1" applyAlignment="1" applyProtection="1">
      <alignment horizontal="right"/>
      <protection locked="0"/>
    </xf>
    <xf numFmtId="14" fontId="10" fillId="0" borderId="3" xfId="0" applyNumberFormat="1" applyFont="1" applyBorder="1" applyAlignment="1" applyProtection="1">
      <alignment horizontal="right"/>
      <protection locked="0"/>
    </xf>
    <xf numFmtId="14" fontId="12" fillId="0" borderId="3" xfId="0" applyNumberFormat="1" applyFont="1" applyBorder="1" applyAlignment="1">
      <alignment horizontal="center"/>
    </xf>
    <xf numFmtId="14" fontId="12" fillId="0" borderId="3" xfId="0" applyNumberFormat="1" applyFont="1" applyBorder="1" applyAlignment="1">
      <alignment horizontal="right"/>
    </xf>
    <xf numFmtId="0" fontId="13" fillId="0" borderId="3" xfId="3" applyBorder="1">
      <alignment vertical="center"/>
    </xf>
    <xf numFmtId="0" fontId="25" fillId="0" borderId="2" xfId="0" applyFont="1" applyBorder="1" applyAlignment="1">
      <alignment horizontal="center"/>
    </xf>
    <xf numFmtId="0" fontId="105" fillId="3" borderId="26" xfId="0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166" fontId="25" fillId="0" borderId="0" xfId="0" applyNumberFormat="1" applyFont="1" applyAlignment="1">
      <alignment horizontal="left"/>
    </xf>
    <xf numFmtId="171" fontId="25" fillId="0" borderId="0" xfId="0" applyNumberFormat="1" applyFont="1" applyAlignment="1">
      <alignment horizontal="right"/>
    </xf>
    <xf numFmtId="9" fontId="25" fillId="0" borderId="0" xfId="2" applyFont="1" applyBorder="1" applyAlignment="1">
      <alignment horizontal="center"/>
    </xf>
    <xf numFmtId="14" fontId="25" fillId="0" borderId="0" xfId="0" applyNumberFormat="1" applyFont="1" applyAlignment="1">
      <alignment horizontal="left"/>
    </xf>
    <xf numFmtId="171" fontId="25" fillId="0" borderId="0" xfId="0" applyNumberFormat="1" applyFont="1" applyAlignment="1">
      <alignment horizontal="left"/>
    </xf>
    <xf numFmtId="0" fontId="37" fillId="4" borderId="0" xfId="0" applyFont="1" applyFill="1" applyAlignment="1">
      <alignment horizontal="left"/>
    </xf>
    <xf numFmtId="0" fontId="25" fillId="0" borderId="31" xfId="0" applyFont="1" applyBorder="1" applyAlignment="1">
      <alignment horizontal="center"/>
    </xf>
    <xf numFmtId="169" fontId="105" fillId="0" borderId="32" xfId="0" applyNumberFormat="1" applyFont="1" applyBorder="1" applyAlignment="1">
      <alignment horizontal="center"/>
    </xf>
    <xf numFmtId="168" fontId="7" fillId="3" borderId="45" xfId="0" applyNumberFormat="1" applyFont="1" applyFill="1" applyBorder="1" applyAlignment="1">
      <alignment horizontal="left"/>
    </xf>
    <xf numFmtId="168" fontId="7" fillId="3" borderId="0" xfId="0" applyNumberFormat="1" applyFont="1" applyFill="1" applyAlignment="1">
      <alignment horizontal="center"/>
    </xf>
    <xf numFmtId="171" fontId="74" fillId="0" borderId="8" xfId="0" applyNumberFormat="1" applyFont="1" applyBorder="1" applyAlignment="1" applyProtection="1">
      <alignment horizontal="right" vertical="center" wrapText="1"/>
      <protection locked="0"/>
    </xf>
    <xf numFmtId="171" fontId="74" fillId="0" borderId="8" xfId="0" applyNumberFormat="1" applyFont="1" applyBorder="1" applyAlignment="1" applyProtection="1">
      <alignment horizontal="center" vertical="center" wrapText="1"/>
      <protection locked="0"/>
    </xf>
    <xf numFmtId="0" fontId="59" fillId="0" borderId="3" xfId="0" applyFont="1" applyBorder="1" applyAlignment="1">
      <alignment horizontal="left" vertical="center"/>
    </xf>
    <xf numFmtId="14" fontId="74" fillId="0" borderId="47" xfId="0" applyNumberFormat="1" applyFont="1" applyBorder="1" applyAlignment="1" applyProtection="1">
      <alignment horizontal="center" vertical="top" wrapText="1"/>
      <protection locked="0"/>
    </xf>
    <xf numFmtId="0" fontId="46" fillId="0" borderId="47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/>
    </xf>
    <xf numFmtId="0" fontId="39" fillId="0" borderId="45" xfId="0" applyFont="1" applyBorder="1" applyAlignment="1">
      <alignment horizontal="left" vertical="center"/>
    </xf>
    <xf numFmtId="14" fontId="37" fillId="0" borderId="45" xfId="0" applyNumberFormat="1" applyFont="1" applyBorder="1" applyAlignment="1" applyProtection="1">
      <alignment horizontal="left"/>
      <protection locked="0"/>
    </xf>
    <xf numFmtId="14" fontId="37" fillId="0" borderId="48" xfId="0" applyNumberFormat="1" applyFont="1" applyBorder="1" applyAlignment="1" applyProtection="1">
      <alignment horizontal="left"/>
      <protection locked="0"/>
    </xf>
    <xf numFmtId="14" fontId="40" fillId="0" borderId="47" xfId="0" applyNumberFormat="1" applyFont="1" applyBorder="1" applyAlignment="1" applyProtection="1">
      <alignment horizontal="left" vertical="top" wrapText="1"/>
      <protection locked="0"/>
    </xf>
    <xf numFmtId="0" fontId="57" fillId="0" borderId="63" xfId="0" applyFont="1" applyBorder="1" applyAlignment="1">
      <alignment horizontal="center" vertical="top" wrapText="1"/>
    </xf>
    <xf numFmtId="14" fontId="10" fillId="0" borderId="45" xfId="0" applyNumberFormat="1" applyFont="1" applyBorder="1" applyAlignment="1" applyProtection="1">
      <alignment horizontal="left"/>
      <protection locked="0"/>
    </xf>
    <xf numFmtId="14" fontId="76" fillId="0" borderId="45" xfId="0" applyNumberFormat="1" applyFont="1" applyBorder="1" applyAlignment="1" applyProtection="1">
      <alignment horizontal="left" vertical="center" wrapText="1"/>
      <protection locked="0"/>
    </xf>
    <xf numFmtId="14" fontId="12" fillId="0" borderId="45" xfId="0" applyNumberFormat="1" applyFont="1" applyBorder="1" applyAlignment="1">
      <alignment horizontal="left"/>
    </xf>
    <xf numFmtId="0" fontId="37" fillId="0" borderId="42" xfId="0" applyFont="1" applyBorder="1" applyAlignment="1">
      <alignment horizontal="center"/>
    </xf>
    <xf numFmtId="14" fontId="40" fillId="0" borderId="47" xfId="0" applyNumberFormat="1" applyFont="1" applyBorder="1" applyAlignment="1" applyProtection="1">
      <alignment horizontal="center" vertical="top" wrapText="1"/>
      <protection hidden="1"/>
    </xf>
    <xf numFmtId="0" fontId="57" fillId="0" borderId="47" xfId="0" applyFont="1" applyBorder="1" applyAlignment="1" applyProtection="1">
      <alignment horizontal="center" vertical="top" wrapText="1"/>
      <protection hidden="1"/>
    </xf>
    <xf numFmtId="0" fontId="21" fillId="0" borderId="3" xfId="0" applyFont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1" fillId="16" borderId="3" xfId="0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4" fontId="34" fillId="0" borderId="45" xfId="0" applyNumberFormat="1" applyFont="1" applyBorder="1" applyAlignment="1">
      <alignment vertical="center"/>
    </xf>
    <xf numFmtId="0" fontId="34" fillId="0" borderId="45" xfId="0" applyFont="1" applyBorder="1" applyAlignment="1">
      <alignment vertical="center"/>
    </xf>
    <xf numFmtId="0" fontId="39" fillId="0" borderId="45" xfId="0" applyFont="1" applyBorder="1" applyAlignment="1">
      <alignment vertical="center"/>
    </xf>
    <xf numFmtId="14" fontId="37" fillId="0" borderId="45" xfId="0" applyNumberFormat="1" applyFont="1" applyBorder="1" applyProtection="1">
      <protection locked="0"/>
    </xf>
    <xf numFmtId="14" fontId="10" fillId="0" borderId="45" xfId="0" applyNumberFormat="1" applyFont="1" applyBorder="1" applyProtection="1">
      <protection locked="0"/>
    </xf>
    <xf numFmtId="14" fontId="12" fillId="0" borderId="45" xfId="0" applyNumberFormat="1" applyFont="1" applyBorder="1"/>
    <xf numFmtId="14" fontId="10" fillId="0" borderId="48" xfId="0" applyNumberFormat="1" applyFont="1" applyBorder="1" applyProtection="1">
      <protection locked="0"/>
    </xf>
    <xf numFmtId="14" fontId="58" fillId="0" borderId="48" xfId="0" applyNumberFormat="1" applyFont="1" applyBorder="1" applyProtection="1">
      <protection locked="0"/>
    </xf>
    <xf numFmtId="14" fontId="52" fillId="0" borderId="48" xfId="0" applyNumberFormat="1" applyFont="1" applyBorder="1" applyProtection="1">
      <protection locked="0"/>
    </xf>
    <xf numFmtId="14" fontId="61" fillId="0" borderId="48" xfId="0" applyNumberFormat="1" applyFont="1" applyBorder="1" applyAlignment="1" applyProtection="1">
      <alignment vertical="center"/>
      <protection locked="0"/>
    </xf>
    <xf numFmtId="0" fontId="44" fillId="0" borderId="3" xfId="0" applyFont="1" applyBorder="1" applyAlignment="1">
      <alignment horizontal="center"/>
    </xf>
    <xf numFmtId="0" fontId="61" fillId="0" borderId="3" xfId="0" applyFont="1" applyBorder="1" applyAlignment="1">
      <alignment horizontal="center" vertical="center"/>
    </xf>
    <xf numFmtId="170" fontId="0" fillId="0" borderId="0" xfId="0" applyNumberFormat="1" applyAlignment="1">
      <alignment horizontal="left" vertical="center"/>
    </xf>
    <xf numFmtId="170" fontId="4" fillId="2" borderId="29" xfId="0" applyNumberFormat="1" applyFont="1" applyFill="1" applyBorder="1" applyAlignment="1">
      <alignment horizontal="left" vertical="center"/>
    </xf>
    <xf numFmtId="170" fontId="3" fillId="0" borderId="0" xfId="0" applyNumberFormat="1" applyFont="1" applyAlignment="1">
      <alignment horizontal="left" vertical="center"/>
    </xf>
    <xf numFmtId="170" fontId="40" fillId="0" borderId="8" xfId="0" applyNumberFormat="1" applyFont="1" applyBorder="1" applyAlignment="1" applyProtection="1">
      <alignment horizontal="left" vertical="center" wrapText="1"/>
      <protection locked="0"/>
    </xf>
    <xf numFmtId="169" fontId="4" fillId="2" borderId="29" xfId="0" applyNumberFormat="1" applyFont="1" applyFill="1" applyBorder="1" applyAlignment="1">
      <alignment horizontal="left" vertical="center"/>
    </xf>
    <xf numFmtId="169" fontId="3" fillId="0" borderId="0" xfId="0" applyNumberFormat="1" applyFont="1" applyAlignment="1">
      <alignment horizontal="left"/>
    </xf>
    <xf numFmtId="169" fontId="40" fillId="0" borderId="8" xfId="0" applyNumberFormat="1" applyFont="1" applyBorder="1" applyAlignment="1" applyProtection="1">
      <alignment horizontal="left" vertical="top" wrapText="1"/>
      <protection locked="0"/>
    </xf>
    <xf numFmtId="169" fontId="37" fillId="0" borderId="22" xfId="0" applyNumberFormat="1" applyFont="1" applyBorder="1" applyAlignment="1" applyProtection="1">
      <alignment horizontal="left"/>
      <protection locked="0"/>
    </xf>
    <xf numFmtId="0" fontId="45" fillId="0" borderId="3" xfId="4" applyBorder="1" applyAlignment="1">
      <alignment horizontal="center" vertical="center" wrapText="1"/>
    </xf>
    <xf numFmtId="0" fontId="48" fillId="21" borderId="3" xfId="0" applyFont="1" applyFill="1" applyBorder="1" applyAlignment="1">
      <alignment horizontal="center" wrapText="1"/>
    </xf>
    <xf numFmtId="0" fontId="45" fillId="21" borderId="3" xfId="4" applyFill="1" applyBorder="1" applyAlignment="1">
      <alignment horizontal="center" wrapText="1"/>
    </xf>
    <xf numFmtId="9" fontId="34" fillId="0" borderId="3" xfId="2" applyFont="1" applyBorder="1" applyAlignment="1">
      <alignment horizontal="left" vertical="top"/>
    </xf>
    <xf numFmtId="0" fontId="4" fillId="0" borderId="29" xfId="0" applyFont="1" applyBorder="1" applyAlignment="1">
      <alignment vertical="center"/>
    </xf>
    <xf numFmtId="0" fontId="35" fillId="0" borderId="3" xfId="0" applyFont="1" applyBorder="1" applyAlignment="1">
      <alignment horizontal="center" wrapText="1"/>
    </xf>
    <xf numFmtId="0" fontId="33" fillId="0" borderId="3" xfId="0" applyFont="1" applyBorder="1" applyAlignment="1">
      <alignment horizontal="center"/>
    </xf>
    <xf numFmtId="0" fontId="48" fillId="0" borderId="40" xfId="0" applyFon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left"/>
      <protection locked="0"/>
    </xf>
    <xf numFmtId="0" fontId="37" fillId="4" borderId="3" xfId="0" applyFont="1" applyFill="1" applyBorder="1" applyAlignment="1">
      <alignment horizontal="left"/>
    </xf>
    <xf numFmtId="0" fontId="106" fillId="0" borderId="0" xfId="0" applyFont="1" applyAlignment="1">
      <alignment horizontal="left"/>
    </xf>
    <xf numFmtId="0" fontId="106" fillId="0" borderId="3" xfId="0" applyFont="1" applyBorder="1" applyAlignment="1">
      <alignment horizontal="left"/>
    </xf>
    <xf numFmtId="0" fontId="107" fillId="0" borderId="3" xfId="0" applyFont="1" applyBorder="1" applyAlignment="1" applyProtection="1">
      <alignment horizontal="left"/>
      <protection locked="0"/>
    </xf>
    <xf numFmtId="0" fontId="106" fillId="0" borderId="3" xfId="0" applyFont="1" applyBorder="1" applyAlignment="1">
      <alignment horizontal="left" wrapText="1"/>
    </xf>
    <xf numFmtId="0" fontId="106" fillId="0" borderId="3" xfId="0" quotePrefix="1" applyFont="1" applyBorder="1" applyAlignment="1">
      <alignment horizontal="left"/>
    </xf>
    <xf numFmtId="0" fontId="108" fillId="0" borderId="3" xfId="4" applyFont="1" applyFill="1" applyBorder="1" applyAlignment="1">
      <alignment horizontal="left"/>
    </xf>
    <xf numFmtId="0" fontId="106" fillId="0" borderId="47" xfId="0" applyFont="1" applyBorder="1" applyAlignment="1">
      <alignment horizontal="left" wrapText="1"/>
    </xf>
    <xf numFmtId="0" fontId="106" fillId="0" borderId="40" xfId="0" applyFont="1" applyBorder="1" applyAlignment="1">
      <alignment horizontal="left"/>
    </xf>
    <xf numFmtId="0" fontId="106" fillId="0" borderId="40" xfId="0" applyFont="1" applyBorder="1" applyAlignment="1">
      <alignment horizontal="left" wrapText="1"/>
    </xf>
    <xf numFmtId="170" fontId="106" fillId="0" borderId="40" xfId="0" applyNumberFormat="1" applyFont="1" applyBorder="1" applyAlignment="1">
      <alignment horizontal="left" wrapText="1"/>
    </xf>
    <xf numFmtId="3" fontId="106" fillId="0" borderId="40" xfId="0" applyNumberFormat="1" applyFont="1" applyBorder="1" applyAlignment="1">
      <alignment horizontal="left"/>
    </xf>
    <xf numFmtId="170" fontId="106" fillId="0" borderId="42" xfId="0" applyNumberFormat="1" applyFont="1" applyBorder="1" applyAlignment="1">
      <alignment horizontal="left" wrapText="1"/>
    </xf>
    <xf numFmtId="0" fontId="106" fillId="0" borderId="40" xfId="0" applyFont="1" applyBorder="1" applyAlignment="1">
      <alignment horizontal="center"/>
    </xf>
    <xf numFmtId="0" fontId="106" fillId="0" borderId="40" xfId="0" applyFont="1" applyBorder="1"/>
    <xf numFmtId="0" fontId="108" fillId="0" borderId="40" xfId="0" applyFont="1" applyBorder="1"/>
    <xf numFmtId="0" fontId="106" fillId="0" borderId="40" xfId="0" applyFont="1" applyBorder="1" applyAlignment="1">
      <alignment wrapText="1"/>
    </xf>
    <xf numFmtId="0" fontId="106" fillId="0" borderId="40" xfId="0" applyFont="1" applyBorder="1" applyAlignment="1">
      <alignment horizontal="center" vertical="center"/>
    </xf>
    <xf numFmtId="9" fontId="106" fillId="0" borderId="40" xfId="0" applyNumberFormat="1" applyFont="1" applyBorder="1" applyAlignment="1">
      <alignment horizontal="center"/>
    </xf>
    <xf numFmtId="0" fontId="106" fillId="0" borderId="40" xfId="0" applyFont="1" applyBorder="1" applyAlignment="1">
      <alignment horizontal="center" vertical="center" wrapText="1"/>
    </xf>
    <xf numFmtId="14" fontId="106" fillId="0" borderId="40" xfId="0" applyNumberFormat="1" applyFont="1" applyBorder="1" applyAlignment="1">
      <alignment horizontal="center" vertical="center"/>
    </xf>
    <xf numFmtId="3" fontId="106" fillId="0" borderId="40" xfId="0" applyNumberFormat="1" applyFont="1" applyBorder="1" applyAlignment="1">
      <alignment horizontal="center" vertical="center"/>
    </xf>
    <xf numFmtId="0" fontId="106" fillId="0" borderId="43" xfId="0" applyFont="1" applyBorder="1" applyAlignment="1">
      <alignment wrapText="1"/>
    </xf>
    <xf numFmtId="0" fontId="106" fillId="0" borderId="41" xfId="0" applyFont="1" applyBorder="1"/>
    <xf numFmtId="170" fontId="106" fillId="0" borderId="40" xfId="0" applyNumberFormat="1" applyFont="1" applyBorder="1" applyAlignment="1">
      <alignment horizontal="left"/>
    </xf>
    <xf numFmtId="14" fontId="106" fillId="0" borderId="40" xfId="0" applyNumberFormat="1" applyFont="1" applyBorder="1" applyAlignment="1" applyProtection="1">
      <alignment horizontal="center" vertical="center"/>
      <protection locked="0"/>
    </xf>
    <xf numFmtId="0" fontId="106" fillId="0" borderId="43" xfId="0" applyFont="1" applyBorder="1"/>
    <xf numFmtId="170" fontId="106" fillId="0" borderId="42" xfId="0" applyNumberFormat="1" applyFont="1" applyBorder="1" applyAlignment="1">
      <alignment horizontal="left"/>
    </xf>
    <xf numFmtId="14" fontId="106" fillId="0" borderId="40" xfId="0" applyNumberFormat="1" applyFont="1" applyBorder="1"/>
    <xf numFmtId="0" fontId="106" fillId="0" borderId="0" xfId="0" applyFont="1"/>
    <xf numFmtId="0" fontId="106" fillId="0" borderId="41" xfId="0" applyFont="1" applyBorder="1" applyAlignment="1">
      <alignment wrapText="1"/>
    </xf>
    <xf numFmtId="0" fontId="108" fillId="0" borderId="43" xfId="4" applyFont="1" applyFill="1" applyBorder="1" applyAlignment="1">
      <alignment horizontal="left"/>
    </xf>
    <xf numFmtId="0" fontId="106" fillId="0" borderId="47" xfId="0" applyFont="1" applyBorder="1"/>
    <xf numFmtId="14" fontId="106" fillId="0" borderId="40" xfId="0" applyNumberFormat="1" applyFont="1" applyBorder="1" applyAlignment="1">
      <alignment horizontal="center"/>
    </xf>
    <xf numFmtId="0" fontId="106" fillId="0" borderId="40" xfId="0" applyFont="1" applyBorder="1" applyAlignment="1">
      <alignment horizontal="left" vertical="center"/>
    </xf>
    <xf numFmtId="0" fontId="106" fillId="0" borderId="41" xfId="0" applyFont="1" applyBorder="1" applyAlignment="1">
      <alignment horizontal="center" vertical="center"/>
    </xf>
    <xf numFmtId="0" fontId="106" fillId="0" borderId="3" xfId="0" applyFont="1" applyBorder="1" applyAlignment="1">
      <alignment horizontal="left" vertical="center"/>
    </xf>
    <xf numFmtId="0" fontId="106" fillId="0" borderId="3" xfId="0" applyFont="1" applyBorder="1"/>
    <xf numFmtId="0" fontId="106" fillId="0" borderId="42" xfId="0" applyFont="1" applyBorder="1" applyAlignment="1">
      <alignment horizontal="left" vertical="center" wrapText="1"/>
    </xf>
    <xf numFmtId="170" fontId="106" fillId="0" borderId="40" xfId="0" applyNumberFormat="1" applyFont="1" applyBorder="1" applyAlignment="1">
      <alignment horizontal="left" vertical="center"/>
    </xf>
    <xf numFmtId="9" fontId="106" fillId="0" borderId="40" xfId="2" applyFont="1" applyFill="1" applyBorder="1" applyAlignment="1">
      <alignment horizontal="center" vertical="center"/>
    </xf>
    <xf numFmtId="0" fontId="106" fillId="0" borderId="42" xfId="0" applyFont="1" applyBorder="1" applyAlignment="1">
      <alignment horizontal="left" wrapText="1"/>
    </xf>
    <xf numFmtId="0" fontId="107" fillId="0" borderId="3" xfId="0" applyFont="1" applyBorder="1"/>
    <xf numFmtId="0" fontId="108" fillId="0" borderId="3" xfId="0" applyFont="1" applyBorder="1"/>
    <xf numFmtId="0" fontId="106" fillId="0" borderId="3" xfId="0" applyFont="1" applyBorder="1" applyAlignment="1">
      <alignment wrapText="1"/>
    </xf>
    <xf numFmtId="0" fontId="106" fillId="0" borderId="42" xfId="0" applyFont="1" applyBorder="1" applyAlignment="1">
      <alignment wrapText="1"/>
    </xf>
    <xf numFmtId="4" fontId="106" fillId="0" borderId="40" xfId="0" applyNumberFormat="1" applyFont="1" applyBorder="1" applyAlignment="1">
      <alignment horizontal="left"/>
    </xf>
    <xf numFmtId="0" fontId="108" fillId="0" borderId="3" xfId="4" applyFont="1" applyFill="1" applyBorder="1" applyAlignment="1">
      <alignment horizontal="left" wrapText="1"/>
    </xf>
    <xf numFmtId="0" fontId="106" fillId="0" borderId="6" xfId="0" applyFont="1" applyBorder="1" applyAlignment="1">
      <alignment horizontal="left" vertical="center" wrapText="1"/>
    </xf>
    <xf numFmtId="0" fontId="106" fillId="0" borderId="42" xfId="0" applyFont="1" applyBorder="1" applyAlignment="1">
      <alignment horizontal="center" vertical="center" wrapText="1"/>
    </xf>
    <xf numFmtId="9" fontId="106" fillId="0" borderId="41" xfId="2" applyFont="1" applyFill="1" applyBorder="1" applyAlignment="1">
      <alignment horizontal="center" vertical="center"/>
    </xf>
    <xf numFmtId="170" fontId="106" fillId="0" borderId="42" xfId="0" applyNumberFormat="1" applyFont="1" applyBorder="1" applyAlignment="1">
      <alignment horizontal="left" vertical="center"/>
    </xf>
    <xf numFmtId="0" fontId="106" fillId="0" borderId="53" xfId="0" applyFont="1" applyBorder="1" applyAlignment="1">
      <alignment horizontal="left" vertical="center" wrapText="1"/>
    </xf>
    <xf numFmtId="0" fontId="106" fillId="0" borderId="3" xfId="0" applyFont="1" applyBorder="1" applyAlignment="1">
      <alignment readingOrder="1"/>
    </xf>
    <xf numFmtId="0" fontId="108" fillId="0" borderId="40" xfId="4" applyFont="1" applyFill="1" applyBorder="1"/>
    <xf numFmtId="0" fontId="106" fillId="0" borderId="44" xfId="0" applyFont="1" applyBorder="1" applyAlignment="1">
      <alignment horizontal="center" vertical="center"/>
    </xf>
    <xf numFmtId="14" fontId="106" fillId="0" borderId="44" xfId="0" applyNumberFormat="1" applyFont="1" applyBorder="1" applyAlignment="1">
      <alignment horizontal="center" vertical="center"/>
    </xf>
    <xf numFmtId="0" fontId="106" fillId="0" borderId="44" xfId="0" applyFont="1" applyBorder="1" applyAlignment="1">
      <alignment horizontal="left" vertical="center"/>
    </xf>
    <xf numFmtId="0" fontId="106" fillId="0" borderId="54" xfId="0" applyFont="1" applyBorder="1" applyAlignment="1">
      <alignment horizontal="center" vertical="center"/>
    </xf>
    <xf numFmtId="0" fontId="106" fillId="0" borderId="44" xfId="0" applyFont="1" applyBorder="1" applyAlignment="1">
      <alignment horizontal="center" vertical="center" wrapText="1"/>
    </xf>
    <xf numFmtId="170" fontId="106" fillId="0" borderId="44" xfId="0" applyNumberFormat="1" applyFont="1" applyBorder="1" applyAlignment="1">
      <alignment horizontal="left" vertical="center"/>
    </xf>
    <xf numFmtId="9" fontId="106" fillId="0" borderId="44" xfId="2" applyFont="1" applyFill="1" applyBorder="1" applyAlignment="1">
      <alignment horizontal="center" vertical="center"/>
    </xf>
    <xf numFmtId="0" fontId="106" fillId="0" borderId="3" xfId="0" applyFont="1" applyBorder="1" applyAlignment="1">
      <alignment horizontal="left" vertical="center" wrapText="1"/>
    </xf>
    <xf numFmtId="0" fontId="107" fillId="0" borderId="0" xfId="0" applyFont="1"/>
    <xf numFmtId="0" fontId="108" fillId="0" borderId="3" xfId="4" applyFont="1" applyFill="1" applyBorder="1" applyAlignment="1">
      <alignment horizontal="left" vertical="center"/>
    </xf>
    <xf numFmtId="0" fontId="106" fillId="0" borderId="3" xfId="0" applyFont="1" applyBorder="1" applyAlignment="1">
      <alignment horizontal="center" vertical="center"/>
    </xf>
    <xf numFmtId="170" fontId="106" fillId="0" borderId="3" xfId="0" applyNumberFormat="1" applyFont="1" applyBorder="1" applyAlignment="1">
      <alignment horizontal="left" vertical="center"/>
    </xf>
    <xf numFmtId="0" fontId="108" fillId="0" borderId="3" xfId="4" quotePrefix="1" applyFont="1" applyFill="1" applyBorder="1" applyAlignment="1">
      <alignment horizontal="left" vertical="center"/>
    </xf>
    <xf numFmtId="4" fontId="106" fillId="0" borderId="40" xfId="0" applyNumberFormat="1" applyFont="1" applyBorder="1" applyAlignment="1">
      <alignment horizontal="left" vertical="center"/>
    </xf>
    <xf numFmtId="0" fontId="108" fillId="0" borderId="43" xfId="4" applyFont="1" applyFill="1" applyBorder="1"/>
    <xf numFmtId="0" fontId="106" fillId="0" borderId="22" xfId="0" applyFont="1" applyBorder="1" applyAlignment="1">
      <alignment horizontal="left" vertical="center"/>
    </xf>
    <xf numFmtId="0" fontId="108" fillId="0" borderId="22" xfId="4" applyFont="1" applyFill="1" applyBorder="1" applyAlignment="1">
      <alignment horizontal="left" vertical="center"/>
    </xf>
    <xf numFmtId="0" fontId="106" fillId="0" borderId="45" xfId="0" applyFont="1" applyBorder="1" applyAlignment="1">
      <alignment horizontal="left" vertical="center"/>
    </xf>
    <xf numFmtId="0" fontId="106" fillId="0" borderId="6" xfId="0" applyFont="1" applyBorder="1" applyAlignment="1">
      <alignment horizontal="center" vertical="center" readingOrder="1"/>
    </xf>
    <xf numFmtId="0" fontId="108" fillId="0" borderId="47" xfId="4" applyFont="1" applyFill="1" applyBorder="1" applyAlignment="1"/>
    <xf numFmtId="0" fontId="106" fillId="0" borderId="40" xfId="0" applyFont="1" applyBorder="1" applyAlignment="1">
      <alignment horizontal="left" vertical="center" wrapText="1"/>
    </xf>
    <xf numFmtId="0" fontId="109" fillId="0" borderId="40" xfId="0" applyFont="1" applyBorder="1" applyAlignment="1">
      <alignment horizontal="left" vertical="center"/>
    </xf>
    <xf numFmtId="170" fontId="109" fillId="0" borderId="40" xfId="0" applyNumberFormat="1" applyFont="1" applyBorder="1" applyAlignment="1">
      <alignment horizontal="left" vertical="center"/>
    </xf>
    <xf numFmtId="0" fontId="109" fillId="0" borderId="40" xfId="0" applyFont="1" applyBorder="1" applyAlignment="1">
      <alignment horizontal="center" vertical="center"/>
    </xf>
    <xf numFmtId="1" fontId="106" fillId="0" borderId="40" xfId="0" applyNumberFormat="1" applyFont="1" applyBorder="1" applyAlignment="1">
      <alignment horizontal="center" vertical="center"/>
    </xf>
    <xf numFmtId="0" fontId="106" fillId="0" borderId="40" xfId="0" applyFont="1" applyBorder="1" applyAlignment="1" applyProtection="1">
      <alignment horizontal="center" vertical="center"/>
      <protection locked="0"/>
    </xf>
    <xf numFmtId="0" fontId="106" fillId="0" borderId="40" xfId="0" applyFont="1" applyBorder="1" applyAlignment="1" applyProtection="1">
      <alignment horizontal="left" vertical="center"/>
      <protection locked="0"/>
    </xf>
    <xf numFmtId="0" fontId="106" fillId="0" borderId="40" xfId="0" applyFont="1" applyBorder="1" applyAlignment="1" applyProtection="1">
      <alignment horizontal="left" vertical="center" wrapText="1"/>
      <protection locked="0"/>
    </xf>
    <xf numFmtId="0" fontId="106" fillId="0" borderId="40" xfId="0" applyFont="1" applyBorder="1" applyAlignment="1" applyProtection="1">
      <alignment horizontal="center" vertical="center" wrapText="1"/>
      <protection locked="0"/>
    </xf>
    <xf numFmtId="170" fontId="106" fillId="0" borderId="40" xfId="0" applyNumberFormat="1" applyFont="1" applyBorder="1" applyAlignment="1" applyProtection="1">
      <alignment horizontal="left" vertical="center"/>
      <protection locked="0"/>
    </xf>
    <xf numFmtId="165" fontId="106" fillId="0" borderId="40" xfId="0" applyNumberFormat="1" applyFont="1" applyBorder="1" applyAlignment="1" applyProtection="1">
      <alignment horizontal="left" vertical="center"/>
      <protection locked="0"/>
    </xf>
    <xf numFmtId="9" fontId="106" fillId="0" borderId="40" xfId="2" applyFont="1" applyFill="1" applyBorder="1" applyAlignment="1" applyProtection="1">
      <alignment horizontal="center" vertical="center"/>
      <protection locked="0"/>
    </xf>
    <xf numFmtId="14" fontId="106" fillId="0" borderId="40" xfId="0" applyNumberFormat="1" applyFont="1" applyBorder="1" applyAlignment="1" applyProtection="1">
      <alignment horizontal="left" vertical="center"/>
      <protection locked="0"/>
    </xf>
    <xf numFmtId="165" fontId="107" fillId="0" borderId="40" xfId="0" applyNumberFormat="1" applyFont="1" applyBorder="1" applyAlignment="1" applyProtection="1">
      <alignment horizontal="left" vertical="center"/>
      <protection locked="0"/>
    </xf>
    <xf numFmtId="165" fontId="107" fillId="0" borderId="40" xfId="0" applyNumberFormat="1" applyFont="1" applyBorder="1" applyAlignment="1" applyProtection="1">
      <alignment horizontal="center" vertical="center"/>
      <protection locked="0"/>
    </xf>
    <xf numFmtId="14" fontId="110" fillId="0" borderId="40" xfId="0" applyNumberFormat="1" applyFont="1" applyBorder="1" applyAlignment="1">
      <alignment horizontal="left" vertical="center"/>
    </xf>
    <xf numFmtId="170" fontId="110" fillId="0" borderId="40" xfId="0" applyNumberFormat="1" applyFont="1" applyBorder="1" applyAlignment="1">
      <alignment horizontal="left" vertical="center"/>
    </xf>
    <xf numFmtId="165" fontId="110" fillId="0" borderId="40" xfId="0" applyNumberFormat="1" applyFont="1" applyBorder="1" applyAlignment="1">
      <alignment horizontal="center" vertical="center"/>
    </xf>
    <xf numFmtId="14" fontId="110" fillId="0" borderId="40" xfId="0" applyNumberFormat="1" applyFont="1" applyBorder="1" applyAlignment="1">
      <alignment horizontal="center" vertical="center"/>
    </xf>
    <xf numFmtId="0" fontId="107" fillId="0" borderId="40" xfId="0" applyFont="1" applyBorder="1" applyAlignment="1" applyProtection="1">
      <alignment horizontal="center" vertical="center"/>
      <protection locked="0"/>
    </xf>
    <xf numFmtId="1" fontId="106" fillId="0" borderId="43" xfId="0" applyNumberFormat="1" applyFont="1" applyBorder="1" applyAlignment="1">
      <alignment horizontal="center" vertical="center"/>
    </xf>
    <xf numFmtId="0" fontId="106" fillId="0" borderId="43" xfId="0" applyFont="1" applyBorder="1" applyAlignment="1" applyProtection="1">
      <alignment horizontal="center" vertical="center"/>
      <protection locked="0"/>
    </xf>
    <xf numFmtId="0" fontId="106" fillId="0" borderId="43" xfId="0" applyFont="1" applyBorder="1" applyAlignment="1" applyProtection="1">
      <alignment horizontal="left" vertical="center"/>
      <protection locked="0"/>
    </xf>
    <xf numFmtId="0" fontId="108" fillId="0" borderId="43" xfId="4" applyFont="1" applyFill="1" applyBorder="1" applyAlignment="1" applyProtection="1">
      <alignment horizontal="left" vertical="center"/>
      <protection locked="0"/>
    </xf>
    <xf numFmtId="0" fontId="106" fillId="0" borderId="43" xfId="0" applyFont="1" applyBorder="1" applyAlignment="1" applyProtection="1">
      <alignment horizontal="left" vertical="center" wrapText="1"/>
      <protection locked="0"/>
    </xf>
    <xf numFmtId="0" fontId="106" fillId="0" borderId="43" xfId="0" applyFont="1" applyBorder="1" applyAlignment="1" applyProtection="1">
      <alignment horizontal="center" vertical="center" wrapText="1"/>
      <protection locked="0"/>
    </xf>
    <xf numFmtId="170" fontId="106" fillId="0" borderId="43" xfId="0" applyNumberFormat="1" applyFont="1" applyBorder="1" applyAlignment="1" applyProtection="1">
      <alignment horizontal="left" vertical="center"/>
      <protection locked="0"/>
    </xf>
    <xf numFmtId="165" fontId="107" fillId="0" borderId="43" xfId="0" applyNumberFormat="1" applyFont="1" applyBorder="1" applyAlignment="1" applyProtection="1">
      <alignment horizontal="left" vertical="center"/>
      <protection locked="0"/>
    </xf>
    <xf numFmtId="9" fontId="106" fillId="0" borderId="43" xfId="2" applyFont="1" applyFill="1" applyBorder="1" applyAlignment="1" applyProtection="1">
      <alignment horizontal="center" vertical="center"/>
      <protection locked="0"/>
    </xf>
    <xf numFmtId="14" fontId="106" fillId="0" borderId="43" xfId="0" applyNumberFormat="1" applyFont="1" applyBorder="1" applyAlignment="1" applyProtection="1">
      <alignment horizontal="left" vertical="center"/>
      <protection locked="0"/>
    </xf>
    <xf numFmtId="0" fontId="107" fillId="0" borderId="43" xfId="0" applyFont="1" applyBorder="1" applyAlignment="1" applyProtection="1">
      <alignment horizontal="center" vertical="center"/>
      <protection locked="0"/>
    </xf>
    <xf numFmtId="14" fontId="106" fillId="0" borderId="43" xfId="0" applyNumberFormat="1" applyFont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37" fillId="0" borderId="22" xfId="0" applyNumberFormat="1" applyFont="1" applyBorder="1" applyAlignment="1">
      <alignment horizontal="center" vertical="center"/>
    </xf>
    <xf numFmtId="0" fontId="33" fillId="15" borderId="3" xfId="0" applyFont="1" applyFill="1" applyBorder="1" applyAlignment="1">
      <alignment horizontal="left" vertical="center"/>
    </xf>
    <xf numFmtId="0" fontId="45" fillId="0" borderId="3" xfId="4" applyBorder="1" applyAlignment="1">
      <alignment horizontal="left" vertical="center"/>
    </xf>
    <xf numFmtId="0" fontId="50" fillId="0" borderId="40" xfId="0" applyFont="1" applyBorder="1"/>
    <xf numFmtId="0" fontId="81" fillId="22" borderId="40" xfId="0" applyFont="1" applyFill="1" applyBorder="1"/>
    <xf numFmtId="14" fontId="50" fillId="0" borderId="40" xfId="0" applyNumberFormat="1" applyFont="1" applyBorder="1"/>
    <xf numFmtId="0" fontId="45" fillId="0" borderId="40" xfId="4" applyFill="1" applyBorder="1" applyAlignment="1"/>
    <xf numFmtId="0" fontId="50" fillId="0" borderId="45" xfId="0" applyFont="1" applyBorder="1"/>
    <xf numFmtId="0" fontId="113" fillId="0" borderId="40" xfId="0" applyFont="1" applyBorder="1"/>
    <xf numFmtId="0" fontId="106" fillId="4" borderId="40" xfId="0" applyFont="1" applyFill="1" applyBorder="1" applyAlignment="1">
      <alignment horizontal="left"/>
    </xf>
    <xf numFmtId="0" fontId="50" fillId="4" borderId="40" xfId="0" applyFont="1" applyFill="1" applyBorder="1"/>
    <xf numFmtId="0" fontId="50" fillId="4" borderId="41" xfId="0" applyFont="1" applyFill="1" applyBorder="1"/>
    <xf numFmtId="0" fontId="50" fillId="4" borderId="3" xfId="0" applyFont="1" applyFill="1" applyBorder="1"/>
    <xf numFmtId="0" fontId="45" fillId="4" borderId="3" xfId="4" applyFill="1" applyBorder="1" applyAlignment="1"/>
    <xf numFmtId="0" fontId="47" fillId="4" borderId="40" xfId="0" applyFont="1" applyFill="1" applyBorder="1" applyAlignment="1">
      <alignment wrapText="1"/>
    </xf>
    <xf numFmtId="0" fontId="81" fillId="4" borderId="40" xfId="0" applyFont="1" applyFill="1" applyBorder="1"/>
    <xf numFmtId="9" fontId="50" fillId="4" borderId="40" xfId="0" applyNumberFormat="1" applyFont="1" applyFill="1" applyBorder="1"/>
    <xf numFmtId="170" fontId="106" fillId="4" borderId="42" xfId="0" applyNumberFormat="1" applyFont="1" applyFill="1" applyBorder="1" applyAlignment="1">
      <alignment horizontal="left" wrapText="1"/>
    </xf>
    <xf numFmtId="14" fontId="106" fillId="4" borderId="40" xfId="0" applyNumberFormat="1" applyFont="1" applyFill="1" applyBorder="1" applyAlignment="1">
      <alignment horizontal="left" wrapText="1"/>
    </xf>
    <xf numFmtId="0" fontId="34" fillId="4" borderId="3" xfId="0" applyFont="1" applyFill="1" applyBorder="1" applyAlignment="1">
      <alignment horizontal="left" vertical="center"/>
    </xf>
    <xf numFmtId="0" fontId="92" fillId="4" borderId="0" xfId="0" applyFont="1" applyFill="1"/>
    <xf numFmtId="0" fontId="77" fillId="4" borderId="3" xfId="0" applyFont="1" applyFill="1" applyBorder="1" applyAlignment="1">
      <alignment horizontal="center" vertical="center"/>
    </xf>
    <xf numFmtId="171" fontId="77" fillId="4" borderId="3" xfId="0" applyNumberFormat="1" applyFont="1" applyFill="1" applyBorder="1" applyAlignment="1">
      <alignment horizontal="center" vertical="center"/>
    </xf>
    <xf numFmtId="0" fontId="77" fillId="4" borderId="0" xfId="0" applyFont="1" applyFill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 wrapText="1"/>
    </xf>
    <xf numFmtId="0" fontId="39" fillId="0" borderId="3" xfId="0" applyFont="1" applyBorder="1" applyAlignment="1">
      <alignment horizontal="right"/>
    </xf>
    <xf numFmtId="165" fontId="37" fillId="0" borderId="3" xfId="0" applyNumberFormat="1" applyFont="1" applyBorder="1" applyAlignment="1" applyProtection="1">
      <alignment horizontal="right"/>
      <protection locked="0"/>
    </xf>
    <xf numFmtId="165" fontId="3" fillId="0" borderId="3" xfId="0" applyNumberFormat="1" applyFont="1" applyBorder="1" applyAlignment="1" applyProtection="1">
      <alignment horizontal="right"/>
      <protection locked="0"/>
    </xf>
    <xf numFmtId="165" fontId="25" fillId="0" borderId="22" xfId="0" applyNumberFormat="1" applyFont="1" applyBorder="1" applyAlignment="1" applyProtection="1">
      <alignment horizontal="right"/>
      <protection locked="0"/>
    </xf>
    <xf numFmtId="0" fontId="6" fillId="0" borderId="0" xfId="0" applyFont="1" applyAlignment="1">
      <alignment horizontal="right"/>
    </xf>
    <xf numFmtId="0" fontId="35" fillId="0" borderId="3" xfId="0" applyFont="1" applyBorder="1" applyAlignment="1">
      <alignment horizontal="right" vertical="center" wrapText="1"/>
    </xf>
    <xf numFmtId="0" fontId="33" fillId="0" borderId="3" xfId="0" applyFont="1" applyBorder="1" applyAlignment="1">
      <alignment horizontal="right" vertical="center"/>
    </xf>
    <xf numFmtId="0" fontId="35" fillId="0" borderId="3" xfId="0" applyFont="1" applyBorder="1" applyAlignment="1">
      <alignment horizontal="right" vertical="center"/>
    </xf>
    <xf numFmtId="0" fontId="55" fillId="0" borderId="3" xfId="0" applyFont="1" applyBorder="1" applyAlignment="1">
      <alignment horizontal="right"/>
    </xf>
    <xf numFmtId="0" fontId="47" fillId="0" borderId="3" xfId="0" applyFont="1" applyBorder="1" applyAlignment="1">
      <alignment horizontal="right" wrapText="1"/>
    </xf>
    <xf numFmtId="0" fontId="47" fillId="0" borderId="3" xfId="0" applyFont="1" applyBorder="1" applyAlignment="1">
      <alignment horizontal="right"/>
    </xf>
    <xf numFmtId="0" fontId="36" fillId="0" borderId="3" xfId="0" applyFont="1" applyBorder="1" applyAlignment="1">
      <alignment horizontal="right" vertical="center"/>
    </xf>
    <xf numFmtId="0" fontId="37" fillId="0" borderId="3" xfId="0" applyFont="1" applyBorder="1" applyAlignment="1" applyProtection="1">
      <alignment horizontal="right"/>
      <protection locked="0"/>
    </xf>
    <xf numFmtId="0" fontId="10" fillId="0" borderId="3" xfId="0" applyFont="1" applyBorder="1" applyAlignment="1" applyProtection="1">
      <alignment horizontal="right"/>
      <protection locked="0"/>
    </xf>
    <xf numFmtId="0" fontId="37" fillId="0" borderId="22" xfId="0" applyFont="1" applyBorder="1" applyAlignment="1" applyProtection="1">
      <alignment horizontal="right"/>
      <protection locked="0"/>
    </xf>
    <xf numFmtId="9" fontId="0" fillId="0" borderId="0" xfId="2" applyFont="1" applyAlignment="1">
      <alignment horizontal="right"/>
    </xf>
    <xf numFmtId="9" fontId="3" fillId="0" borderId="0" xfId="2" applyFont="1" applyBorder="1" applyAlignment="1">
      <alignment horizontal="right"/>
    </xf>
    <xf numFmtId="9" fontId="34" fillId="0" borderId="3" xfId="2" applyFont="1" applyFill="1" applyBorder="1" applyAlignment="1">
      <alignment horizontal="right" vertical="center"/>
    </xf>
    <xf numFmtId="9" fontId="50" fillId="0" borderId="3" xfId="0" applyNumberFormat="1" applyFont="1" applyBorder="1" applyAlignment="1">
      <alignment horizontal="right"/>
    </xf>
    <xf numFmtId="9" fontId="37" fillId="0" borderId="3" xfId="2" applyFont="1" applyFill="1" applyBorder="1" applyAlignment="1" applyProtection="1">
      <alignment horizontal="right"/>
      <protection locked="0"/>
    </xf>
    <xf numFmtId="9" fontId="10" fillId="0" borderId="3" xfId="2" applyFont="1" applyFill="1" applyBorder="1" applyAlignment="1" applyProtection="1">
      <alignment horizontal="right"/>
      <protection locked="0"/>
    </xf>
    <xf numFmtId="9" fontId="0" fillId="0" borderId="3" xfId="2" applyFont="1" applyFill="1" applyBorder="1" applyAlignment="1">
      <alignment horizontal="right"/>
    </xf>
    <xf numFmtId="9" fontId="37" fillId="0" borderId="22" xfId="2" applyFont="1" applyFill="1" applyBorder="1" applyAlignment="1" applyProtection="1">
      <alignment horizontal="right"/>
      <protection locked="0"/>
    </xf>
    <xf numFmtId="14" fontId="40" fillId="0" borderId="8" xfId="0" applyNumberFormat="1" applyFont="1" applyBorder="1" applyAlignment="1" applyProtection="1">
      <alignment vertical="top" wrapText="1"/>
      <protection locked="0"/>
    </xf>
    <xf numFmtId="14" fontId="35" fillId="0" borderId="3" xfId="0" applyNumberFormat="1" applyFont="1" applyBorder="1" applyAlignment="1">
      <alignment vertical="center" wrapText="1"/>
    </xf>
    <xf numFmtId="14" fontId="33" fillId="0" borderId="3" xfId="0" applyNumberFormat="1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14" fontId="35" fillId="0" borderId="3" xfId="0" applyNumberFormat="1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14" fontId="34" fillId="0" borderId="3" xfId="0" applyNumberFormat="1" applyFont="1" applyBorder="1" applyAlignment="1">
      <alignment vertical="center"/>
    </xf>
    <xf numFmtId="14" fontId="37" fillId="0" borderId="22" xfId="0" applyNumberFormat="1" applyFont="1" applyBorder="1" applyProtection="1">
      <protection locked="0"/>
    </xf>
    <xf numFmtId="0" fontId="35" fillId="0" borderId="40" xfId="0" applyFont="1" applyBorder="1" applyAlignment="1">
      <alignment horizontal="left" vertical="center" wrapText="1"/>
    </xf>
    <xf numFmtId="0" fontId="45" fillId="0" borderId="40" xfId="4" applyBorder="1"/>
    <xf numFmtId="0" fontId="48" fillId="0" borderId="40" xfId="0" applyFont="1" applyBorder="1"/>
    <xf numFmtId="0" fontId="53" fillId="0" borderId="46" xfId="0" applyFont="1" applyBorder="1" applyAlignment="1">
      <alignment readingOrder="1"/>
    </xf>
    <xf numFmtId="0" fontId="48" fillId="0" borderId="46" xfId="0" applyFont="1" applyBorder="1"/>
    <xf numFmtId="0" fontId="48" fillId="0" borderId="6" xfId="0" applyFont="1" applyBorder="1"/>
    <xf numFmtId="9" fontId="34" fillId="4" borderId="3" xfId="2" applyFont="1" applyFill="1" applyBorder="1" applyAlignment="1">
      <alignment horizontal="left" vertical="center"/>
    </xf>
    <xf numFmtId="0" fontId="120" fillId="0" borderId="3" xfId="0" applyFont="1" applyBorder="1"/>
    <xf numFmtId="0" fontId="131" fillId="3" borderId="3" xfId="3" applyFont="1" applyFill="1" applyBorder="1">
      <alignment vertical="center"/>
    </xf>
    <xf numFmtId="0" fontId="3" fillId="3" borderId="3" xfId="0" applyFont="1" applyFill="1" applyBorder="1"/>
    <xf numFmtId="171" fontId="132" fillId="3" borderId="3" xfId="0" applyNumberFormat="1" applyFont="1" applyFill="1" applyBorder="1"/>
    <xf numFmtId="0" fontId="49" fillId="0" borderId="6" xfId="0" applyFont="1" applyBorder="1"/>
    <xf numFmtId="0" fontId="49" fillId="0" borderId="46" xfId="0" applyFont="1" applyBorder="1"/>
    <xf numFmtId="0" fontId="48" fillId="0" borderId="3" xfId="0" applyFont="1" applyBorder="1" applyAlignment="1">
      <alignment wrapText="1"/>
    </xf>
    <xf numFmtId="0" fontId="48" fillId="0" borderId="7" xfId="0" applyFont="1" applyBorder="1" applyAlignment="1">
      <alignment wrapText="1"/>
    </xf>
    <xf numFmtId="0" fontId="49" fillId="0" borderId="6" xfId="0" applyFont="1" applyBorder="1" applyAlignment="1">
      <alignment wrapText="1"/>
    </xf>
    <xf numFmtId="0" fontId="49" fillId="0" borderId="46" xfId="0" applyFont="1" applyBorder="1" applyAlignment="1">
      <alignment wrapText="1"/>
    </xf>
    <xf numFmtId="0" fontId="48" fillId="0" borderId="6" xfId="0" applyFont="1" applyBorder="1" applyAlignment="1">
      <alignment wrapText="1"/>
    </xf>
    <xf numFmtId="0" fontId="48" fillId="0" borderId="46" xfId="0" applyFont="1" applyBorder="1" applyAlignment="1">
      <alignment wrapText="1"/>
    </xf>
    <xf numFmtId="0" fontId="25" fillId="0" borderId="0" xfId="3" applyFont="1">
      <alignment vertical="center"/>
    </xf>
    <xf numFmtId="0" fontId="24" fillId="2" borderId="3" xfId="3" applyFont="1" applyFill="1" applyBorder="1" applyAlignment="1">
      <alignment horizontal="left" vertical="center"/>
    </xf>
    <xf numFmtId="0" fontId="25" fillId="2" borderId="3" xfId="3" applyFont="1" applyFill="1" applyBorder="1" applyAlignment="1">
      <alignment horizontal="left" vertical="center"/>
    </xf>
    <xf numFmtId="0" fontId="3" fillId="0" borderId="22" xfId="0" applyFont="1" applyBorder="1" applyAlignment="1">
      <alignment horizontal="center"/>
    </xf>
    <xf numFmtId="0" fontId="137" fillId="0" borderId="0" xfId="0" applyFont="1" applyAlignment="1">
      <alignment horizontal="center" vertical="center"/>
    </xf>
    <xf numFmtId="169" fontId="137" fillId="0" borderId="0" xfId="0" applyNumberFormat="1" applyFont="1" applyAlignment="1">
      <alignment horizontal="center" vertical="center"/>
    </xf>
    <xf numFmtId="0" fontId="137" fillId="0" borderId="0" xfId="0" applyFont="1" applyAlignment="1">
      <alignment horizontal="left" vertical="center"/>
    </xf>
    <xf numFmtId="170" fontId="137" fillId="0" borderId="0" xfId="0" applyNumberFormat="1" applyFont="1" applyAlignment="1">
      <alignment horizontal="left" vertical="center"/>
    </xf>
    <xf numFmtId="0" fontId="140" fillId="0" borderId="0" xfId="0" applyFont="1" applyAlignment="1">
      <alignment horizontal="left" vertical="center"/>
    </xf>
    <xf numFmtId="9" fontId="137" fillId="0" borderId="0" xfId="2" applyFont="1" applyAlignment="1">
      <alignment horizontal="center" vertical="center"/>
    </xf>
    <xf numFmtId="1" fontId="131" fillId="3" borderId="6" xfId="3" applyNumberFormat="1" applyFont="1" applyFill="1" applyBorder="1" applyAlignment="1">
      <alignment horizontal="left" vertical="center"/>
    </xf>
    <xf numFmtId="0" fontId="45" fillId="0" borderId="3" xfId="4" applyBorder="1"/>
    <xf numFmtId="0" fontId="74" fillId="0" borderId="8" xfId="0" applyFont="1" applyBorder="1" applyAlignment="1" applyProtection="1">
      <alignment vertical="center" wrapText="1"/>
      <protection locked="0"/>
    </xf>
    <xf numFmtId="0" fontId="48" fillId="21" borderId="3" xfId="0" applyFont="1" applyFill="1" applyBorder="1" applyAlignment="1">
      <alignment wrapText="1"/>
    </xf>
    <xf numFmtId="0" fontId="48" fillId="13" borderId="3" xfId="0" applyFont="1" applyFill="1" applyBorder="1" applyAlignment="1">
      <alignment vertical="top" wrapText="1"/>
    </xf>
    <xf numFmtId="0" fontId="48" fillId="13" borderId="3" xfId="0" applyFont="1" applyFill="1" applyBorder="1" applyAlignment="1">
      <alignment wrapText="1"/>
    </xf>
    <xf numFmtId="0" fontId="36" fillId="0" borderId="3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0" fontId="34" fillId="0" borderId="3" xfId="0" applyFont="1" applyBorder="1" applyAlignment="1">
      <alignment vertical="center" wrapText="1"/>
    </xf>
    <xf numFmtId="0" fontId="3" fillId="0" borderId="7" xfId="0" applyFont="1" applyBorder="1"/>
    <xf numFmtId="0" fontId="3" fillId="0" borderId="10" xfId="0" applyFont="1" applyBorder="1"/>
    <xf numFmtId="171" fontId="21" fillId="4" borderId="45" xfId="0" applyNumberFormat="1" applyFont="1" applyFill="1" applyBorder="1"/>
    <xf numFmtId="171" fontId="21" fillId="0" borderId="45" xfId="0" applyNumberFormat="1" applyFont="1" applyBorder="1"/>
    <xf numFmtId="0" fontId="3" fillId="3" borderId="3" xfId="0" applyFont="1" applyFill="1" applyBorder="1" applyAlignment="1">
      <alignment horizontal="left"/>
    </xf>
    <xf numFmtId="171" fontId="132" fillId="3" borderId="3" xfId="0" applyNumberFormat="1" applyFont="1" applyFill="1" applyBorder="1" applyAlignment="1">
      <alignment horizontal="left"/>
    </xf>
    <xf numFmtId="0" fontId="3" fillId="0" borderId="40" xfId="0" applyFont="1" applyBorder="1"/>
    <xf numFmtId="0" fontId="3" fillId="3" borderId="40" xfId="0" applyFont="1" applyFill="1" applyBorder="1"/>
    <xf numFmtId="0" fontId="21" fillId="0" borderId="40" xfId="0" applyFont="1" applyBorder="1"/>
    <xf numFmtId="171" fontId="21" fillId="4" borderId="40" xfId="0" applyNumberFormat="1" applyFont="1" applyFill="1" applyBorder="1"/>
    <xf numFmtId="171" fontId="132" fillId="3" borderId="40" xfId="0" applyNumberFormat="1" applyFont="1" applyFill="1" applyBorder="1"/>
    <xf numFmtId="0" fontId="21" fillId="4" borderId="40" xfId="0" applyFont="1" applyFill="1" applyBorder="1"/>
    <xf numFmtId="171" fontId="21" fillId="0" borderId="40" xfId="0" applyNumberFormat="1" applyFont="1" applyBorder="1"/>
    <xf numFmtId="0" fontId="37" fillId="4" borderId="7" xfId="0" applyFont="1" applyFill="1" applyBorder="1" applyAlignment="1">
      <alignment horizontal="center" vertical="center"/>
    </xf>
    <xf numFmtId="171" fontId="21" fillId="4" borderId="42" xfId="0" applyNumberFormat="1" applyFont="1" applyFill="1" applyBorder="1"/>
    <xf numFmtId="4" fontId="0" fillId="0" borderId="3" xfId="0" applyNumberFormat="1" applyBorder="1"/>
    <xf numFmtId="0" fontId="0" fillId="0" borderId="3" xfId="0" applyBorder="1" applyAlignment="1">
      <alignment wrapText="1"/>
    </xf>
    <xf numFmtId="0" fontId="122" fillId="0" borderId="3" xfId="0" applyFont="1" applyBorder="1" applyAlignment="1">
      <alignment wrapText="1"/>
    </xf>
    <xf numFmtId="0" fontId="128" fillId="0" borderId="3" xfId="0" applyFont="1" applyBorder="1"/>
    <xf numFmtId="0" fontId="129" fillId="0" borderId="3" xfId="0" applyFont="1" applyBorder="1"/>
    <xf numFmtId="0" fontId="25" fillId="24" borderId="3" xfId="3" applyFont="1" applyFill="1" applyBorder="1" applyAlignment="1">
      <alignment horizontal="center" vertical="center"/>
    </xf>
    <xf numFmtId="1" fontId="25" fillId="24" borderId="3" xfId="3" applyNumberFormat="1" applyFont="1" applyFill="1" applyBorder="1" applyAlignment="1">
      <alignment horizontal="center" vertical="center"/>
    </xf>
    <xf numFmtId="9" fontId="26" fillId="0" borderId="3" xfId="2" applyFont="1" applyFill="1" applyBorder="1" applyAlignment="1">
      <alignment horizontal="center" vertical="center"/>
    </xf>
    <xf numFmtId="9" fontId="3" fillId="0" borderId="3" xfId="2" applyFont="1" applyFill="1" applyBorder="1" applyAlignment="1">
      <alignment horizontal="center" vertical="center"/>
    </xf>
    <xf numFmtId="0" fontId="50" fillId="0" borderId="3" xfId="0" applyFont="1" applyBorder="1" applyAlignment="1">
      <alignment horizontal="left" wrapText="1"/>
    </xf>
    <xf numFmtId="0" fontId="70" fillId="0" borderId="3" xfId="0" applyFont="1" applyBorder="1" applyAlignment="1">
      <alignment horizontal="left"/>
    </xf>
    <xf numFmtId="0" fontId="77" fillId="0" borderId="0" xfId="0" applyFont="1" applyAlignment="1">
      <alignment horizontal="left" vertical="center"/>
    </xf>
    <xf numFmtId="0" fontId="24" fillId="0" borderId="3" xfId="3" applyFont="1" applyBorder="1" applyAlignment="1">
      <alignment horizontal="left" vertical="center"/>
    </xf>
    <xf numFmtId="1" fontId="24" fillId="0" borderId="3" xfId="3" applyNumberFormat="1" applyFont="1" applyBorder="1" applyAlignment="1">
      <alignment horizontal="left" vertical="center"/>
    </xf>
    <xf numFmtId="0" fontId="6" fillId="3" borderId="3" xfId="3" applyFont="1" applyFill="1" applyBorder="1" applyAlignment="1">
      <alignment horizontal="left" vertical="center"/>
    </xf>
    <xf numFmtId="0" fontId="6" fillId="25" borderId="3" xfId="3" applyFont="1" applyFill="1" applyBorder="1" applyAlignment="1">
      <alignment horizontal="left" vertical="center"/>
    </xf>
    <xf numFmtId="0" fontId="24" fillId="23" borderId="3" xfId="3" applyFont="1" applyFill="1" applyBorder="1" applyAlignment="1">
      <alignment horizontal="left" vertical="center"/>
    </xf>
    <xf numFmtId="1" fontId="24" fillId="2" borderId="3" xfId="3" applyNumberFormat="1" applyFont="1" applyFill="1" applyBorder="1" applyAlignment="1">
      <alignment horizontal="left" vertical="center"/>
    </xf>
    <xf numFmtId="1" fontId="24" fillId="26" borderId="3" xfId="3" applyNumberFormat="1" applyFont="1" applyFill="1" applyBorder="1" applyAlignment="1">
      <alignment horizontal="left" vertical="center"/>
    </xf>
    <xf numFmtId="0" fontId="24" fillId="26" borderId="3" xfId="3" applyFont="1" applyFill="1" applyBorder="1" applyAlignment="1">
      <alignment horizontal="left" vertical="center"/>
    </xf>
    <xf numFmtId="1" fontId="24" fillId="27" borderId="3" xfId="3" applyNumberFormat="1" applyFont="1" applyFill="1" applyBorder="1" applyAlignment="1">
      <alignment horizontal="left" vertical="center"/>
    </xf>
    <xf numFmtId="0" fontId="24" fillId="27" borderId="3" xfId="3" applyFont="1" applyFill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1" fontId="6" fillId="0" borderId="3" xfId="3" applyNumberFormat="1" applyFont="1" applyBorder="1" applyAlignment="1">
      <alignment horizontal="left" vertical="center"/>
    </xf>
    <xf numFmtId="0" fontId="13" fillId="0" borderId="3" xfId="3" applyBorder="1" applyAlignment="1">
      <alignment horizontal="left" vertical="center"/>
    </xf>
    <xf numFmtId="0" fontId="24" fillId="0" borderId="3" xfId="3" applyFont="1" applyBorder="1">
      <alignment vertical="center"/>
    </xf>
    <xf numFmtId="0" fontId="29" fillId="17" borderId="0" xfId="3" applyFont="1" applyFill="1">
      <alignment vertical="center"/>
    </xf>
    <xf numFmtId="0" fontId="24" fillId="3" borderId="3" xfId="3" applyFont="1" applyFill="1" applyBorder="1">
      <alignment vertical="center"/>
    </xf>
    <xf numFmtId="0" fontId="24" fillId="3" borderId="3" xfId="3" applyFont="1" applyFill="1" applyBorder="1" applyAlignment="1">
      <alignment horizontal="left" vertical="center"/>
    </xf>
    <xf numFmtId="1" fontId="24" fillId="0" borderId="0" xfId="3" applyNumberFormat="1" applyFont="1">
      <alignment vertical="center"/>
    </xf>
    <xf numFmtId="0" fontId="34" fillId="9" borderId="3" xfId="0" applyFont="1" applyFill="1" applyBorder="1" applyAlignment="1">
      <alignment horizontal="left" vertical="center"/>
    </xf>
    <xf numFmtId="14" fontId="34" fillId="9" borderId="3" xfId="0" applyNumberFormat="1" applyFont="1" applyFill="1" applyBorder="1" applyAlignment="1">
      <alignment horizontal="left" vertical="center"/>
    </xf>
    <xf numFmtId="0" fontId="35" fillId="9" borderId="40" xfId="0" applyFont="1" applyFill="1" applyBorder="1" applyAlignment="1">
      <alignment horizontal="left" vertical="center" wrapText="1"/>
    </xf>
    <xf numFmtId="0" fontId="47" fillId="9" borderId="40" xfId="0" applyFont="1" applyFill="1" applyBorder="1" applyAlignment="1">
      <alignment wrapText="1"/>
    </xf>
    <xf numFmtId="0" fontId="48" fillId="9" borderId="40" xfId="0" applyFont="1" applyFill="1" applyBorder="1"/>
    <xf numFmtId="0" fontId="45" fillId="9" borderId="40" xfId="4" applyFill="1" applyBorder="1" applyAlignment="1"/>
    <xf numFmtId="0" fontId="48" fillId="9" borderId="0" xfId="0" applyFont="1" applyFill="1"/>
    <xf numFmtId="0" fontId="35" fillId="9" borderId="3" xfId="0" applyFont="1" applyFill="1" applyBorder="1" applyAlignment="1">
      <alignment horizontal="left" vertical="center" wrapText="1"/>
    </xf>
    <xf numFmtId="0" fontId="48" fillId="9" borderId="7" xfId="0" applyFont="1" applyFill="1" applyBorder="1"/>
    <xf numFmtId="14" fontId="35" fillId="9" borderId="3" xfId="0" applyNumberFormat="1" applyFont="1" applyFill="1" applyBorder="1" applyAlignment="1">
      <alignment horizontal="left" vertical="center" wrapText="1"/>
    </xf>
    <xf numFmtId="9" fontId="34" fillId="9" borderId="3" xfId="2" applyFont="1" applyFill="1" applyBorder="1" applyAlignment="1">
      <alignment horizontal="center" vertical="center"/>
    </xf>
    <xf numFmtId="0" fontId="34" fillId="9" borderId="3" xfId="0" applyFont="1" applyFill="1" applyBorder="1" applyAlignment="1">
      <alignment horizontal="left" vertical="center" wrapText="1"/>
    </xf>
    <xf numFmtId="14" fontId="34" fillId="9" borderId="3" xfId="0" applyNumberFormat="1" applyFont="1" applyFill="1" applyBorder="1" applyAlignment="1">
      <alignment horizontal="left" vertical="center" wrapText="1"/>
    </xf>
    <xf numFmtId="171" fontId="47" fillId="9" borderId="3" xfId="0" applyNumberFormat="1" applyFont="1" applyFill="1" applyBorder="1"/>
    <xf numFmtId="0" fontId="66" fillId="9" borderId="3" xfId="0" applyFont="1" applyFill="1" applyBorder="1" applyAlignment="1">
      <alignment horizontal="left" vertical="center"/>
    </xf>
    <xf numFmtId="0" fontId="28" fillId="9" borderId="0" xfId="0" applyFont="1" applyFill="1" applyAlignment="1">
      <alignment horizontal="left" vertical="center"/>
    </xf>
    <xf numFmtId="172" fontId="0" fillId="0" borderId="0" xfId="0" applyNumberFormat="1"/>
    <xf numFmtId="172" fontId="4" fillId="2" borderId="29" xfId="0" applyNumberFormat="1" applyFont="1" applyFill="1" applyBorder="1" applyAlignment="1">
      <alignment vertical="center"/>
    </xf>
    <xf numFmtId="172" fontId="3" fillId="0" borderId="0" xfId="0" applyNumberFormat="1" applyFont="1"/>
    <xf numFmtId="172" fontId="74" fillId="0" borderId="8" xfId="0" applyNumberFormat="1" applyFont="1" applyBorder="1" applyAlignment="1" applyProtection="1">
      <alignment horizontal="center" vertical="top" wrapText="1"/>
      <protection locked="0"/>
    </xf>
    <xf numFmtId="172" fontId="60" fillId="0" borderId="3" xfId="0" applyNumberFormat="1" applyFont="1" applyBorder="1" applyAlignment="1">
      <alignment horizontal="center" vertical="center" wrapText="1"/>
    </xf>
    <xf numFmtId="172" fontId="35" fillId="0" borderId="3" xfId="0" applyNumberFormat="1" applyFont="1" applyBorder="1" applyAlignment="1">
      <alignment horizontal="center" vertical="center" wrapText="1"/>
    </xf>
    <xf numFmtId="172" fontId="33" fillId="0" borderId="3" xfId="0" applyNumberFormat="1" applyFont="1" applyBorder="1" applyAlignment="1">
      <alignment horizontal="left" vertical="center"/>
    </xf>
    <xf numFmtId="172" fontId="34" fillId="0" borderId="3" xfId="0" applyNumberFormat="1" applyFont="1" applyBorder="1" applyAlignment="1">
      <alignment horizontal="left" vertical="center"/>
    </xf>
    <xf numFmtId="172" fontId="37" fillId="0" borderId="3" xfId="0" applyNumberFormat="1" applyFont="1" applyBorder="1" applyAlignment="1" applyProtection="1">
      <alignment horizontal="center"/>
      <protection locked="0"/>
    </xf>
    <xf numFmtId="172" fontId="10" fillId="0" borderId="3" xfId="0" applyNumberFormat="1" applyFont="1" applyBorder="1" applyAlignment="1" applyProtection="1">
      <alignment horizontal="center"/>
      <protection locked="0"/>
    </xf>
    <xf numFmtId="172" fontId="0" fillId="0" borderId="3" xfId="0" applyNumberFormat="1" applyBorder="1"/>
    <xf numFmtId="172" fontId="0" fillId="0" borderId="0" xfId="0" applyNumberFormat="1" applyAlignment="1">
      <alignment horizontal="left"/>
    </xf>
    <xf numFmtId="172" fontId="74" fillId="0" borderId="8" xfId="0" applyNumberFormat="1" applyFont="1" applyBorder="1" applyAlignment="1" applyProtection="1">
      <alignment horizontal="left" vertical="center" wrapText="1"/>
      <protection locked="0"/>
    </xf>
    <xf numFmtId="172" fontId="27" fillId="0" borderId="3" xfId="0" applyNumberFormat="1" applyFont="1" applyBorder="1" applyAlignment="1">
      <alignment horizontal="center" wrapText="1"/>
    </xf>
    <xf numFmtId="172" fontId="39" fillId="0" borderId="3" xfId="0" applyNumberFormat="1" applyFont="1" applyBorder="1" applyAlignment="1">
      <alignment horizontal="left" vertical="center"/>
    </xf>
    <xf numFmtId="172" fontId="37" fillId="0" borderId="3" xfId="0" applyNumberFormat="1" applyFont="1" applyBorder="1" applyAlignment="1" applyProtection="1">
      <alignment horizontal="left"/>
      <protection locked="0"/>
    </xf>
    <xf numFmtId="172" fontId="10" fillId="0" borderId="3" xfId="0" applyNumberFormat="1" applyFont="1" applyBorder="1" applyAlignment="1" applyProtection="1">
      <alignment horizontal="left"/>
      <protection locked="0"/>
    </xf>
    <xf numFmtId="172" fontId="12" fillId="0" borderId="3" xfId="0" applyNumberFormat="1" applyFont="1" applyBorder="1" applyAlignment="1">
      <alignment horizontal="left"/>
    </xf>
    <xf numFmtId="172" fontId="37" fillId="0" borderId="3" xfId="0" applyNumberFormat="1" applyFont="1" applyBorder="1" applyAlignment="1">
      <alignment horizontal="center" vertical="center"/>
    </xf>
    <xf numFmtId="0" fontId="34" fillId="9" borderId="3" xfId="0" applyFont="1" applyFill="1" applyBorder="1" applyAlignment="1">
      <alignment horizontal="center" vertical="center"/>
    </xf>
    <xf numFmtId="0" fontId="34" fillId="9" borderId="3" xfId="0" applyFont="1" applyFill="1" applyBorder="1" applyAlignment="1">
      <alignment horizontal="center" vertical="top"/>
    </xf>
    <xf numFmtId="0" fontId="45" fillId="9" borderId="40" xfId="4" applyFill="1" applyBorder="1"/>
    <xf numFmtId="0" fontId="53" fillId="9" borderId="46" xfId="0" applyFont="1" applyFill="1" applyBorder="1" applyAlignment="1">
      <alignment readingOrder="1"/>
    </xf>
    <xf numFmtId="0" fontId="23" fillId="9" borderId="7" xfId="0" applyFont="1" applyFill="1" applyBorder="1" applyAlignment="1" applyProtection="1">
      <alignment horizontal="center" vertical="center"/>
      <protection locked="0"/>
    </xf>
    <xf numFmtId="0" fontId="28" fillId="9" borderId="3" xfId="0" applyFont="1" applyFill="1" applyBorder="1"/>
    <xf numFmtId="0" fontId="48" fillId="9" borderId="3" xfId="0" applyFont="1" applyFill="1" applyBorder="1"/>
    <xf numFmtId="0" fontId="149" fillId="0" borderId="3" xfId="0" applyFont="1" applyBorder="1" applyAlignment="1" applyProtection="1">
      <alignment horizontal="left" vertical="center"/>
      <protection locked="0"/>
    </xf>
    <xf numFmtId="0" fontId="40" fillId="0" borderId="0" xfId="0" applyFont="1" applyAlignment="1" applyProtection="1">
      <alignment horizontal="left" vertical="center" wrapText="1"/>
      <protection hidden="1"/>
    </xf>
    <xf numFmtId="0" fontId="27" fillId="0" borderId="45" xfId="0" applyFont="1" applyBorder="1" applyAlignment="1">
      <alignment horizontal="left"/>
    </xf>
    <xf numFmtId="0" fontId="27" fillId="0" borderId="45" xfId="0" applyFont="1" applyBorder="1" applyAlignment="1">
      <alignment horizontal="left" wrapText="1"/>
    </xf>
    <xf numFmtId="0" fontId="97" fillId="0" borderId="45" xfId="0" applyFont="1" applyBorder="1" applyAlignment="1">
      <alignment horizontal="left"/>
    </xf>
    <xf numFmtId="0" fontId="34" fillId="0" borderId="45" xfId="0" applyFont="1" applyBorder="1" applyAlignment="1">
      <alignment horizontal="left"/>
    </xf>
    <xf numFmtId="0" fontId="58" fillId="0" borderId="22" xfId="0" applyFont="1" applyBorder="1" applyAlignment="1" applyProtection="1">
      <alignment horizontal="left"/>
      <protection locked="0"/>
    </xf>
    <xf numFmtId="0" fontId="52" fillId="0" borderId="22" xfId="0" applyFont="1" applyBorder="1" applyAlignment="1" applyProtection="1">
      <alignment horizontal="left"/>
      <protection locked="0"/>
    </xf>
    <xf numFmtId="0" fontId="61" fillId="0" borderId="22" xfId="0" applyFont="1" applyBorder="1" applyAlignment="1" applyProtection="1">
      <alignment horizontal="left" vertical="center"/>
      <protection locked="0"/>
    </xf>
    <xf numFmtId="0" fontId="58" fillId="0" borderId="22" xfId="0" applyFont="1" applyBorder="1" applyAlignment="1">
      <alignment horizontal="left"/>
    </xf>
    <xf numFmtId="0" fontId="93" fillId="0" borderId="42" xfId="0" applyFont="1" applyBorder="1"/>
    <xf numFmtId="0" fontId="93" fillId="0" borderId="81" xfId="0" applyFont="1" applyBorder="1"/>
    <xf numFmtId="0" fontId="37" fillId="0" borderId="40" xfId="0" applyFont="1" applyBorder="1" applyAlignment="1">
      <alignment horizontal="left" vertical="center"/>
    </xf>
    <xf numFmtId="0" fontId="59" fillId="0" borderId="40" xfId="0" applyFont="1" applyBorder="1" applyAlignment="1">
      <alignment horizontal="left" vertical="center"/>
    </xf>
    <xf numFmtId="0" fontId="37" fillId="4" borderId="40" xfId="0" applyFont="1" applyFill="1" applyBorder="1" applyAlignment="1">
      <alignment horizontal="left" vertical="center"/>
    </xf>
    <xf numFmtId="0" fontId="3" fillId="26" borderId="3" xfId="0" applyFont="1" applyFill="1" applyBorder="1"/>
    <xf numFmtId="171" fontId="0" fillId="26" borderId="3" xfId="0" applyNumberFormat="1" applyFill="1" applyBorder="1"/>
    <xf numFmtId="0" fontId="6" fillId="26" borderId="71" xfId="0" applyFont="1" applyFill="1" applyBorder="1" applyAlignment="1">
      <alignment horizontal="left"/>
    </xf>
    <xf numFmtId="171" fontId="0" fillId="26" borderId="22" xfId="0" applyNumberFormat="1" applyFill="1" applyBorder="1"/>
    <xf numFmtId="0" fontId="33" fillId="9" borderId="3" xfId="0" quotePrefix="1" applyFont="1" applyFill="1" applyBorder="1" applyAlignment="1">
      <alignment horizontal="center" vertical="center" wrapText="1"/>
    </xf>
    <xf numFmtId="0" fontId="153" fillId="9" borderId="22" xfId="0" applyFont="1" applyFill="1" applyBorder="1" applyAlignment="1" applyProtection="1">
      <alignment horizontal="center"/>
      <protection locked="0"/>
    </xf>
    <xf numFmtId="0" fontId="155" fillId="9" borderId="3" xfId="0" applyFont="1" applyFill="1" applyBorder="1"/>
    <xf numFmtId="0" fontId="53" fillId="9" borderId="3" xfId="0" applyFont="1" applyFill="1" applyBorder="1"/>
    <xf numFmtId="1" fontId="151" fillId="9" borderId="22" xfId="0" applyNumberFormat="1" applyFont="1" applyFill="1" applyBorder="1" applyAlignment="1">
      <alignment horizontal="center" vertical="center"/>
    </xf>
    <xf numFmtId="14" fontId="33" fillId="9" borderId="3" xfId="0" applyNumberFormat="1" applyFont="1" applyFill="1" applyBorder="1" applyAlignment="1">
      <alignment horizontal="left" vertical="center"/>
    </xf>
    <xf numFmtId="0" fontId="33" fillId="9" borderId="40" xfId="0" applyFont="1" applyFill="1" applyBorder="1" applyAlignment="1">
      <alignment horizontal="left" vertical="center" wrapText="1"/>
    </xf>
    <xf numFmtId="0" fontId="53" fillId="9" borderId="40" xfId="0" applyFont="1" applyFill="1" applyBorder="1"/>
    <xf numFmtId="0" fontId="152" fillId="9" borderId="40" xfId="4" applyFont="1" applyFill="1" applyBorder="1"/>
    <xf numFmtId="0" fontId="33" fillId="9" borderId="3" xfId="0" applyFont="1" applyFill="1" applyBorder="1" applyAlignment="1">
      <alignment horizontal="left" vertical="center" wrapText="1"/>
    </xf>
    <xf numFmtId="0" fontId="53" fillId="9" borderId="7" xfId="0" applyFont="1" applyFill="1" applyBorder="1"/>
    <xf numFmtId="14" fontId="33" fillId="9" borderId="3" xfId="0" applyNumberFormat="1" applyFont="1" applyFill="1" applyBorder="1" applyAlignment="1">
      <alignment horizontal="left" vertical="center" wrapText="1"/>
    </xf>
    <xf numFmtId="0" fontId="33" fillId="9" borderId="3" xfId="0" applyFont="1" applyFill="1" applyBorder="1" applyAlignment="1">
      <alignment horizontal="left" vertical="center"/>
    </xf>
    <xf numFmtId="9" fontId="33" fillId="9" borderId="3" xfId="2" applyFont="1" applyFill="1" applyBorder="1" applyAlignment="1">
      <alignment horizontal="center" vertical="center"/>
    </xf>
    <xf numFmtId="14" fontId="153" fillId="9" borderId="22" xfId="0" applyNumberFormat="1" applyFont="1" applyFill="1" applyBorder="1" applyAlignment="1" applyProtection="1">
      <alignment horizontal="left"/>
      <protection locked="0"/>
    </xf>
    <xf numFmtId="171" fontId="154" fillId="9" borderId="7" xfId="0" applyNumberFormat="1" applyFont="1" applyFill="1" applyBorder="1" applyAlignment="1" applyProtection="1">
      <alignment horizontal="center" vertical="center"/>
      <protection locked="0"/>
    </xf>
    <xf numFmtId="0" fontId="153" fillId="9" borderId="22" xfId="0" applyFont="1" applyFill="1" applyBorder="1" applyAlignment="1" applyProtection="1">
      <alignment horizontal="left"/>
      <protection locked="0"/>
    </xf>
    <xf numFmtId="14" fontId="153" fillId="9" borderId="48" xfId="0" applyNumberFormat="1" applyFont="1" applyFill="1" applyBorder="1" applyAlignment="1" applyProtection="1">
      <alignment horizontal="left"/>
      <protection locked="0"/>
    </xf>
    <xf numFmtId="165" fontId="153" fillId="9" borderId="22" xfId="0" applyNumberFormat="1" applyFont="1" applyFill="1" applyBorder="1" applyAlignment="1" applyProtection="1">
      <alignment horizontal="left"/>
      <protection locked="0"/>
    </xf>
    <xf numFmtId="14" fontId="34" fillId="0" borderId="3" xfId="0" applyNumberFormat="1" applyFont="1" applyBorder="1" applyAlignment="1">
      <alignment vertical="center" wrapText="1"/>
    </xf>
    <xf numFmtId="14" fontId="39" fillId="0" borderId="3" xfId="0" applyNumberFormat="1" applyFont="1" applyBorder="1" applyAlignment="1">
      <alignment vertical="center"/>
    </xf>
    <xf numFmtId="9" fontId="34" fillId="9" borderId="3" xfId="2" quotePrefix="1" applyFont="1" applyFill="1" applyBorder="1" applyAlignment="1">
      <alignment horizontal="center" vertical="center" wrapText="1"/>
    </xf>
    <xf numFmtId="0" fontId="34" fillId="28" borderId="3" xfId="0" applyFont="1" applyFill="1" applyBorder="1" applyAlignment="1">
      <alignment horizontal="center" vertical="top"/>
    </xf>
    <xf numFmtId="14" fontId="34" fillId="28" borderId="3" xfId="0" applyNumberFormat="1" applyFont="1" applyFill="1" applyBorder="1" applyAlignment="1">
      <alignment horizontal="center" vertical="top"/>
    </xf>
    <xf numFmtId="0" fontId="35" fillId="28" borderId="3" xfId="0" applyFont="1" applyFill="1" applyBorder="1" applyAlignment="1">
      <alignment horizontal="left" vertical="top" wrapText="1"/>
    </xf>
    <xf numFmtId="0" fontId="34" fillId="28" borderId="3" xfId="0" applyFont="1" applyFill="1" applyBorder="1" applyAlignment="1">
      <alignment horizontal="left" vertical="top"/>
    </xf>
    <xf numFmtId="9" fontId="34" fillId="28" borderId="3" xfId="2" applyFont="1" applyFill="1" applyBorder="1" applyAlignment="1">
      <alignment horizontal="left" vertical="top"/>
    </xf>
    <xf numFmtId="0" fontId="23" fillId="28" borderId="7" xfId="0" applyFont="1" applyFill="1" applyBorder="1" applyAlignment="1" applyProtection="1">
      <alignment horizontal="center" vertical="center"/>
      <protection locked="0"/>
    </xf>
    <xf numFmtId="0" fontId="34" fillId="28" borderId="45" xfId="0" applyFont="1" applyFill="1" applyBorder="1" applyAlignment="1">
      <alignment horizontal="left" vertical="top"/>
    </xf>
    <xf numFmtId="0" fontId="34" fillId="28" borderId="45" xfId="0" applyFont="1" applyFill="1" applyBorder="1" applyAlignment="1">
      <alignment horizontal="left" vertical="center" wrapText="1"/>
    </xf>
    <xf numFmtId="0" fontId="59" fillId="28" borderId="3" xfId="0" applyFont="1" applyFill="1" applyBorder="1" applyAlignment="1">
      <alignment horizontal="left" vertical="center"/>
    </xf>
    <xf numFmtId="0" fontId="37" fillId="28" borderId="3" xfId="0" applyFont="1" applyFill="1" applyBorder="1"/>
    <xf numFmtId="0" fontId="97" fillId="28" borderId="3" xfId="0" applyFont="1" applyFill="1" applyBorder="1" applyAlignment="1">
      <alignment horizontal="center" vertical="center"/>
    </xf>
    <xf numFmtId="0" fontId="45" fillId="28" borderId="3" xfId="4" applyFill="1" applyBorder="1" applyAlignment="1">
      <alignment horizontal="center" wrapText="1"/>
    </xf>
    <xf numFmtId="0" fontId="45" fillId="28" borderId="3" xfId="4" applyFill="1" applyBorder="1" applyAlignment="1">
      <alignment horizontal="center" vertical="center" wrapText="1"/>
    </xf>
    <xf numFmtId="0" fontId="60" fillId="28" borderId="3" xfId="0" applyFont="1" applyFill="1" applyBorder="1" applyAlignment="1">
      <alignment horizontal="center" vertical="center" wrapText="1"/>
    </xf>
    <xf numFmtId="0" fontId="35" fillId="28" borderId="3" xfId="0" applyFont="1" applyFill="1" applyBorder="1" applyAlignment="1">
      <alignment horizontal="center" vertical="center" wrapText="1"/>
    </xf>
    <xf numFmtId="0" fontId="48" fillId="29" borderId="3" xfId="0" applyFont="1" applyFill="1" applyBorder="1" applyAlignment="1">
      <alignment horizontal="center" wrapText="1"/>
    </xf>
    <xf numFmtId="0" fontId="45" fillId="29" borderId="3" xfId="4" applyFill="1" applyBorder="1" applyAlignment="1">
      <alignment horizontal="center" wrapText="1"/>
    </xf>
    <xf numFmtId="14" fontId="27" fillId="28" borderId="3" xfId="0" applyNumberFormat="1" applyFont="1" applyFill="1" applyBorder="1" applyAlignment="1">
      <alignment horizontal="center"/>
    </xf>
    <xf numFmtId="0" fontId="56" fillId="28" borderId="3" xfId="4" applyFont="1" applyFill="1" applyBorder="1" applyAlignment="1">
      <alignment horizontal="center" vertical="center" wrapText="1"/>
    </xf>
    <xf numFmtId="14" fontId="34" fillId="28" borderId="3" xfId="0" applyNumberFormat="1" applyFont="1" applyFill="1" applyBorder="1" applyAlignment="1">
      <alignment horizontal="center" vertical="center"/>
    </xf>
    <xf numFmtId="0" fontId="48" fillId="29" borderId="3" xfId="0" applyFont="1" applyFill="1" applyBorder="1" applyAlignment="1">
      <alignment wrapText="1"/>
    </xf>
    <xf numFmtId="0" fontId="35" fillId="28" borderId="3" xfId="0" applyFont="1" applyFill="1" applyBorder="1" applyAlignment="1">
      <alignment horizontal="left" vertical="center" wrapText="1"/>
    </xf>
    <xf numFmtId="0" fontId="34" fillId="28" borderId="3" xfId="0" applyFont="1" applyFill="1" applyBorder="1" applyAlignment="1">
      <alignment horizontal="left" vertical="center"/>
    </xf>
    <xf numFmtId="0" fontId="53" fillId="28" borderId="3" xfId="0" applyFont="1" applyFill="1" applyBorder="1" applyAlignment="1">
      <alignment horizontal="center" wrapText="1"/>
    </xf>
    <xf numFmtId="0" fontId="48" fillId="30" borderId="3" xfId="0" applyFont="1" applyFill="1" applyBorder="1" applyAlignment="1">
      <alignment horizontal="center" wrapText="1"/>
    </xf>
    <xf numFmtId="0" fontId="45" fillId="30" borderId="3" xfId="4" applyFill="1" applyBorder="1" applyAlignment="1">
      <alignment horizontal="center" wrapText="1"/>
    </xf>
    <xf numFmtId="0" fontId="27" fillId="28" borderId="3" xfId="0" applyFont="1" applyFill="1" applyBorder="1" applyAlignment="1">
      <alignment horizontal="center" wrapText="1"/>
    </xf>
    <xf numFmtId="172" fontId="27" fillId="28" borderId="3" xfId="0" applyNumberFormat="1" applyFont="1" applyFill="1" applyBorder="1" applyAlignment="1">
      <alignment horizontal="center" wrapText="1"/>
    </xf>
    <xf numFmtId="172" fontId="60" fillId="28" borderId="3" xfId="0" applyNumberFormat="1" applyFont="1" applyFill="1" applyBorder="1" applyAlignment="1">
      <alignment horizontal="center" vertical="center" wrapText="1"/>
    </xf>
    <xf numFmtId="14" fontId="34" fillId="28" borderId="45" xfId="0" applyNumberFormat="1" applyFont="1" applyFill="1" applyBorder="1" applyAlignment="1">
      <alignment horizontal="left" vertical="center" wrapText="1"/>
    </xf>
    <xf numFmtId="0" fontId="48" fillId="28" borderId="3" xfId="0" applyFont="1" applyFill="1" applyBorder="1" applyAlignment="1">
      <alignment horizontal="center" wrapText="1"/>
    </xf>
    <xf numFmtId="14" fontId="76" fillId="28" borderId="45" xfId="0" applyNumberFormat="1" applyFont="1" applyFill="1" applyBorder="1" applyAlignment="1" applyProtection="1">
      <alignment horizontal="left" vertical="center" wrapText="1"/>
      <protection locked="0"/>
    </xf>
    <xf numFmtId="172" fontId="35" fillId="28" borderId="3" xfId="0" applyNumberFormat="1" applyFont="1" applyFill="1" applyBorder="1" applyAlignment="1">
      <alignment horizontal="center" vertical="center" wrapText="1"/>
    </xf>
    <xf numFmtId="0" fontId="34" fillId="28" borderId="3" xfId="0" applyFont="1" applyFill="1" applyBorder="1" applyAlignment="1">
      <alignment horizontal="center" vertical="center"/>
    </xf>
    <xf numFmtId="9" fontId="34" fillId="28" borderId="3" xfId="2" applyFont="1" applyFill="1" applyBorder="1" applyAlignment="1">
      <alignment horizontal="left" vertical="center"/>
    </xf>
    <xf numFmtId="0" fontId="76" fillId="28" borderId="3" xfId="0" applyFont="1" applyFill="1" applyBorder="1" applyAlignment="1" applyProtection="1">
      <alignment horizontal="left" vertical="top"/>
      <protection locked="0"/>
    </xf>
    <xf numFmtId="0" fontId="123" fillId="28" borderId="0" xfId="0" applyFont="1" applyFill="1" applyAlignment="1">
      <alignment horizontal="center"/>
    </xf>
    <xf numFmtId="14" fontId="60" fillId="28" borderId="3" xfId="0" applyNumberFormat="1" applyFont="1" applyFill="1" applyBorder="1" applyAlignment="1">
      <alignment horizontal="center" vertical="center" wrapText="1"/>
    </xf>
    <xf numFmtId="0" fontId="27" fillId="28" borderId="3" xfId="0" applyFont="1" applyFill="1" applyBorder="1" applyAlignment="1">
      <alignment horizontal="center"/>
    </xf>
    <xf numFmtId="0" fontId="48" fillId="28" borderId="46" xfId="0" applyFont="1" applyFill="1" applyBorder="1" applyAlignment="1">
      <alignment horizontal="center"/>
    </xf>
    <xf numFmtId="9" fontId="97" fillId="28" borderId="3" xfId="2" applyFont="1" applyFill="1" applyBorder="1" applyAlignment="1">
      <alignment horizontal="center" vertical="center"/>
    </xf>
    <xf numFmtId="14" fontId="27" fillId="28" borderId="3" xfId="0" applyNumberFormat="1" applyFont="1" applyFill="1" applyBorder="1" applyAlignment="1">
      <alignment horizontal="center" wrapText="1"/>
    </xf>
    <xf numFmtId="0" fontId="27" fillId="28" borderId="45" xfId="0" applyFont="1" applyFill="1" applyBorder="1" applyAlignment="1">
      <alignment horizontal="left"/>
    </xf>
    <xf numFmtId="0" fontId="27" fillId="28" borderId="45" xfId="0" applyFont="1" applyFill="1" applyBorder="1" applyAlignment="1">
      <alignment wrapText="1"/>
    </xf>
    <xf numFmtId="14" fontId="35" fillId="28" borderId="3" xfId="0" applyNumberFormat="1" applyFont="1" applyFill="1" applyBorder="1" applyAlignment="1">
      <alignment horizontal="center" vertical="center" wrapText="1"/>
    </xf>
    <xf numFmtId="9" fontId="34" fillId="28" borderId="3" xfId="2" applyFont="1" applyFill="1" applyBorder="1" applyAlignment="1">
      <alignment horizontal="center" vertical="center"/>
    </xf>
    <xf numFmtId="14" fontId="53" fillId="28" borderId="3" xfId="0" applyNumberFormat="1" applyFont="1" applyFill="1" applyBorder="1" applyAlignment="1">
      <alignment horizontal="center" wrapText="1"/>
    </xf>
    <xf numFmtId="0" fontId="53" fillId="28" borderId="3" xfId="0" applyFont="1" applyFill="1" applyBorder="1" applyAlignment="1">
      <alignment horizontal="center"/>
    </xf>
    <xf numFmtId="0" fontId="53" fillId="28" borderId="45" xfId="0" applyFont="1" applyFill="1" applyBorder="1" applyAlignment="1">
      <alignment horizontal="left"/>
    </xf>
    <xf numFmtId="0" fontId="53" fillId="28" borderId="45" xfId="0" applyFont="1" applyFill="1" applyBorder="1" applyAlignment="1">
      <alignment wrapText="1"/>
    </xf>
    <xf numFmtId="0" fontId="28" fillId="28" borderId="3" xfId="0" applyFont="1" applyFill="1" applyBorder="1" applyAlignment="1">
      <alignment horizontal="center"/>
    </xf>
    <xf numFmtId="0" fontId="48" fillId="28" borderId="3" xfId="0" applyFont="1" applyFill="1" applyBorder="1" applyAlignment="1">
      <alignment horizontal="center"/>
    </xf>
    <xf numFmtId="0" fontId="27" fillId="28" borderId="40" xfId="0" applyFont="1" applyFill="1" applyBorder="1" applyAlignment="1">
      <alignment horizontal="center" wrapText="1"/>
    </xf>
    <xf numFmtId="14" fontId="27" fillId="28" borderId="6" xfId="0" applyNumberFormat="1" applyFont="1" applyFill="1" applyBorder="1" applyAlignment="1">
      <alignment horizontal="center" wrapText="1"/>
    </xf>
    <xf numFmtId="0" fontId="27" fillId="28" borderId="45" xfId="0" applyFont="1" applyFill="1" applyBorder="1" applyAlignment="1">
      <alignment horizontal="left" wrapText="1"/>
    </xf>
    <xf numFmtId="0" fontId="27" fillId="28" borderId="7" xfId="0" applyFont="1" applyFill="1" applyBorder="1" applyAlignment="1">
      <alignment horizontal="center" wrapText="1"/>
    </xf>
    <xf numFmtId="14" fontId="27" fillId="28" borderId="45" xfId="0" applyNumberFormat="1" applyFont="1" applyFill="1" applyBorder="1" applyAlignment="1">
      <alignment wrapText="1"/>
    </xf>
    <xf numFmtId="0" fontId="21" fillId="28" borderId="3" xfId="0" applyFont="1" applyFill="1" applyBorder="1" applyAlignment="1">
      <alignment horizontal="center"/>
    </xf>
    <xf numFmtId="0" fontId="48" fillId="28" borderId="3" xfId="0" applyFont="1" applyFill="1" applyBorder="1" applyAlignment="1">
      <alignment horizontal="center" vertical="center" wrapText="1"/>
    </xf>
    <xf numFmtId="14" fontId="50" fillId="28" borderId="3" xfId="0" applyNumberFormat="1" applyFont="1" applyFill="1" applyBorder="1" applyAlignment="1">
      <alignment horizontal="center"/>
    </xf>
    <xf numFmtId="14" fontId="48" fillId="28" borderId="3" xfId="0" applyNumberFormat="1" applyFont="1" applyFill="1" applyBorder="1" applyAlignment="1">
      <alignment horizontal="center" wrapText="1"/>
    </xf>
    <xf numFmtId="0" fontId="27" fillId="29" borderId="3" xfId="0" applyFont="1" applyFill="1" applyBorder="1" applyAlignment="1">
      <alignment horizontal="center"/>
    </xf>
    <xf numFmtId="0" fontId="87" fillId="28" borderId="3" xfId="0" applyFont="1" applyFill="1" applyBorder="1" applyAlignment="1">
      <alignment horizontal="center"/>
    </xf>
    <xf numFmtId="0" fontId="58" fillId="28" borderId="3" xfId="0" applyFont="1" applyFill="1" applyBorder="1" applyAlignment="1">
      <alignment horizontal="center"/>
    </xf>
    <xf numFmtId="14" fontId="27" fillId="28" borderId="45" xfId="0" applyNumberFormat="1" applyFont="1" applyFill="1" applyBorder="1" applyAlignment="1">
      <alignment horizontal="left" wrapText="1" indent="14"/>
    </xf>
    <xf numFmtId="9" fontId="27" fillId="28" borderId="3" xfId="0" applyNumberFormat="1" applyFont="1" applyFill="1" applyBorder="1" applyAlignment="1">
      <alignment horizontal="center"/>
    </xf>
    <xf numFmtId="14" fontId="27" fillId="28" borderId="3" xfId="0" applyNumberFormat="1" applyFont="1" applyFill="1" applyBorder="1" applyAlignment="1">
      <alignment horizontal="center" vertical="center"/>
    </xf>
    <xf numFmtId="14" fontId="48" fillId="28" borderId="3" xfId="0" applyNumberFormat="1" applyFont="1" applyFill="1" applyBorder="1" applyAlignment="1">
      <alignment horizontal="center" vertical="center" wrapText="1"/>
    </xf>
    <xf numFmtId="0" fontId="27" fillId="28" borderId="3" xfId="0" applyFont="1" applyFill="1" applyBorder="1" applyAlignment="1">
      <alignment horizontal="center" vertical="center"/>
    </xf>
    <xf numFmtId="9" fontId="27" fillId="28" borderId="3" xfId="0" applyNumberFormat="1" applyFont="1" applyFill="1" applyBorder="1" applyAlignment="1">
      <alignment horizontal="center" vertical="center"/>
    </xf>
    <xf numFmtId="14" fontId="27" fillId="28" borderId="3" xfId="0" applyNumberFormat="1" applyFont="1" applyFill="1" applyBorder="1" applyAlignment="1">
      <alignment horizontal="center" vertical="center" wrapText="1"/>
    </xf>
    <xf numFmtId="0" fontId="28" fillId="28" borderId="45" xfId="0" applyFont="1" applyFill="1" applyBorder="1" applyAlignment="1">
      <alignment wrapText="1"/>
    </xf>
    <xf numFmtId="0" fontId="60" fillId="28" borderId="3" xfId="0" applyFont="1" applyFill="1" applyBorder="1" applyAlignment="1">
      <alignment horizontal="center" wrapText="1"/>
    </xf>
    <xf numFmtId="0" fontId="97" fillId="28" borderId="3" xfId="0" applyFont="1" applyFill="1" applyBorder="1" applyAlignment="1">
      <alignment horizontal="center" vertical="top"/>
    </xf>
    <xf numFmtId="1" fontId="9" fillId="28" borderId="3" xfId="0" applyNumberFormat="1" applyFont="1" applyFill="1" applyBorder="1" applyAlignment="1">
      <alignment horizontal="center" vertical="center"/>
    </xf>
    <xf numFmtId="1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 applyProtection="1">
      <alignment horizontal="center" vertical="center"/>
      <protection locked="0"/>
    </xf>
    <xf numFmtId="0" fontId="100" fillId="28" borderId="3" xfId="0" applyFont="1" applyFill="1" applyBorder="1" applyAlignment="1" applyProtection="1">
      <alignment horizontal="center"/>
      <protection locked="0"/>
    </xf>
    <xf numFmtId="0" fontId="0" fillId="28" borderId="3" xfId="0" applyFill="1" applyBorder="1" applyAlignment="1" applyProtection="1">
      <alignment horizontal="center"/>
      <protection locked="0"/>
    </xf>
    <xf numFmtId="0" fontId="45" fillId="28" borderId="3" xfId="4" applyFill="1" applyBorder="1" applyAlignment="1" applyProtection="1">
      <alignment horizontal="center"/>
      <protection locked="0"/>
    </xf>
    <xf numFmtId="0" fontId="60" fillId="28" borderId="3" xfId="0" applyFont="1" applyFill="1" applyBorder="1" applyAlignment="1" applyProtection="1">
      <alignment horizontal="center" wrapText="1"/>
      <protection locked="0"/>
    </xf>
    <xf numFmtId="165" fontId="3" fillId="28" borderId="3" xfId="0" applyNumberFormat="1" applyFont="1" applyFill="1" applyBorder="1" applyAlignment="1" applyProtection="1">
      <alignment horizontal="center" vertical="center"/>
      <protection locked="0"/>
    </xf>
    <xf numFmtId="165" fontId="3" fillId="28" borderId="3" xfId="0" applyNumberFormat="1" applyFont="1" applyFill="1" applyBorder="1" applyAlignment="1" applyProtection="1">
      <alignment horizontal="center"/>
      <protection locked="0"/>
    </xf>
    <xf numFmtId="9" fontId="0" fillId="28" borderId="3" xfId="2" applyFont="1" applyFill="1" applyBorder="1" applyAlignment="1" applyProtection="1">
      <alignment horizontal="center" vertical="center"/>
      <protection locked="0"/>
    </xf>
    <xf numFmtId="0" fontId="97" fillId="28" borderId="45" xfId="0" applyFont="1" applyFill="1" applyBorder="1" applyAlignment="1">
      <alignment horizontal="left" wrapText="1"/>
    </xf>
    <xf numFmtId="0" fontId="45" fillId="28" borderId="40" xfId="4" applyFill="1" applyBorder="1" applyAlignment="1">
      <alignment horizontal="center" vertical="center" wrapText="1"/>
    </xf>
    <xf numFmtId="0" fontId="37" fillId="28" borderId="3" xfId="0" applyFont="1" applyFill="1" applyBorder="1" applyAlignment="1">
      <alignment horizontal="left" vertical="center"/>
    </xf>
    <xf numFmtId="169" fontId="37" fillId="28" borderId="3" xfId="0" applyNumberFormat="1" applyFont="1" applyFill="1" applyBorder="1" applyAlignment="1">
      <alignment horizontal="center" vertical="center"/>
    </xf>
    <xf numFmtId="0" fontId="37" fillId="28" borderId="3" xfId="0" applyFont="1" applyFill="1" applyBorder="1" applyAlignment="1">
      <alignment horizontal="center" vertical="center"/>
    </xf>
    <xf numFmtId="0" fontId="25" fillId="28" borderId="3" xfId="0" applyFont="1" applyFill="1" applyBorder="1" applyAlignment="1">
      <alignment horizontal="center" vertical="center"/>
    </xf>
    <xf numFmtId="9" fontId="37" fillId="28" borderId="3" xfId="2" applyFont="1" applyFill="1" applyBorder="1" applyAlignment="1">
      <alignment horizontal="center" vertical="center"/>
    </xf>
    <xf numFmtId="172" fontId="37" fillId="28" borderId="3" xfId="0" applyNumberFormat="1" applyFont="1" applyFill="1" applyBorder="1" applyAlignment="1">
      <alignment horizontal="center" vertical="center"/>
    </xf>
    <xf numFmtId="165" fontId="25" fillId="28" borderId="3" xfId="0" applyNumberFormat="1" applyFont="1" applyFill="1" applyBorder="1" applyAlignment="1">
      <alignment horizontal="center" vertical="center"/>
    </xf>
    <xf numFmtId="0" fontId="33" fillId="28" borderId="3" xfId="3" applyFont="1" applyFill="1" applyBorder="1" applyAlignment="1">
      <alignment horizontal="left" vertical="top"/>
    </xf>
    <xf numFmtId="0" fontId="33" fillId="31" borderId="3" xfId="0" applyFont="1" applyFill="1" applyBorder="1" applyAlignment="1">
      <alignment horizontal="left" vertical="center"/>
    </xf>
    <xf numFmtId="0" fontId="45" fillId="31" borderId="3" xfId="4" applyFill="1" applyBorder="1" applyAlignment="1">
      <alignment horizontal="left" vertical="center"/>
    </xf>
    <xf numFmtId="0" fontId="93" fillId="31" borderId="3" xfId="0" applyFont="1" applyFill="1" applyBorder="1"/>
    <xf numFmtId="14" fontId="33" fillId="31" borderId="3" xfId="0" applyNumberFormat="1" applyFont="1" applyFill="1" applyBorder="1" applyAlignment="1">
      <alignment horizontal="left" vertical="center"/>
    </xf>
    <xf numFmtId="0" fontId="34" fillId="31" borderId="3" xfId="0" applyFont="1" applyFill="1" applyBorder="1" applyAlignment="1">
      <alignment horizontal="center" vertical="center"/>
    </xf>
    <xf numFmtId="14" fontId="34" fillId="31" borderId="3" xfId="0" applyNumberFormat="1" applyFont="1" applyFill="1" applyBorder="1" applyAlignment="1">
      <alignment horizontal="left" vertical="center"/>
    </xf>
    <xf numFmtId="0" fontId="33" fillId="28" borderId="3" xfId="0" applyFont="1" applyFill="1" applyBorder="1" applyAlignment="1">
      <alignment horizontal="left" vertical="center"/>
    </xf>
    <xf numFmtId="0" fontId="45" fillId="28" borderId="0" xfId="4" applyFill="1"/>
    <xf numFmtId="0" fontId="33" fillId="28" borderId="3" xfId="0" applyFont="1" applyFill="1" applyBorder="1" applyAlignment="1">
      <alignment horizontal="left" vertical="center" wrapText="1"/>
    </xf>
    <xf numFmtId="0" fontId="93" fillId="28" borderId="3" xfId="0" applyFont="1" applyFill="1" applyBorder="1"/>
    <xf numFmtId="14" fontId="33" fillId="28" borderId="3" xfId="0" applyNumberFormat="1" applyFont="1" applyFill="1" applyBorder="1" applyAlignment="1">
      <alignment horizontal="left" vertical="center"/>
    </xf>
    <xf numFmtId="14" fontId="34" fillId="28" borderId="3" xfId="0" applyNumberFormat="1" applyFont="1" applyFill="1" applyBorder="1" applyAlignment="1">
      <alignment horizontal="left" vertical="center"/>
    </xf>
    <xf numFmtId="0" fontId="34" fillId="28" borderId="3" xfId="0" applyFont="1" applyFill="1" applyBorder="1" applyAlignment="1">
      <alignment horizontal="left" vertical="center" wrapText="1"/>
    </xf>
    <xf numFmtId="0" fontId="34" fillId="28" borderId="3" xfId="0" applyFont="1" applyFill="1" applyBorder="1" applyAlignment="1">
      <alignment horizontal="right" vertical="center" wrapText="1"/>
    </xf>
    <xf numFmtId="0" fontId="28" fillId="28" borderId="3" xfId="0" applyFont="1" applyFill="1" applyBorder="1" applyAlignment="1">
      <alignment horizontal="left" vertical="center"/>
    </xf>
    <xf numFmtId="0" fontId="0" fillId="28" borderId="42" xfId="0" applyFill="1" applyBorder="1"/>
    <xf numFmtId="0" fontId="33" fillId="31" borderId="3" xfId="0" applyFont="1" applyFill="1" applyBorder="1" applyAlignment="1">
      <alignment horizontal="left" vertical="center" wrapText="1"/>
    </xf>
    <xf numFmtId="0" fontId="34" fillId="31" borderId="3" xfId="0" applyFont="1" applyFill="1" applyBorder="1" applyAlignment="1">
      <alignment horizontal="left" vertical="center"/>
    </xf>
    <xf numFmtId="0" fontId="45" fillId="28" borderId="3" xfId="4" applyFill="1" applyBorder="1" applyAlignment="1">
      <alignment horizontal="left" vertical="center"/>
    </xf>
    <xf numFmtId="14" fontId="35" fillId="28" borderId="3" xfId="0" applyNumberFormat="1" applyFont="1" applyFill="1" applyBorder="1" applyAlignment="1">
      <alignment horizontal="left" vertical="center" wrapText="1"/>
    </xf>
    <xf numFmtId="14" fontId="34" fillId="28" borderId="3" xfId="0" applyNumberFormat="1" applyFont="1" applyFill="1" applyBorder="1" applyAlignment="1">
      <alignment horizontal="right" vertical="center" wrapText="1"/>
    </xf>
    <xf numFmtId="0" fontId="35" fillId="31" borderId="3" xfId="0" applyFont="1" applyFill="1" applyBorder="1" applyAlignment="1">
      <alignment horizontal="left" vertical="center" wrapText="1"/>
    </xf>
    <xf numFmtId="0" fontId="45" fillId="31" borderId="3" xfId="4" applyFill="1" applyBorder="1" applyAlignment="1">
      <alignment horizontal="left" vertical="center" wrapText="1"/>
    </xf>
    <xf numFmtId="0" fontId="34" fillId="28" borderId="3" xfId="0" applyFont="1" applyFill="1" applyBorder="1" applyAlignment="1">
      <alignment horizontal="center" vertical="center" wrapText="1"/>
    </xf>
    <xf numFmtId="14" fontId="34" fillId="28" borderId="3" xfId="0" applyNumberFormat="1" applyFont="1" applyFill="1" applyBorder="1" applyAlignment="1">
      <alignment horizontal="left" vertical="center" wrapText="1"/>
    </xf>
    <xf numFmtId="0" fontId="45" fillId="28" borderId="3" xfId="4" applyFill="1" applyBorder="1" applyAlignment="1">
      <alignment horizontal="left" vertical="center" wrapText="1"/>
    </xf>
    <xf numFmtId="0" fontId="35" fillId="28" borderId="3" xfId="0" applyFont="1" applyFill="1" applyBorder="1" applyAlignment="1">
      <alignment horizontal="left" vertical="center"/>
    </xf>
    <xf numFmtId="0" fontId="28" fillId="28" borderId="42" xfId="0" applyFont="1" applyFill="1" applyBorder="1" applyAlignment="1">
      <alignment horizontal="left" vertical="center"/>
    </xf>
    <xf numFmtId="0" fontId="45" fillId="28" borderId="3" xfId="4" applyFill="1" applyBorder="1"/>
    <xf numFmtId="14" fontId="34" fillId="28" borderId="3" xfId="0" applyNumberFormat="1" applyFont="1" applyFill="1" applyBorder="1" applyAlignment="1">
      <alignment horizontal="center" vertical="center" wrapText="1"/>
    </xf>
    <xf numFmtId="0" fontId="35" fillId="31" borderId="3" xfId="0" applyFont="1" applyFill="1" applyBorder="1" applyAlignment="1">
      <alignment horizontal="left" vertical="center"/>
    </xf>
    <xf numFmtId="0" fontId="47" fillId="29" borderId="3" xfId="0" applyFont="1" applyFill="1" applyBorder="1"/>
    <xf numFmtId="0" fontId="45" fillId="29" borderId="3" xfId="4" applyFill="1" applyBorder="1" applyAlignment="1"/>
    <xf numFmtId="14" fontId="34" fillId="31" borderId="3" xfId="0" applyNumberFormat="1" applyFont="1" applyFill="1" applyBorder="1" applyAlignment="1">
      <alignment horizontal="center" vertical="center"/>
    </xf>
    <xf numFmtId="0" fontId="45" fillId="31" borderId="0" xfId="4" applyFill="1"/>
    <xf numFmtId="0" fontId="66" fillId="28" borderId="3" xfId="0" applyFont="1" applyFill="1" applyBorder="1" applyAlignment="1">
      <alignment horizontal="left" vertical="center"/>
    </xf>
    <xf numFmtId="0" fontId="47" fillId="31" borderId="3" xfId="0" applyFont="1" applyFill="1" applyBorder="1"/>
    <xf numFmtId="0" fontId="55" fillId="31" borderId="3" xfId="0" applyFont="1" applyFill="1" applyBorder="1"/>
    <xf numFmtId="0" fontId="45" fillId="31" borderId="3" xfId="4" applyFill="1" applyBorder="1" applyAlignment="1"/>
    <xf numFmtId="0" fontId="55" fillId="29" borderId="3" xfId="0" applyFont="1" applyFill="1" applyBorder="1"/>
    <xf numFmtId="14" fontId="35" fillId="28" borderId="3" xfId="0" applyNumberFormat="1" applyFont="1" applyFill="1" applyBorder="1" applyAlignment="1">
      <alignment horizontal="left" vertical="center"/>
    </xf>
    <xf numFmtId="0" fontId="99" fillId="28" borderId="3" xfId="0" applyFont="1" applyFill="1" applyBorder="1" applyAlignment="1">
      <alignment horizontal="left"/>
    </xf>
    <xf numFmtId="0" fontId="99" fillId="29" borderId="3" xfId="0" applyFont="1" applyFill="1" applyBorder="1" applyAlignment="1">
      <alignment horizontal="left"/>
    </xf>
    <xf numFmtId="0" fontId="99" fillId="29" borderId="3" xfId="0" applyFont="1" applyFill="1" applyBorder="1" applyAlignment="1">
      <alignment horizontal="left" wrapText="1"/>
    </xf>
    <xf numFmtId="0" fontId="107" fillId="28" borderId="3" xfId="0" applyFont="1" applyFill="1" applyBorder="1" applyAlignment="1" applyProtection="1">
      <alignment horizontal="left"/>
      <protection locked="0"/>
    </xf>
    <xf numFmtId="0" fontId="106" fillId="28" borderId="3" xfId="0" applyFont="1" applyFill="1" applyBorder="1" applyAlignment="1">
      <alignment horizontal="left"/>
    </xf>
    <xf numFmtId="0" fontId="59" fillId="28" borderId="6" xfId="0" applyFont="1" applyFill="1" applyBorder="1" applyAlignment="1">
      <alignment horizontal="left"/>
    </xf>
    <xf numFmtId="0" fontId="37" fillId="28" borderId="45" xfId="0" applyFont="1" applyFill="1" applyBorder="1" applyAlignment="1">
      <alignment horizontal="left"/>
    </xf>
    <xf numFmtId="0" fontId="59" fillId="28" borderId="42" xfId="0" applyFont="1" applyFill="1" applyBorder="1" applyAlignment="1">
      <alignment horizontal="left"/>
    </xf>
    <xf numFmtId="0" fontId="37" fillId="28" borderId="41" xfId="0" applyFont="1" applyFill="1" applyBorder="1" applyAlignment="1">
      <alignment horizontal="left"/>
    </xf>
    <xf numFmtId="0" fontId="37" fillId="28" borderId="6" xfId="0" applyFont="1" applyFill="1" applyBorder="1" applyAlignment="1">
      <alignment horizontal="left"/>
    </xf>
    <xf numFmtId="0" fontId="37" fillId="28" borderId="3" xfId="0" applyFont="1" applyFill="1" applyBorder="1" applyAlignment="1">
      <alignment horizontal="left"/>
    </xf>
    <xf numFmtId="0" fontId="99" fillId="29" borderId="3" xfId="0" quotePrefix="1" applyFont="1" applyFill="1" applyBorder="1" applyAlignment="1">
      <alignment horizontal="left"/>
    </xf>
    <xf numFmtId="0" fontId="136" fillId="29" borderId="3" xfId="0" applyFont="1" applyFill="1" applyBorder="1" applyAlignment="1">
      <alignment horizontal="left"/>
    </xf>
    <xf numFmtId="0" fontId="99" fillId="28" borderId="3" xfId="0" quotePrefix="1" applyFont="1" applyFill="1" applyBorder="1" applyAlignment="1">
      <alignment horizontal="left"/>
    </xf>
    <xf numFmtId="0" fontId="45" fillId="28" borderId="3" xfId="4" applyFill="1" applyBorder="1" applyAlignment="1">
      <alignment horizontal="left"/>
    </xf>
    <xf numFmtId="0" fontId="99" fillId="28" borderId="40" xfId="0" applyFont="1" applyFill="1" applyBorder="1" applyAlignment="1">
      <alignment horizontal="left"/>
    </xf>
    <xf numFmtId="14" fontId="99" fillId="28" borderId="40" xfId="0" applyNumberFormat="1" applyFont="1" applyFill="1" applyBorder="1" applyAlignment="1">
      <alignment horizontal="left"/>
    </xf>
    <xf numFmtId="0" fontId="99" fillId="29" borderId="40" xfId="0" applyFont="1" applyFill="1" applyBorder="1" applyAlignment="1">
      <alignment wrapText="1"/>
    </xf>
    <xf numFmtId="14" fontId="99" fillId="28" borderId="40" xfId="0" applyNumberFormat="1" applyFont="1" applyFill="1" applyBorder="1"/>
    <xf numFmtId="0" fontId="99" fillId="28" borderId="40" xfId="0" applyFont="1" applyFill="1" applyBorder="1"/>
    <xf numFmtId="9" fontId="99" fillId="28" borderId="40" xfId="0" applyNumberFormat="1" applyFont="1" applyFill="1" applyBorder="1"/>
    <xf numFmtId="0" fontId="106" fillId="28" borderId="40" xfId="0" applyFont="1" applyFill="1" applyBorder="1" applyAlignment="1">
      <alignment horizontal="left"/>
    </xf>
    <xf numFmtId="0" fontId="50" fillId="28" borderId="40" xfId="0" applyFont="1" applyFill="1" applyBorder="1"/>
    <xf numFmtId="0" fontId="106" fillId="28" borderId="40" xfId="0" applyFont="1" applyFill="1" applyBorder="1" applyAlignment="1">
      <alignment horizontal="left" wrapText="1"/>
    </xf>
    <xf numFmtId="14" fontId="106" fillId="28" borderId="40" xfId="0" applyNumberFormat="1" applyFont="1" applyFill="1" applyBorder="1" applyAlignment="1">
      <alignment horizontal="left" wrapText="1"/>
    </xf>
    <xf numFmtId="0" fontId="99" fillId="28" borderId="40" xfId="0" applyFont="1" applyFill="1" applyBorder="1" applyAlignment="1">
      <alignment wrapText="1"/>
    </xf>
    <xf numFmtId="3" fontId="106" fillId="28" borderId="40" xfId="0" applyNumberFormat="1" applyFont="1" applyFill="1" applyBorder="1" applyAlignment="1">
      <alignment horizontal="left"/>
    </xf>
    <xf numFmtId="0" fontId="99" fillId="28" borderId="40" xfId="0" applyFont="1" applyFill="1" applyBorder="1" applyAlignment="1">
      <alignment horizontal="center"/>
    </xf>
    <xf numFmtId="0" fontId="106" fillId="28" borderId="40" xfId="0" applyFont="1" applyFill="1" applyBorder="1" applyAlignment="1">
      <alignment horizontal="center" vertical="center"/>
    </xf>
    <xf numFmtId="14" fontId="106" fillId="28" borderId="40" xfId="0" applyNumberFormat="1" applyFont="1" applyFill="1" applyBorder="1" applyAlignment="1">
      <alignment horizontal="center" vertical="center" wrapText="1"/>
    </xf>
    <xf numFmtId="0" fontId="99" fillId="29" borderId="40" xfId="0" applyFont="1" applyFill="1" applyBorder="1"/>
    <xf numFmtId="0" fontId="99" fillId="29" borderId="42" xfId="0" applyFont="1" applyFill="1" applyBorder="1" applyAlignment="1">
      <alignment wrapText="1"/>
    </xf>
    <xf numFmtId="14" fontId="99" fillId="29" borderId="40" xfId="0" applyNumberFormat="1" applyFont="1" applyFill="1" applyBorder="1"/>
    <xf numFmtId="9" fontId="99" fillId="29" borderId="40" xfId="0" applyNumberFormat="1" applyFont="1" applyFill="1" applyBorder="1"/>
    <xf numFmtId="3" fontId="50" fillId="29" borderId="40" xfId="0" applyNumberFormat="1" applyFont="1" applyFill="1" applyBorder="1"/>
    <xf numFmtId="0" fontId="106" fillId="28" borderId="40" xfId="0" applyFont="1" applyFill="1" applyBorder="1" applyAlignment="1">
      <alignment horizontal="center" vertical="center" wrapText="1"/>
    </xf>
    <xf numFmtId="0" fontId="99" fillId="28" borderId="42" xfId="0" applyFont="1" applyFill="1" applyBorder="1" applyAlignment="1">
      <alignment wrapText="1"/>
    </xf>
    <xf numFmtId="0" fontId="106" fillId="28" borderId="40" xfId="0" applyFont="1" applyFill="1" applyBorder="1" applyAlignment="1">
      <alignment horizontal="center"/>
    </xf>
    <xf numFmtId="14" fontId="106" fillId="28" borderId="40" xfId="0" applyNumberFormat="1" applyFont="1" applyFill="1" applyBorder="1"/>
    <xf numFmtId="0" fontId="47" fillId="28" borderId="40" xfId="0" applyFont="1" applyFill="1" applyBorder="1" applyAlignment="1">
      <alignment wrapText="1"/>
    </xf>
    <xf numFmtId="0" fontId="55" fillId="28" borderId="40" xfId="0" applyFont="1" applyFill="1" applyBorder="1"/>
    <xf numFmtId="0" fontId="49" fillId="28" borderId="40" xfId="0" applyFont="1" applyFill="1" applyBorder="1"/>
    <xf numFmtId="0" fontId="55" fillId="28" borderId="40" xfId="0" applyFont="1" applyFill="1" applyBorder="1" applyAlignment="1">
      <alignment wrapText="1"/>
    </xf>
    <xf numFmtId="0" fontId="115" fillId="28" borderId="40" xfId="0" applyFont="1" applyFill="1" applyBorder="1"/>
    <xf numFmtId="14" fontId="55" fillId="28" borderId="40" xfId="0" applyNumberFormat="1" applyFont="1" applyFill="1" applyBorder="1"/>
    <xf numFmtId="9" fontId="50" fillId="28" borderId="40" xfId="0" applyNumberFormat="1" applyFont="1" applyFill="1" applyBorder="1"/>
    <xf numFmtId="0" fontId="27" fillId="29" borderId="3" xfId="0" applyFont="1" applyFill="1" applyBorder="1"/>
    <xf numFmtId="0" fontId="50" fillId="29" borderId="42" xfId="0" applyFont="1" applyFill="1" applyBorder="1" applyAlignment="1">
      <alignment wrapText="1"/>
    </xf>
    <xf numFmtId="0" fontId="106" fillId="28" borderId="40" xfId="0" applyFont="1" applyFill="1" applyBorder="1"/>
    <xf numFmtId="0" fontId="47" fillId="29" borderId="40" xfId="0" applyFont="1" applyFill="1" applyBorder="1" applyAlignment="1">
      <alignment wrapText="1"/>
    </xf>
    <xf numFmtId="0" fontId="55" fillId="29" borderId="40" xfId="0" applyFont="1" applyFill="1" applyBorder="1"/>
    <xf numFmtId="0" fontId="49" fillId="29" borderId="40" xfId="0" applyFont="1" applyFill="1" applyBorder="1"/>
    <xf numFmtId="0" fontId="55" fillId="29" borderId="40" xfId="0" applyFont="1" applyFill="1" applyBorder="1" applyAlignment="1">
      <alignment wrapText="1"/>
    </xf>
    <xf numFmtId="0" fontId="115" fillId="29" borderId="40" xfId="0" applyFont="1" applyFill="1" applyBorder="1"/>
    <xf numFmtId="14" fontId="55" fillId="29" borderId="40" xfId="0" applyNumberFormat="1" applyFont="1" applyFill="1" applyBorder="1"/>
    <xf numFmtId="9" fontId="50" fillId="29" borderId="40" xfId="0" applyNumberFormat="1" applyFont="1" applyFill="1" applyBorder="1"/>
    <xf numFmtId="0" fontId="50" fillId="29" borderId="40" xfId="0" applyFont="1" applyFill="1" applyBorder="1"/>
    <xf numFmtId="0" fontId="0" fillId="28" borderId="0" xfId="0" applyFill="1" applyAlignment="1">
      <alignment horizontal="center" vertical="center"/>
    </xf>
    <xf numFmtId="0" fontId="55" fillId="29" borderId="43" xfId="0" applyFont="1" applyFill="1" applyBorder="1"/>
    <xf numFmtId="0" fontId="47" fillId="29" borderId="43" xfId="0" applyFont="1" applyFill="1" applyBorder="1" applyAlignment="1">
      <alignment wrapText="1"/>
    </xf>
    <xf numFmtId="0" fontId="49" fillId="29" borderId="43" xfId="0" applyFont="1" applyFill="1" applyBorder="1"/>
    <xf numFmtId="0" fontId="47" fillId="29" borderId="40" xfId="0" applyFont="1" applyFill="1" applyBorder="1"/>
    <xf numFmtId="0" fontId="142" fillId="29" borderId="40" xfId="0" applyFont="1" applyFill="1" applyBorder="1"/>
    <xf numFmtId="0" fontId="47" fillId="30" borderId="40" xfId="0" applyFont="1" applyFill="1" applyBorder="1"/>
    <xf numFmtId="0" fontId="47" fillId="30" borderId="40" xfId="0" applyFont="1" applyFill="1" applyBorder="1" applyAlignment="1">
      <alignment wrapText="1"/>
    </xf>
    <xf numFmtId="3" fontId="50" fillId="28" borderId="40" xfId="0" applyNumberFormat="1" applyFont="1" applyFill="1" applyBorder="1"/>
    <xf numFmtId="0" fontId="50" fillId="30" borderId="40" xfId="0" applyFont="1" applyFill="1" applyBorder="1"/>
    <xf numFmtId="9" fontId="50" fillId="30" borderId="40" xfId="0" applyNumberFormat="1" applyFont="1" applyFill="1" applyBorder="1"/>
    <xf numFmtId="0" fontId="70" fillId="29" borderId="40" xfId="0" applyFont="1" applyFill="1" applyBorder="1"/>
    <xf numFmtId="14" fontId="50" fillId="29" borderId="40" xfId="0" applyNumberFormat="1" applyFont="1" applyFill="1" applyBorder="1" applyAlignment="1">
      <alignment wrapText="1"/>
    </xf>
    <xf numFmtId="0" fontId="55" fillId="30" borderId="40" xfId="0" applyFont="1" applyFill="1" applyBorder="1"/>
    <xf numFmtId="0" fontId="115" fillId="30" borderId="40" xfId="0" applyFont="1" applyFill="1" applyBorder="1"/>
    <xf numFmtId="14" fontId="47" fillId="29" borderId="40" xfId="0" applyNumberFormat="1" applyFont="1" applyFill="1" applyBorder="1" applyAlignment="1">
      <alignment wrapText="1"/>
    </xf>
    <xf numFmtId="14" fontId="50" fillId="29" borderId="42" xfId="0" applyNumberFormat="1" applyFont="1" applyFill="1" applyBorder="1" applyAlignment="1">
      <alignment wrapText="1"/>
    </xf>
    <xf numFmtId="0" fontId="71" fillId="30" borderId="40" xfId="0" applyFont="1" applyFill="1" applyBorder="1" applyAlignment="1">
      <alignment wrapText="1"/>
    </xf>
    <xf numFmtId="14" fontId="47" fillId="28" borderId="40" xfId="0" applyNumberFormat="1" applyFont="1" applyFill="1" applyBorder="1" applyAlignment="1">
      <alignment wrapText="1"/>
    </xf>
    <xf numFmtId="14" fontId="106" fillId="28" borderId="40" xfId="0" applyNumberFormat="1" applyFont="1" applyFill="1" applyBorder="1" applyAlignment="1">
      <alignment horizontal="center" vertical="center"/>
    </xf>
    <xf numFmtId="0" fontId="106" fillId="28" borderId="40" xfId="0" applyFont="1" applyFill="1" applyBorder="1" applyAlignment="1">
      <alignment wrapText="1"/>
    </xf>
    <xf numFmtId="170" fontId="106" fillId="28" borderId="40" xfId="0" applyNumberFormat="1" applyFont="1" applyFill="1" applyBorder="1" applyAlignment="1">
      <alignment horizontal="left" wrapText="1"/>
    </xf>
    <xf numFmtId="9" fontId="106" fillId="28" borderId="40" xfId="0" applyNumberFormat="1" applyFont="1" applyFill="1" applyBorder="1" applyAlignment="1">
      <alignment horizontal="center"/>
    </xf>
    <xf numFmtId="170" fontId="106" fillId="28" borderId="42" xfId="0" applyNumberFormat="1" applyFont="1" applyFill="1" applyBorder="1" applyAlignment="1">
      <alignment horizontal="left" wrapText="1"/>
    </xf>
    <xf numFmtId="0" fontId="55" fillId="28" borderId="41" xfId="0" applyFont="1" applyFill="1" applyBorder="1"/>
    <xf numFmtId="0" fontId="118" fillId="28" borderId="40" xfId="0" applyFont="1" applyFill="1" applyBorder="1"/>
    <xf numFmtId="14" fontId="47" fillId="28" borderId="42" xfId="0" applyNumberFormat="1" applyFont="1" applyFill="1" applyBorder="1" applyAlignment="1">
      <alignment wrapText="1"/>
    </xf>
    <xf numFmtId="0" fontId="55" fillId="29" borderId="41" xfId="0" applyFont="1" applyFill="1" applyBorder="1"/>
    <xf numFmtId="0" fontId="118" fillId="29" borderId="40" xfId="0" applyFont="1" applyFill="1" applyBorder="1"/>
    <xf numFmtId="0" fontId="71" fillId="29" borderId="40" xfId="0" applyFont="1" applyFill="1" applyBorder="1"/>
    <xf numFmtId="0" fontId="34" fillId="28" borderId="40" xfId="0" applyFont="1" applyFill="1" applyBorder="1" applyAlignment="1">
      <alignment horizontal="left" vertical="center"/>
    </xf>
    <xf numFmtId="0" fontId="34" fillId="28" borderId="3" xfId="0" applyFont="1" applyFill="1" applyBorder="1" applyAlignment="1">
      <alignment horizontal="right" vertical="center"/>
    </xf>
    <xf numFmtId="0" fontId="35" fillId="28" borderId="3" xfId="0" applyFont="1" applyFill="1" applyBorder="1" applyAlignment="1">
      <alignment horizontal="right" vertical="center"/>
    </xf>
    <xf numFmtId="0" fontId="33" fillId="28" borderId="3" xfId="0" applyFont="1" applyFill="1" applyBorder="1" applyAlignment="1">
      <alignment horizontal="right" vertical="center"/>
    </xf>
    <xf numFmtId="0" fontId="47" fillId="28" borderId="3" xfId="0" applyFont="1" applyFill="1" applyBorder="1"/>
    <xf numFmtId="0" fontId="47" fillId="28" borderId="3" xfId="0" applyFont="1" applyFill="1" applyBorder="1" applyAlignment="1">
      <alignment wrapText="1"/>
    </xf>
    <xf numFmtId="0" fontId="50" fillId="28" borderId="3" xfId="0" applyFont="1" applyFill="1" applyBorder="1"/>
    <xf numFmtId="0" fontId="50" fillId="28" borderId="3" xfId="0" applyFont="1" applyFill="1" applyBorder="1" applyAlignment="1">
      <alignment wrapText="1"/>
    </xf>
    <xf numFmtId="0" fontId="28" fillId="28" borderId="3" xfId="0" applyFont="1" applyFill="1" applyBorder="1"/>
    <xf numFmtId="14" fontId="50" fillId="28" borderId="3" xfId="0" applyNumberFormat="1" applyFont="1" applyFill="1" applyBorder="1"/>
    <xf numFmtId="0" fontId="55" fillId="28" borderId="3" xfId="0" applyFont="1" applyFill="1" applyBorder="1"/>
    <xf numFmtId="0" fontId="47" fillId="29" borderId="3" xfId="0" applyFont="1" applyFill="1" applyBorder="1" applyAlignment="1">
      <alignment wrapText="1"/>
    </xf>
    <xf numFmtId="0" fontId="55" fillId="29" borderId="3" xfId="0" applyFont="1" applyFill="1" applyBorder="1" applyAlignment="1">
      <alignment horizontal="right"/>
    </xf>
    <xf numFmtId="0" fontId="118" fillId="29" borderId="3" xfId="0" applyFont="1" applyFill="1" applyBorder="1"/>
    <xf numFmtId="4" fontId="50" fillId="29" borderId="3" xfId="0" applyNumberFormat="1" applyFont="1" applyFill="1" applyBorder="1" applyAlignment="1">
      <alignment horizontal="right"/>
    </xf>
    <xf numFmtId="0" fontId="50" fillId="29" borderId="3" xfId="0" applyFont="1" applyFill="1" applyBorder="1"/>
    <xf numFmtId="9" fontId="50" fillId="29" borderId="3" xfId="0" applyNumberFormat="1" applyFont="1" applyFill="1" applyBorder="1" applyAlignment="1">
      <alignment horizontal="right"/>
    </xf>
    <xf numFmtId="4" fontId="0" fillId="28" borderId="3" xfId="0" applyNumberFormat="1" applyFill="1" applyBorder="1"/>
    <xf numFmtId="4" fontId="23" fillId="28" borderId="3" xfId="0" applyNumberFormat="1" applyFont="1" applyFill="1" applyBorder="1" applyAlignment="1" applyProtection="1">
      <alignment horizontal="center" vertical="center"/>
      <protection locked="0"/>
    </xf>
    <xf numFmtId="14" fontId="50" fillId="29" borderId="3" xfId="0" applyNumberFormat="1" applyFont="1" applyFill="1" applyBorder="1"/>
    <xf numFmtId="1" fontId="37" fillId="28" borderId="3" xfId="0" applyNumberFormat="1" applyFont="1" applyFill="1" applyBorder="1" applyAlignment="1">
      <alignment horizontal="center" vertical="center"/>
    </xf>
    <xf numFmtId="14" fontId="37" fillId="28" borderId="3" xfId="0" applyNumberFormat="1" applyFont="1" applyFill="1" applyBorder="1" applyAlignment="1" applyProtection="1">
      <alignment horizontal="left" vertical="center"/>
      <protection locked="0"/>
    </xf>
    <xf numFmtId="0" fontId="37" fillId="28" borderId="3" xfId="0" applyFont="1" applyFill="1" applyBorder="1" applyAlignment="1" applyProtection="1">
      <alignment horizontal="left"/>
      <protection locked="0"/>
    </xf>
    <xf numFmtId="0" fontId="37" fillId="28" borderId="3" xfId="0" applyFont="1" applyFill="1" applyBorder="1" applyAlignment="1" applyProtection="1">
      <alignment horizontal="right"/>
      <protection locked="0"/>
    </xf>
    <xf numFmtId="0" fontId="45" fillId="28" borderId="3" xfId="4" applyFill="1" applyBorder="1" applyAlignment="1" applyProtection="1">
      <alignment horizontal="left"/>
      <protection locked="0"/>
    </xf>
    <xf numFmtId="0" fontId="0" fillId="28" borderId="0" xfId="0" applyFill="1"/>
    <xf numFmtId="0" fontId="35" fillId="28" borderId="3" xfId="0" applyFont="1" applyFill="1" applyBorder="1" applyAlignment="1" applyProtection="1">
      <alignment horizontal="left" wrapText="1"/>
      <protection locked="0"/>
    </xf>
    <xf numFmtId="14" fontId="37" fillId="28" borderId="3" xfId="0" applyNumberFormat="1" applyFont="1" applyFill="1" applyBorder="1" applyProtection="1">
      <protection locked="0"/>
    </xf>
    <xf numFmtId="0" fontId="0" fillId="28" borderId="0" xfId="0" applyFill="1" applyAlignment="1">
      <alignment horizontal="left"/>
    </xf>
    <xf numFmtId="14" fontId="37" fillId="28" borderId="3" xfId="0" applyNumberFormat="1" applyFont="1" applyFill="1" applyBorder="1" applyAlignment="1" applyProtection="1">
      <alignment wrapText="1"/>
      <protection locked="0"/>
    </xf>
    <xf numFmtId="165" fontId="37" fillId="28" borderId="3" xfId="0" applyNumberFormat="1" applyFont="1" applyFill="1" applyBorder="1" applyAlignment="1" applyProtection="1">
      <alignment horizontal="left"/>
      <protection locked="0"/>
    </xf>
    <xf numFmtId="14" fontId="37" fillId="28" borderId="3" xfId="0" applyNumberFormat="1" applyFont="1" applyFill="1" applyBorder="1" applyAlignment="1" applyProtection="1">
      <alignment horizontal="left"/>
      <protection locked="0"/>
    </xf>
    <xf numFmtId="0" fontId="37" fillId="28" borderId="3" xfId="0" applyFont="1" applyFill="1" applyBorder="1" applyAlignment="1" applyProtection="1">
      <alignment horizontal="left" vertical="top"/>
      <protection locked="0"/>
    </xf>
    <xf numFmtId="14" fontId="37" fillId="28" borderId="3" xfId="0" applyNumberFormat="1" applyFont="1" applyFill="1" applyBorder="1" applyAlignment="1" applyProtection="1">
      <alignment horizontal="left" vertical="center" wrapText="1"/>
      <protection locked="0"/>
    </xf>
    <xf numFmtId="0" fontId="0" fillId="28" borderId="40" xfId="0" applyFill="1" applyBorder="1" applyAlignment="1">
      <alignment horizontal="left"/>
    </xf>
    <xf numFmtId="0" fontId="35" fillId="28" borderId="3" xfId="0" applyFont="1" applyFill="1" applyBorder="1" applyAlignment="1">
      <alignment horizontal="right" vertical="center" wrapText="1"/>
    </xf>
    <xf numFmtId="0" fontId="0" fillId="28" borderId="3" xfId="0" applyFill="1" applyBorder="1"/>
    <xf numFmtId="14" fontId="35" fillId="28" borderId="3" xfId="0" applyNumberFormat="1" applyFont="1" applyFill="1" applyBorder="1" applyAlignment="1">
      <alignment vertical="center" wrapText="1"/>
    </xf>
    <xf numFmtId="2" fontId="34" fillId="28" borderId="3" xfId="0" applyNumberFormat="1" applyFont="1" applyFill="1" applyBorder="1" applyAlignment="1">
      <alignment horizontal="right" vertical="center"/>
    </xf>
    <xf numFmtId="9" fontId="34" fillId="28" borderId="40" xfId="2" applyFont="1" applyFill="1" applyBorder="1" applyAlignment="1">
      <alignment horizontal="right" vertical="center"/>
    </xf>
    <xf numFmtId="14" fontId="34" fillId="28" borderId="3" xfId="0" applyNumberFormat="1" applyFont="1" applyFill="1" applyBorder="1" applyAlignment="1">
      <alignment vertical="center" wrapText="1"/>
    </xf>
    <xf numFmtId="14" fontId="35" fillId="28" borderId="6" xfId="0" applyNumberFormat="1" applyFont="1" applyFill="1" applyBorder="1" applyAlignment="1">
      <alignment vertical="center" wrapText="1"/>
    </xf>
    <xf numFmtId="0" fontId="28" fillId="29" borderId="3" xfId="0" applyFont="1" applyFill="1" applyBorder="1"/>
    <xf numFmtId="0" fontId="11" fillId="29" borderId="3" xfId="0" applyFont="1" applyFill="1" applyBorder="1" applyAlignment="1">
      <alignment wrapText="1"/>
    </xf>
    <xf numFmtId="14" fontId="113" fillId="28" borderId="3" xfId="0" applyNumberFormat="1" applyFont="1" applyFill="1" applyBorder="1"/>
    <xf numFmtId="4" fontId="27" fillId="29" borderId="3" xfId="0" applyNumberFormat="1" applyFont="1" applyFill="1" applyBorder="1" applyAlignment="1">
      <alignment horizontal="right"/>
    </xf>
    <xf numFmtId="0" fontId="91" fillId="29" borderId="3" xfId="0" applyFont="1" applyFill="1" applyBorder="1"/>
    <xf numFmtId="0" fontId="27" fillId="28" borderId="3" xfId="0" applyFont="1" applyFill="1" applyBorder="1"/>
    <xf numFmtId="0" fontId="27" fillId="28" borderId="3" xfId="0" applyFont="1" applyFill="1" applyBorder="1" applyAlignment="1">
      <alignment horizontal="right"/>
    </xf>
    <xf numFmtId="0" fontId="27" fillId="28" borderId="3" xfId="0" applyFont="1" applyFill="1" applyBorder="1" applyAlignment="1">
      <alignment wrapText="1"/>
    </xf>
    <xf numFmtId="4" fontId="50" fillId="28" borderId="3" xfId="0" applyNumberFormat="1" applyFont="1" applyFill="1" applyBorder="1" applyAlignment="1">
      <alignment horizontal="right"/>
    </xf>
    <xf numFmtId="0" fontId="91" fillId="28" borderId="3" xfId="0" applyFont="1" applyFill="1" applyBorder="1"/>
    <xf numFmtId="9" fontId="50" fillId="28" borderId="3" xfId="0" applyNumberFormat="1" applyFont="1" applyFill="1" applyBorder="1" applyAlignment="1">
      <alignment horizontal="right"/>
    </xf>
    <xf numFmtId="14" fontId="50" fillId="28" borderId="3" xfId="0" applyNumberFormat="1" applyFont="1" applyFill="1" applyBorder="1" applyAlignment="1">
      <alignment wrapText="1"/>
    </xf>
    <xf numFmtId="0" fontId="45" fillId="29" borderId="3" xfId="4" applyFill="1" applyBorder="1"/>
    <xf numFmtId="0" fontId="55" fillId="28" borderId="3" xfId="0" applyFont="1" applyFill="1" applyBorder="1" applyAlignment="1">
      <alignment horizontal="right"/>
    </xf>
    <xf numFmtId="0" fontId="0" fillId="28" borderId="53" xfId="0" applyFill="1" applyBorder="1"/>
    <xf numFmtId="0" fontId="120" fillId="28" borderId="3" xfId="0" applyFont="1" applyFill="1" applyBorder="1"/>
    <xf numFmtId="0" fontId="118" fillId="28" borderId="3" xfId="0" applyFont="1" applyFill="1" applyBorder="1"/>
    <xf numFmtId="4" fontId="27" fillId="28" borderId="3" xfId="0" applyNumberFormat="1" applyFont="1" applyFill="1" applyBorder="1" applyAlignment="1">
      <alignment horizontal="right"/>
    </xf>
    <xf numFmtId="14" fontId="0" fillId="28" borderId="3" xfId="0" applyNumberFormat="1" applyFill="1" applyBorder="1"/>
    <xf numFmtId="0" fontId="0" fillId="28" borderId="3" xfId="0" applyFill="1" applyBorder="1" applyAlignment="1">
      <alignment wrapText="1"/>
    </xf>
    <xf numFmtId="0" fontId="122" fillId="28" borderId="3" xfId="0" applyFont="1" applyFill="1" applyBorder="1" applyAlignment="1">
      <alignment wrapText="1"/>
    </xf>
    <xf numFmtId="3" fontId="27" fillId="28" borderId="3" xfId="0" applyNumberFormat="1" applyFont="1" applyFill="1" applyBorder="1"/>
    <xf numFmtId="9" fontId="34" fillId="28" borderId="3" xfId="2" applyFont="1" applyFill="1" applyBorder="1" applyAlignment="1">
      <alignment horizontal="right" vertical="center"/>
    </xf>
    <xf numFmtId="0" fontId="130" fillId="28" borderId="3" xfId="0" applyFont="1" applyFill="1" applyBorder="1"/>
    <xf numFmtId="0" fontId="129" fillId="28" borderId="3" xfId="0" applyFont="1" applyFill="1" applyBorder="1"/>
    <xf numFmtId="0" fontId="0" fillId="28" borderId="3" xfId="0" applyFill="1" applyBorder="1" applyAlignment="1">
      <alignment horizontal="left"/>
    </xf>
    <xf numFmtId="0" fontId="70" fillId="28" borderId="3" xfId="0" applyFont="1" applyFill="1" applyBorder="1" applyAlignment="1">
      <alignment horizontal="left"/>
    </xf>
    <xf numFmtId="0" fontId="143" fillId="28" borderId="0" xfId="0" applyFont="1" applyFill="1"/>
    <xf numFmtId="14" fontId="33" fillId="28" borderId="3" xfId="0" applyNumberFormat="1" applyFont="1" applyFill="1" applyBorder="1" applyAlignment="1">
      <alignment vertical="center"/>
    </xf>
    <xf numFmtId="14" fontId="4" fillId="2" borderId="29" xfId="0" applyNumberFormat="1" applyFont="1" applyFill="1" applyBorder="1" applyAlignment="1">
      <alignment vertical="center"/>
    </xf>
    <xf numFmtId="3" fontId="106" fillId="9" borderId="40" xfId="0" applyNumberFormat="1" applyFont="1" applyFill="1" applyBorder="1" applyAlignment="1">
      <alignment horizontal="left"/>
    </xf>
    <xf numFmtId="0" fontId="106" fillId="9" borderId="40" xfId="0" applyFont="1" applyFill="1" applyBorder="1" applyAlignment="1">
      <alignment horizontal="left"/>
    </xf>
    <xf numFmtId="0" fontId="107" fillId="9" borderId="3" xfId="0" applyFont="1" applyFill="1" applyBorder="1" applyAlignment="1" applyProtection="1">
      <alignment horizontal="left"/>
      <protection locked="0"/>
    </xf>
    <xf numFmtId="0" fontId="106" fillId="9" borderId="40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7" fillId="28" borderId="0" xfId="0" applyFont="1" applyFill="1"/>
    <xf numFmtId="0" fontId="45" fillId="9" borderId="3" xfId="4" applyFill="1" applyBorder="1"/>
    <xf numFmtId="9" fontId="34" fillId="9" borderId="3" xfId="2" applyFont="1" applyFill="1" applyBorder="1" applyAlignment="1">
      <alignment horizontal="left" vertical="center"/>
    </xf>
    <xf numFmtId="0" fontId="34" fillId="9" borderId="3" xfId="0" applyFont="1" applyFill="1" applyBorder="1" applyAlignment="1">
      <alignment horizontal="center" vertical="center" wrapText="1"/>
    </xf>
    <xf numFmtId="0" fontId="23" fillId="32" borderId="7" xfId="0" applyFont="1" applyFill="1" applyBorder="1" applyAlignment="1" applyProtection="1">
      <alignment horizontal="center" vertical="center"/>
      <protection locked="0"/>
    </xf>
    <xf numFmtId="0" fontId="27" fillId="28" borderId="45" xfId="0" applyFont="1" applyFill="1" applyBorder="1" applyAlignment="1">
      <alignment horizontal="center"/>
    </xf>
    <xf numFmtId="0" fontId="48" fillId="28" borderId="40" xfId="0" applyFont="1" applyFill="1" applyBorder="1" applyAlignment="1">
      <alignment horizontal="center" vertical="center" wrapText="1"/>
    </xf>
    <xf numFmtId="0" fontId="100" fillId="28" borderId="22" xfId="0" applyFont="1" applyFill="1" applyBorder="1" applyAlignment="1" applyProtection="1">
      <alignment horizontal="center"/>
      <protection locked="0"/>
    </xf>
    <xf numFmtId="0" fontId="104" fillId="28" borderId="22" xfId="0" applyFont="1" applyFill="1" applyBorder="1" applyAlignment="1" applyProtection="1">
      <alignment horizontal="center"/>
      <protection locked="0"/>
    </xf>
    <xf numFmtId="0" fontId="11" fillId="28" borderId="22" xfId="0" applyFont="1" applyFill="1" applyBorder="1" applyAlignment="1" applyProtection="1">
      <alignment horizontal="center" wrapText="1"/>
      <protection locked="0"/>
    </xf>
    <xf numFmtId="0" fontId="10" fillId="28" borderId="22" xfId="0" applyFont="1" applyFill="1" applyBorder="1" applyAlignment="1" applyProtection="1">
      <alignment horizontal="center"/>
      <protection locked="0"/>
    </xf>
    <xf numFmtId="0" fontId="146" fillId="28" borderId="3" xfId="0" applyFont="1" applyFill="1" applyBorder="1" applyAlignment="1" applyProtection="1">
      <alignment horizontal="center" vertical="center"/>
      <protection locked="0"/>
    </xf>
    <xf numFmtId="0" fontId="27" fillId="28" borderId="0" xfId="0" applyFont="1" applyFill="1" applyAlignment="1">
      <alignment horizontal="left"/>
    </xf>
    <xf numFmtId="14" fontId="0" fillId="28" borderId="3" xfId="0" applyNumberFormat="1" applyFill="1" applyBorder="1" applyAlignment="1" applyProtection="1">
      <alignment horizontal="center" wrapText="1"/>
      <protection locked="0"/>
    </xf>
    <xf numFmtId="14" fontId="27" fillId="28" borderId="0" xfId="0" applyNumberFormat="1" applyFont="1" applyFill="1" applyAlignment="1">
      <alignment horizontal="center"/>
    </xf>
    <xf numFmtId="172" fontId="25" fillId="0" borderId="0" xfId="0" applyNumberFormat="1" applyFont="1" applyAlignment="1">
      <alignment horizontal="left"/>
    </xf>
    <xf numFmtId="172" fontId="47" fillId="0" borderId="3" xfId="0" applyNumberFormat="1" applyFont="1" applyBorder="1" applyAlignment="1">
      <alignment wrapText="1"/>
    </xf>
    <xf numFmtId="172" fontId="50" fillId="0" borderId="3" xfId="0" applyNumberFormat="1" applyFont="1" applyBorder="1"/>
    <xf numFmtId="172" fontId="37" fillId="0" borderId="22" xfId="0" applyNumberFormat="1" applyFont="1" applyBorder="1" applyAlignment="1" applyProtection="1">
      <alignment horizontal="left"/>
      <protection locked="0"/>
    </xf>
    <xf numFmtId="0" fontId="45" fillId="0" borderId="0" xfId="4"/>
    <xf numFmtId="1" fontId="19" fillId="0" borderId="0" xfId="3" applyNumberFormat="1" applyFont="1">
      <alignment vertical="center"/>
    </xf>
    <xf numFmtId="0" fontId="97" fillId="26" borderId="3" xfId="0" applyFont="1" applyFill="1" applyBorder="1" applyAlignment="1">
      <alignment horizontal="center" vertical="center"/>
    </xf>
    <xf numFmtId="14" fontId="27" fillId="26" borderId="3" xfId="0" applyNumberFormat="1" applyFont="1" applyFill="1" applyBorder="1" applyAlignment="1">
      <alignment horizontal="center"/>
    </xf>
    <xf numFmtId="0" fontId="48" fillId="26" borderId="3" xfId="0" applyFont="1" applyFill="1" applyBorder="1" applyAlignment="1">
      <alignment horizontal="center" wrapText="1"/>
    </xf>
    <xf numFmtId="0" fontId="45" fillId="26" borderId="3" xfId="4" applyFill="1" applyBorder="1" applyAlignment="1">
      <alignment horizontal="center" wrapText="1"/>
    </xf>
    <xf numFmtId="14" fontId="48" fillId="26" borderId="3" xfId="0" applyNumberFormat="1" applyFont="1" applyFill="1" applyBorder="1" applyAlignment="1">
      <alignment horizontal="center" wrapText="1"/>
    </xf>
    <xf numFmtId="0" fontId="27" fillId="26" borderId="3" xfId="0" applyFont="1" applyFill="1" applyBorder="1" applyAlignment="1">
      <alignment horizontal="center"/>
    </xf>
    <xf numFmtId="9" fontId="27" fillId="26" borderId="3" xfId="0" applyNumberFormat="1" applyFont="1" applyFill="1" applyBorder="1" applyAlignment="1">
      <alignment horizontal="center"/>
    </xf>
    <xf numFmtId="0" fontId="27" fillId="26" borderId="3" xfId="0" applyFont="1" applyFill="1" applyBorder="1" applyAlignment="1">
      <alignment horizontal="center" wrapText="1"/>
    </xf>
    <xf numFmtId="14" fontId="27" fillId="26" borderId="3" xfId="0" applyNumberFormat="1" applyFont="1" applyFill="1" applyBorder="1" applyAlignment="1">
      <alignment horizontal="center" wrapText="1"/>
    </xf>
    <xf numFmtId="0" fontId="23" fillId="26" borderId="7" xfId="0" applyFont="1" applyFill="1" applyBorder="1" applyAlignment="1" applyProtection="1">
      <alignment horizontal="center" vertical="center"/>
      <protection locked="0"/>
    </xf>
    <xf numFmtId="0" fontId="27" fillId="26" borderId="45" xfId="0" applyFont="1" applyFill="1" applyBorder="1" applyAlignment="1">
      <alignment horizontal="left"/>
    </xf>
    <xf numFmtId="0" fontId="27" fillId="26" borderId="45" xfId="0" applyFont="1" applyFill="1" applyBorder="1" applyAlignment="1">
      <alignment wrapText="1"/>
    </xf>
    <xf numFmtId="0" fontId="21" fillId="26" borderId="3" xfId="0" applyFont="1" applyFill="1" applyBorder="1" applyAlignment="1">
      <alignment horizontal="center"/>
    </xf>
    <xf numFmtId="0" fontId="35" fillId="26" borderId="3" xfId="0" applyFont="1" applyFill="1" applyBorder="1" applyAlignment="1">
      <alignment horizontal="center" vertical="center" wrapText="1"/>
    </xf>
    <xf numFmtId="0" fontId="45" fillId="26" borderId="3" xfId="4" applyFill="1" applyBorder="1" applyAlignment="1">
      <alignment horizontal="center" vertical="center" wrapText="1"/>
    </xf>
    <xf numFmtId="0" fontId="28" fillId="26" borderId="3" xfId="0" applyFont="1" applyFill="1" applyBorder="1" applyAlignment="1">
      <alignment horizontal="center"/>
    </xf>
    <xf numFmtId="0" fontId="99" fillId="9" borderId="40" xfId="0" applyFont="1" applyFill="1" applyBorder="1" applyAlignment="1">
      <alignment horizontal="center"/>
    </xf>
    <xf numFmtId="0" fontId="99" fillId="9" borderId="40" xfId="0" applyFont="1" applyFill="1" applyBorder="1"/>
    <xf numFmtId="0" fontId="99" fillId="9" borderId="41" xfId="0" applyFont="1" applyFill="1" applyBorder="1"/>
    <xf numFmtId="0" fontId="99" fillId="9" borderId="3" xfId="0" applyFont="1" applyFill="1" applyBorder="1"/>
    <xf numFmtId="0" fontId="99" fillId="9" borderId="3" xfId="0" quotePrefix="1" applyFont="1" applyFill="1" applyBorder="1"/>
    <xf numFmtId="0" fontId="138" fillId="9" borderId="3" xfId="0" applyFont="1" applyFill="1" applyBorder="1"/>
    <xf numFmtId="0" fontId="99" fillId="9" borderId="42" xfId="0" applyFont="1" applyFill="1" applyBorder="1" applyAlignment="1">
      <alignment wrapText="1"/>
    </xf>
    <xf numFmtId="0" fontId="99" fillId="9" borderId="40" xfId="0" applyFont="1" applyFill="1" applyBorder="1" applyAlignment="1">
      <alignment wrapText="1"/>
    </xf>
    <xf numFmtId="9" fontId="99" fillId="9" borderId="40" xfId="0" applyNumberFormat="1" applyFont="1" applyFill="1" applyBorder="1"/>
    <xf numFmtId="14" fontId="106" fillId="9" borderId="40" xfId="0" applyNumberFormat="1" applyFont="1" applyFill="1" applyBorder="1" applyAlignment="1">
      <alignment horizontal="center" vertical="center" wrapText="1"/>
    </xf>
    <xf numFmtId="0" fontId="37" fillId="9" borderId="3" xfId="0" applyFont="1" applyFill="1" applyBorder="1" applyAlignment="1">
      <alignment horizontal="center" vertical="center"/>
    </xf>
    <xf numFmtId="0" fontId="106" fillId="9" borderId="44" xfId="0" applyFont="1" applyFill="1" applyBorder="1"/>
    <xf numFmtId="0" fontId="106" fillId="9" borderId="47" xfId="0" applyFont="1" applyFill="1" applyBorder="1" applyAlignment="1">
      <alignment wrapText="1"/>
    </xf>
    <xf numFmtId="170" fontId="106" fillId="9" borderId="44" xfId="0" applyNumberFormat="1" applyFont="1" applyFill="1" applyBorder="1" applyAlignment="1">
      <alignment horizontal="left" wrapText="1"/>
    </xf>
    <xf numFmtId="3" fontId="106" fillId="9" borderId="44" xfId="0" applyNumberFormat="1" applyFont="1" applyFill="1" applyBorder="1" applyAlignment="1">
      <alignment horizontal="left"/>
    </xf>
    <xf numFmtId="0" fontId="106" fillId="9" borderId="44" xfId="0" applyFont="1" applyFill="1" applyBorder="1" applyAlignment="1">
      <alignment horizontal="left"/>
    </xf>
    <xf numFmtId="0" fontId="106" fillId="9" borderId="44" xfId="0" applyFont="1" applyFill="1" applyBorder="1" applyAlignment="1">
      <alignment horizontal="center" vertical="center"/>
    </xf>
    <xf numFmtId="14" fontId="106" fillId="9" borderId="44" xfId="0" applyNumberFormat="1" applyFont="1" applyFill="1" applyBorder="1" applyAlignment="1">
      <alignment horizontal="center" vertical="center"/>
    </xf>
    <xf numFmtId="0" fontId="53" fillId="26" borderId="3" xfId="0" applyFont="1" applyFill="1" applyBorder="1" applyAlignment="1">
      <alignment horizontal="center" wrapText="1"/>
    </xf>
    <xf numFmtId="0" fontId="100" fillId="26" borderId="0" xfId="0" applyFont="1" applyFill="1" applyAlignment="1">
      <alignment horizontal="center"/>
    </xf>
    <xf numFmtId="0" fontId="52" fillId="26" borderId="3" xfId="0" applyFont="1" applyFill="1" applyBorder="1" applyAlignment="1">
      <alignment horizontal="center" wrapText="1"/>
    </xf>
    <xf numFmtId="9" fontId="34" fillId="26" borderId="3" xfId="2" applyFont="1" applyFill="1" applyBorder="1" applyAlignment="1">
      <alignment horizontal="left" vertical="center"/>
    </xf>
    <xf numFmtId="0" fontId="13" fillId="0" borderId="0" xfId="3" applyAlignment="1"/>
    <xf numFmtId="1" fontId="37" fillId="28" borderId="3" xfId="0" applyNumberFormat="1" applyFont="1" applyFill="1" applyBorder="1" applyAlignment="1" applyProtection="1">
      <alignment horizontal="center" vertical="top"/>
      <protection locked="0"/>
    </xf>
    <xf numFmtId="0" fontId="35" fillId="28" borderId="7" xfId="0" applyFont="1" applyFill="1" applyBorder="1" applyAlignment="1">
      <alignment horizontal="left" vertical="top" wrapText="1"/>
    </xf>
    <xf numFmtId="0" fontId="24" fillId="23" borderId="7" xfId="3" applyFont="1" applyFill="1" applyBorder="1" applyAlignment="1">
      <alignment horizontal="left" vertical="center"/>
    </xf>
    <xf numFmtId="0" fontId="20" fillId="3" borderId="17" xfId="3" applyFont="1" applyFill="1" applyBorder="1">
      <alignment vertical="center"/>
    </xf>
    <xf numFmtId="0" fontId="24" fillId="33" borderId="3" xfId="3" applyFont="1" applyFill="1" applyBorder="1">
      <alignment vertical="center"/>
    </xf>
    <xf numFmtId="14" fontId="28" fillId="28" borderId="3" xfId="0" applyNumberFormat="1" applyFont="1" applyFill="1" applyBorder="1" applyAlignment="1">
      <alignment horizontal="center"/>
    </xf>
    <xf numFmtId="0" fontId="91" fillId="28" borderId="3" xfId="0" applyFont="1" applyFill="1" applyBorder="1" applyAlignment="1">
      <alignment horizontal="center"/>
    </xf>
    <xf numFmtId="0" fontId="27" fillId="28" borderId="10" xfId="0" applyFont="1" applyFill="1" applyBorder="1" applyAlignment="1">
      <alignment wrapText="1"/>
    </xf>
    <xf numFmtId="0" fontId="6" fillId="0" borderId="0" xfId="3" applyFont="1" applyAlignment="1">
      <alignment horizontal="left" vertical="center"/>
    </xf>
    <xf numFmtId="0" fontId="13" fillId="25" borderId="3" xfId="3" applyFill="1" applyBorder="1">
      <alignment vertical="center"/>
    </xf>
    <xf numFmtId="0" fontId="24" fillId="34" borderId="3" xfId="3" applyFont="1" applyFill="1" applyBorder="1">
      <alignment vertical="center"/>
    </xf>
    <xf numFmtId="0" fontId="131" fillId="34" borderId="3" xfId="3" applyFont="1" applyFill="1" applyBorder="1">
      <alignment vertical="center"/>
    </xf>
    <xf numFmtId="0" fontId="106" fillId="9" borderId="40" xfId="0" applyFont="1" applyFill="1" applyBorder="1" applyAlignment="1">
      <alignment horizontal="center"/>
    </xf>
    <xf numFmtId="14" fontId="106" fillId="9" borderId="40" xfId="0" applyNumberFormat="1" applyFont="1" applyFill="1" applyBorder="1"/>
    <xf numFmtId="0" fontId="106" fillId="9" borderId="40" xfId="0" applyFont="1" applyFill="1" applyBorder="1"/>
    <xf numFmtId="170" fontId="106" fillId="9" borderId="40" xfId="0" applyNumberFormat="1" applyFont="1" applyFill="1" applyBorder="1" applyAlignment="1">
      <alignment horizontal="left" wrapText="1"/>
    </xf>
    <xf numFmtId="9" fontId="106" fillId="9" borderId="40" xfId="0" applyNumberFormat="1" applyFont="1" applyFill="1" applyBorder="1" applyAlignment="1">
      <alignment horizontal="center"/>
    </xf>
    <xf numFmtId="0" fontId="106" fillId="9" borderId="3" xfId="0" quotePrefix="1" applyFont="1" applyFill="1" applyBorder="1" applyAlignment="1">
      <alignment horizontal="left"/>
    </xf>
    <xf numFmtId="170" fontId="106" fillId="9" borderId="42" xfId="0" applyNumberFormat="1" applyFont="1" applyFill="1" applyBorder="1" applyAlignment="1">
      <alignment horizontal="left" wrapText="1"/>
    </xf>
    <xf numFmtId="0" fontId="35" fillId="28" borderId="3" xfId="0" applyFont="1" applyFill="1" applyBorder="1" applyAlignment="1">
      <alignment horizontal="center" vertical="top" wrapText="1"/>
    </xf>
    <xf numFmtId="0" fontId="50" fillId="9" borderId="40" xfId="0" applyFont="1" applyFill="1" applyBorder="1"/>
    <xf numFmtId="0" fontId="113" fillId="9" borderId="0" xfId="0" applyFont="1" applyFill="1"/>
    <xf numFmtId="14" fontId="40" fillId="0" borderId="8" xfId="0" applyNumberFormat="1" applyFont="1" applyBorder="1" applyAlignment="1" applyProtection="1">
      <alignment vertical="center" wrapText="1"/>
      <protection locked="0"/>
    </xf>
    <xf numFmtId="14" fontId="50" fillId="29" borderId="3" xfId="0" applyNumberFormat="1" applyFont="1" applyFill="1" applyBorder="1" applyAlignment="1">
      <alignment wrapText="1"/>
    </xf>
    <xf numFmtId="14" fontId="10" fillId="0" borderId="3" xfId="0" applyNumberFormat="1" applyFont="1" applyBorder="1" applyAlignment="1" applyProtection="1">
      <alignment vertical="center"/>
      <protection locked="0"/>
    </xf>
    <xf numFmtId="0" fontId="35" fillId="0" borderId="3" xfId="0" applyFont="1" applyBorder="1" applyAlignment="1" applyProtection="1">
      <alignment horizontal="left" wrapText="1"/>
      <protection locked="0"/>
    </xf>
    <xf numFmtId="165" fontId="25" fillId="0" borderId="3" xfId="0" applyNumberFormat="1" applyFont="1" applyBorder="1" applyAlignment="1" applyProtection="1">
      <alignment horizontal="right"/>
      <protection locked="0"/>
    </xf>
    <xf numFmtId="165" fontId="25" fillId="0" borderId="3" xfId="0" applyNumberFormat="1" applyFont="1" applyBorder="1" applyAlignment="1" applyProtection="1">
      <alignment horizontal="left"/>
      <protection locked="0"/>
    </xf>
    <xf numFmtId="0" fontId="37" fillId="0" borderId="3" xfId="0" applyFont="1" applyBorder="1" applyAlignment="1" applyProtection="1">
      <alignment horizontal="center"/>
      <protection locked="0"/>
    </xf>
    <xf numFmtId="0" fontId="45" fillId="28" borderId="3" xfId="4" applyFill="1" applyBorder="1" applyAlignment="1">
      <alignment horizontal="center"/>
    </xf>
    <xf numFmtId="0" fontId="48" fillId="28" borderId="0" xfId="0" applyFont="1" applyFill="1" applyAlignment="1">
      <alignment horizontal="center"/>
    </xf>
    <xf numFmtId="14" fontId="48" fillId="28" borderId="3" xfId="0" applyNumberFormat="1" applyFont="1" applyFill="1" applyBorder="1" applyAlignment="1">
      <alignment horizontal="center"/>
    </xf>
    <xf numFmtId="9" fontId="48" fillId="28" borderId="3" xfId="0" applyNumberFormat="1" applyFont="1" applyFill="1" applyBorder="1" applyAlignment="1">
      <alignment horizontal="center"/>
    </xf>
    <xf numFmtId="0" fontId="48" fillId="28" borderId="45" xfId="0" applyFont="1" applyFill="1" applyBorder="1" applyAlignment="1">
      <alignment horizontal="left"/>
    </xf>
    <xf numFmtId="14" fontId="48" fillId="28" borderId="10" xfId="0" applyNumberFormat="1" applyFont="1" applyFill="1" applyBorder="1" applyAlignment="1">
      <alignment wrapText="1"/>
    </xf>
    <xf numFmtId="14" fontId="27" fillId="28" borderId="7" xfId="0" applyNumberFormat="1" applyFont="1" applyFill="1" applyBorder="1" applyAlignment="1">
      <alignment horizontal="center"/>
    </xf>
    <xf numFmtId="0" fontId="48" fillId="28" borderId="46" xfId="0" applyFont="1" applyFill="1" applyBorder="1" applyAlignment="1">
      <alignment horizontal="center" wrapText="1"/>
    </xf>
    <xf numFmtId="0" fontId="48" fillId="28" borderId="6" xfId="0" applyFont="1" applyFill="1" applyBorder="1" applyAlignment="1">
      <alignment horizontal="center" wrapText="1"/>
    </xf>
    <xf numFmtId="14" fontId="48" fillId="28" borderId="46" xfId="0" applyNumberFormat="1" applyFont="1" applyFill="1" applyBorder="1" applyAlignment="1">
      <alignment horizontal="center" wrapText="1"/>
    </xf>
    <xf numFmtId="0" fontId="27" fillId="28" borderId="46" xfId="0" applyFont="1" applyFill="1" applyBorder="1" applyAlignment="1">
      <alignment horizontal="center"/>
    </xf>
    <xf numFmtId="0" fontId="27" fillId="28" borderId="46" xfId="0" applyFont="1" applyFill="1" applyBorder="1" applyAlignment="1">
      <alignment horizontal="center" wrapText="1"/>
    </xf>
    <xf numFmtId="14" fontId="27" fillId="28" borderId="46" xfId="0" applyNumberFormat="1" applyFont="1" applyFill="1" applyBorder="1" applyAlignment="1">
      <alignment horizontal="center" wrapText="1"/>
    </xf>
    <xf numFmtId="14" fontId="10" fillId="28" borderId="22" xfId="0" applyNumberFormat="1" applyFont="1" applyFill="1" applyBorder="1" applyAlignment="1" applyProtection="1">
      <alignment horizontal="center" vertical="center"/>
      <protection locked="0"/>
    </xf>
    <xf numFmtId="0" fontId="48" fillId="28" borderId="45" xfId="0" applyFont="1" applyFill="1" applyBorder="1" applyAlignment="1">
      <alignment wrapText="1"/>
    </xf>
    <xf numFmtId="0" fontId="48" fillId="28" borderId="22" xfId="0" applyFont="1" applyFill="1" applyBorder="1" applyAlignment="1">
      <alignment horizontal="center"/>
    </xf>
    <xf numFmtId="0" fontId="45" fillId="28" borderId="22" xfId="4" applyFill="1" applyBorder="1" applyAlignment="1">
      <alignment horizontal="center"/>
    </xf>
    <xf numFmtId="0" fontId="48" fillId="28" borderId="22" xfId="0" applyFont="1" applyFill="1" applyBorder="1" applyAlignment="1">
      <alignment horizontal="center" wrapText="1"/>
    </xf>
    <xf numFmtId="0" fontId="48" fillId="28" borderId="48" xfId="0" applyFont="1" applyFill="1" applyBorder="1" applyAlignment="1">
      <alignment horizontal="left"/>
    </xf>
    <xf numFmtId="0" fontId="48" fillId="28" borderId="48" xfId="0" applyFont="1" applyFill="1" applyBorder="1" applyAlignment="1">
      <alignment wrapText="1"/>
    </xf>
    <xf numFmtId="0" fontId="27" fillId="28" borderId="3" xfId="0" applyFont="1" applyFill="1" applyBorder="1" applyAlignment="1">
      <alignment horizontal="left"/>
    </xf>
    <xf numFmtId="0" fontId="96" fillId="28" borderId="3" xfId="0" applyFont="1" applyFill="1" applyBorder="1" applyAlignment="1">
      <alignment horizontal="center" wrapText="1"/>
    </xf>
    <xf numFmtId="0" fontId="96" fillId="28" borderId="22" xfId="0" applyFont="1" applyFill="1" applyBorder="1" applyAlignment="1">
      <alignment horizontal="center" wrapText="1"/>
    </xf>
    <xf numFmtId="14" fontId="96" fillId="28" borderId="3" xfId="0" applyNumberFormat="1" applyFont="1" applyFill="1" applyBorder="1" applyAlignment="1">
      <alignment horizontal="center" wrapText="1"/>
    </xf>
    <xf numFmtId="0" fontId="96" fillId="28" borderId="3" xfId="0" applyFont="1" applyFill="1" applyBorder="1" applyAlignment="1">
      <alignment horizontal="center"/>
    </xf>
    <xf numFmtId="14" fontId="96" fillId="28" borderId="22" xfId="0" applyNumberFormat="1" applyFont="1" applyFill="1" applyBorder="1" applyAlignment="1">
      <alignment horizontal="center" wrapText="1"/>
    </xf>
    <xf numFmtId="0" fontId="96" fillId="28" borderId="22" xfId="0" applyFont="1" applyFill="1" applyBorder="1" applyAlignment="1">
      <alignment horizontal="center"/>
    </xf>
    <xf numFmtId="14" fontId="27" fillId="26" borderId="45" xfId="0" applyNumberFormat="1" applyFont="1" applyFill="1" applyBorder="1" applyAlignment="1">
      <alignment wrapText="1"/>
    </xf>
    <xf numFmtId="0" fontId="27" fillId="26" borderId="45" xfId="0" applyFont="1" applyFill="1" applyBorder="1" applyAlignment="1">
      <alignment horizontal="center"/>
    </xf>
    <xf numFmtId="0" fontId="27" fillId="26" borderId="0" xfId="0" applyFont="1" applyFill="1" applyAlignment="1">
      <alignment horizontal="left"/>
    </xf>
    <xf numFmtId="0" fontId="13" fillId="0" borderId="0" xfId="0" applyFont="1" applyAlignment="1">
      <alignment horizontal="right" vertical="center" wrapText="1"/>
    </xf>
    <xf numFmtId="0" fontId="45" fillId="9" borderId="3" xfId="4" applyFill="1" applyBorder="1" applyAlignment="1">
      <alignment horizontal="left" vertical="center"/>
    </xf>
    <xf numFmtId="14" fontId="50" fillId="9" borderId="3" xfId="0" applyNumberFormat="1" applyFont="1" applyFill="1" applyBorder="1" applyAlignment="1">
      <alignment horizontal="center"/>
    </xf>
    <xf numFmtId="0" fontId="55" fillId="9" borderId="3" xfId="0" applyFont="1" applyFill="1" applyBorder="1"/>
    <xf numFmtId="0" fontId="48" fillId="9" borderId="46" xfId="0" applyFont="1" applyFill="1" applyBorder="1"/>
    <xf numFmtId="0" fontId="47" fillId="9" borderId="3" xfId="0" applyFont="1" applyFill="1" applyBorder="1" applyAlignment="1">
      <alignment wrapText="1"/>
    </xf>
    <xf numFmtId="0" fontId="45" fillId="9" borderId="0" xfId="4" applyFill="1" applyBorder="1" applyAlignment="1"/>
    <xf numFmtId="14" fontId="47" fillId="9" borderId="3" xfId="0" applyNumberFormat="1" applyFont="1" applyFill="1" applyBorder="1" applyAlignment="1">
      <alignment wrapText="1"/>
    </xf>
    <xf numFmtId="0" fontId="50" fillId="9" borderId="3" xfId="0" applyFont="1" applyFill="1" applyBorder="1"/>
    <xf numFmtId="14" fontId="34" fillId="9" borderId="3" xfId="0" applyNumberFormat="1" applyFont="1" applyFill="1" applyBorder="1" applyAlignment="1">
      <alignment horizontal="right" vertical="center" wrapText="1"/>
    </xf>
    <xf numFmtId="0" fontId="45" fillId="4" borderId="3" xfId="4" applyFill="1" applyBorder="1"/>
    <xf numFmtId="0" fontId="35" fillId="9" borderId="3" xfId="0" applyFont="1" applyFill="1" applyBorder="1" applyAlignment="1">
      <alignment horizontal="left" vertical="center"/>
    </xf>
    <xf numFmtId="14" fontId="34" fillId="9" borderId="3" xfId="0" applyNumberFormat="1" applyFont="1" applyFill="1" applyBorder="1" applyAlignment="1">
      <alignment horizontal="center" vertical="center" wrapText="1"/>
    </xf>
    <xf numFmtId="0" fontId="34" fillId="26" borderId="3" xfId="0" applyFont="1" applyFill="1" applyBorder="1" applyAlignment="1">
      <alignment horizontal="left" vertical="center"/>
    </xf>
    <xf numFmtId="14" fontId="34" fillId="26" borderId="3" xfId="0" applyNumberFormat="1" applyFont="1" applyFill="1" applyBorder="1" applyAlignment="1">
      <alignment horizontal="left" vertical="center"/>
    </xf>
    <xf numFmtId="0" fontId="33" fillId="26" borderId="3" xfId="0" applyFont="1" applyFill="1" applyBorder="1" applyAlignment="1">
      <alignment horizontal="left" vertical="center"/>
    </xf>
    <xf numFmtId="0" fontId="45" fillId="26" borderId="3" xfId="4" applyFill="1" applyBorder="1"/>
    <xf numFmtId="0" fontId="35" fillId="26" borderId="3" xfId="0" applyFont="1" applyFill="1" applyBorder="1" applyAlignment="1">
      <alignment horizontal="left" vertical="center" wrapText="1"/>
    </xf>
    <xf numFmtId="14" fontId="35" fillId="26" borderId="3" xfId="0" applyNumberFormat="1" applyFont="1" applyFill="1" applyBorder="1" applyAlignment="1">
      <alignment horizontal="left" vertical="center" wrapText="1"/>
    </xf>
    <xf numFmtId="0" fontId="34" fillId="26" borderId="3" xfId="0" applyFont="1" applyFill="1" applyBorder="1" applyAlignment="1">
      <alignment horizontal="center" vertical="center" wrapText="1"/>
    </xf>
    <xf numFmtId="14" fontId="34" fillId="26" borderId="3" xfId="0" applyNumberFormat="1" applyFont="1" applyFill="1" applyBorder="1" applyAlignment="1">
      <alignment horizontal="left" vertical="center" wrapText="1"/>
    </xf>
    <xf numFmtId="0" fontId="34" fillId="26" borderId="3" xfId="0" applyFont="1" applyFill="1" applyBorder="1" applyAlignment="1">
      <alignment horizontal="right" vertical="center" wrapText="1"/>
    </xf>
    <xf numFmtId="0" fontId="55" fillId="9" borderId="40" xfId="0" applyFont="1" applyFill="1" applyBorder="1"/>
    <xf numFmtId="0" fontId="106" fillId="9" borderId="40" xfId="0" applyFont="1" applyFill="1" applyBorder="1" applyAlignment="1">
      <alignment wrapText="1"/>
    </xf>
    <xf numFmtId="0" fontId="160" fillId="28" borderId="0" xfId="0" applyFont="1" applyFill="1" applyAlignment="1">
      <alignment horizontal="center"/>
    </xf>
    <xf numFmtId="0" fontId="34" fillId="26" borderId="3" xfId="0" applyFont="1" applyFill="1" applyBorder="1" applyAlignment="1">
      <alignment horizontal="left" vertical="center" wrapText="1"/>
    </xf>
    <xf numFmtId="0" fontId="33" fillId="4" borderId="3" xfId="0" applyFont="1" applyFill="1" applyBorder="1" applyAlignment="1">
      <alignment horizontal="left" vertical="center" wrapText="1"/>
    </xf>
    <xf numFmtId="14" fontId="34" fillId="4" borderId="3" xfId="0" applyNumberFormat="1" applyFont="1" applyFill="1" applyBorder="1" applyAlignment="1">
      <alignment horizontal="left" vertical="center"/>
    </xf>
    <xf numFmtId="0" fontId="34" fillId="4" borderId="3" xfId="0" applyFont="1" applyFill="1" applyBorder="1" applyAlignment="1">
      <alignment horizontal="right" vertical="center"/>
    </xf>
    <xf numFmtId="0" fontId="106" fillId="9" borderId="3" xfId="0" applyFont="1" applyFill="1" applyBorder="1" applyAlignment="1">
      <alignment horizontal="left"/>
    </xf>
    <xf numFmtId="14" fontId="106" fillId="9" borderId="40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left" vertical="center"/>
    </xf>
    <xf numFmtId="0" fontId="37" fillId="9" borderId="3" xfId="0" applyFont="1" applyFill="1" applyBorder="1" applyAlignment="1">
      <alignment horizontal="left"/>
    </xf>
    <xf numFmtId="14" fontId="106" fillId="9" borderId="40" xfId="0" applyNumberFormat="1" applyFont="1" applyFill="1" applyBorder="1" applyAlignment="1">
      <alignment horizontal="left" wrapText="1"/>
    </xf>
    <xf numFmtId="0" fontId="92" fillId="0" borderId="0" xfId="0" applyFont="1" applyAlignment="1">
      <alignment horizontal="center" vertical="center"/>
    </xf>
    <xf numFmtId="1" fontId="35" fillId="28" borderId="3" xfId="0" applyNumberFormat="1" applyFont="1" applyFill="1" applyBorder="1" applyAlignment="1">
      <alignment horizontal="center" vertical="center"/>
    </xf>
    <xf numFmtId="14" fontId="35" fillId="28" borderId="3" xfId="0" applyNumberFormat="1" applyFont="1" applyFill="1" applyBorder="1" applyAlignment="1" applyProtection="1">
      <alignment horizontal="left" vertical="center"/>
      <protection locked="0"/>
    </xf>
    <xf numFmtId="0" fontId="35" fillId="28" borderId="3" xfId="0" applyFont="1" applyFill="1" applyBorder="1" applyAlignment="1" applyProtection="1">
      <alignment horizontal="left"/>
      <protection locked="0"/>
    </xf>
    <xf numFmtId="0" fontId="35" fillId="28" borderId="3" xfId="0" applyFont="1" applyFill="1" applyBorder="1" applyAlignment="1" applyProtection="1">
      <alignment horizontal="right"/>
      <protection locked="0"/>
    </xf>
    <xf numFmtId="0" fontId="60" fillId="28" borderId="0" xfId="0" applyFont="1" applyFill="1"/>
    <xf numFmtId="14" fontId="35" fillId="28" borderId="3" xfId="0" applyNumberFormat="1" applyFont="1" applyFill="1" applyBorder="1" applyProtection="1">
      <protection locked="0"/>
    </xf>
    <xf numFmtId="14" fontId="35" fillId="28" borderId="3" xfId="0" applyNumberFormat="1" applyFont="1" applyFill="1" applyBorder="1" applyAlignment="1" applyProtection="1">
      <alignment wrapText="1"/>
      <protection locked="0"/>
    </xf>
    <xf numFmtId="165" fontId="35" fillId="28" borderId="3" xfId="0" applyNumberFormat="1" applyFont="1" applyFill="1" applyBorder="1" applyAlignment="1" applyProtection="1">
      <alignment horizontal="left"/>
      <protection locked="0"/>
    </xf>
    <xf numFmtId="4" fontId="162" fillId="28" borderId="3" xfId="0" applyNumberFormat="1" applyFont="1" applyFill="1" applyBorder="1" applyAlignment="1" applyProtection="1">
      <alignment horizontal="center" vertical="center"/>
      <protection locked="0"/>
    </xf>
    <xf numFmtId="14" fontId="35" fillId="28" borderId="3" xfId="0" applyNumberFormat="1" applyFont="1" applyFill="1" applyBorder="1" applyAlignment="1" applyProtection="1">
      <alignment horizontal="left" wrapText="1"/>
      <protection locked="0"/>
    </xf>
    <xf numFmtId="0" fontId="35" fillId="28" borderId="3" xfId="0" applyFont="1" applyFill="1" applyBorder="1" applyAlignment="1" applyProtection="1">
      <alignment horizontal="left" vertical="top"/>
      <protection locked="0"/>
    </xf>
    <xf numFmtId="14" fontId="35" fillId="28" borderId="3" xfId="0" applyNumberFormat="1" applyFont="1" applyFill="1" applyBorder="1" applyAlignment="1" applyProtection="1">
      <alignment horizontal="left" vertical="center" wrapText="1"/>
      <protection locked="0"/>
    </xf>
    <xf numFmtId="0" fontId="163" fillId="28" borderId="3" xfId="0" applyFont="1" applyFill="1" applyBorder="1" applyAlignment="1">
      <alignment horizontal="left" vertical="center"/>
    </xf>
    <xf numFmtId="0" fontId="35" fillId="28" borderId="3" xfId="0" applyFont="1" applyFill="1" applyBorder="1"/>
    <xf numFmtId="0" fontId="70" fillId="28" borderId="3" xfId="0" applyFont="1" applyFill="1" applyBorder="1"/>
    <xf numFmtId="0" fontId="70" fillId="28" borderId="3" xfId="0" applyFont="1" applyFill="1" applyBorder="1" applyAlignment="1">
      <alignment horizontal="left" wrapText="1"/>
    </xf>
    <xf numFmtId="9" fontId="106" fillId="9" borderId="41" xfId="0" applyNumberFormat="1" applyFont="1" applyFill="1" applyBorder="1" applyAlignment="1">
      <alignment horizontal="center"/>
    </xf>
    <xf numFmtId="14" fontId="34" fillId="28" borderId="3" xfId="0" applyNumberFormat="1" applyFont="1" applyFill="1" applyBorder="1" applyAlignment="1">
      <alignment vertical="center"/>
    </xf>
    <xf numFmtId="4" fontId="0" fillId="28" borderId="0" xfId="0" applyNumberFormat="1" applyFill="1"/>
    <xf numFmtId="14" fontId="35" fillId="28" borderId="3" xfId="0" applyNumberFormat="1" applyFont="1" applyFill="1" applyBorder="1" applyAlignment="1">
      <alignment vertical="center"/>
    </xf>
    <xf numFmtId="0" fontId="111" fillId="9" borderId="40" xfId="0" applyFont="1" applyFill="1" applyBorder="1"/>
    <xf numFmtId="0" fontId="54" fillId="9" borderId="40" xfId="0" applyFont="1" applyFill="1" applyBorder="1"/>
    <xf numFmtId="0" fontId="81" fillId="9" borderId="40" xfId="0" applyFont="1" applyFill="1" applyBorder="1"/>
    <xf numFmtId="9" fontId="50" fillId="9" borderId="40" xfId="0" applyNumberFormat="1" applyFont="1" applyFill="1" applyBorder="1"/>
    <xf numFmtId="0" fontId="106" fillId="9" borderId="40" xfId="0" applyFont="1" applyFill="1" applyBorder="1" applyAlignment="1">
      <alignment horizontal="center" vertical="center" wrapText="1"/>
    </xf>
    <xf numFmtId="0" fontId="35" fillId="28" borderId="3" xfId="0" applyFont="1" applyFill="1" applyBorder="1" applyAlignment="1">
      <alignment horizontal="center" vertical="center"/>
    </xf>
    <xf numFmtId="0" fontId="164" fillId="28" borderId="0" xfId="0" applyFont="1" applyFill="1"/>
    <xf numFmtId="9" fontId="35" fillId="28" borderId="3" xfId="2" applyFont="1" applyFill="1" applyBorder="1" applyAlignment="1">
      <alignment horizontal="right" vertical="center"/>
    </xf>
    <xf numFmtId="0" fontId="46" fillId="28" borderId="3" xfId="0" applyFont="1" applyFill="1" applyBorder="1" applyAlignment="1">
      <alignment horizontal="left" vertical="center"/>
    </xf>
    <xf numFmtId="0" fontId="11" fillId="28" borderId="3" xfId="0" applyFont="1" applyFill="1" applyBorder="1" applyAlignment="1">
      <alignment horizontal="left" vertical="center"/>
    </xf>
    <xf numFmtId="0" fontId="11" fillId="28" borderId="42" xfId="0" applyFont="1" applyFill="1" applyBorder="1" applyAlignment="1">
      <alignment horizontal="left" vertical="center"/>
    </xf>
    <xf numFmtId="0" fontId="34" fillId="4" borderId="3" xfId="0" applyFont="1" applyFill="1" applyBorder="1" applyAlignment="1">
      <alignment horizontal="center" vertical="center"/>
    </xf>
    <xf numFmtId="0" fontId="34" fillId="9" borderId="3" xfId="0" applyFont="1" applyFill="1" applyBorder="1" applyAlignment="1">
      <alignment horizontal="right" vertical="center" wrapText="1"/>
    </xf>
    <xf numFmtId="0" fontId="45" fillId="9" borderId="3" xfId="4" applyFill="1" applyBorder="1" applyAlignment="1">
      <alignment horizontal="left" vertical="center" wrapText="1"/>
    </xf>
    <xf numFmtId="0" fontId="33" fillId="9" borderId="3" xfId="0" applyFont="1" applyFill="1" applyBorder="1" applyAlignment="1">
      <alignment horizontal="center" vertical="center" wrapText="1"/>
    </xf>
    <xf numFmtId="0" fontId="50" fillId="9" borderId="40" xfId="0" applyFont="1" applyFill="1" applyBorder="1" applyAlignment="1">
      <alignment wrapText="1"/>
    </xf>
    <xf numFmtId="0" fontId="52" fillId="0" borderId="6" xfId="0" applyFont="1" applyBorder="1"/>
    <xf numFmtId="0" fontId="52" fillId="0" borderId="46" xfId="0" applyFont="1" applyBorder="1"/>
    <xf numFmtId="0" fontId="145" fillId="28" borderId="0" xfId="0" applyFont="1" applyFill="1" applyAlignment="1">
      <alignment horizontal="center"/>
    </xf>
    <xf numFmtId="0" fontId="48" fillId="29" borderId="3" xfId="0" applyFont="1" applyFill="1" applyBorder="1" applyAlignment="1">
      <alignment vertical="top" wrapText="1"/>
    </xf>
    <xf numFmtId="0" fontId="48" fillId="29" borderId="3" xfId="0" applyFont="1" applyFill="1" applyBorder="1" applyAlignment="1">
      <alignment horizontal="center" vertical="top" wrapText="1"/>
    </xf>
    <xf numFmtId="0" fontId="45" fillId="29" borderId="3" xfId="4" applyFill="1" applyBorder="1" applyAlignment="1">
      <alignment horizontal="center" vertical="top" wrapText="1"/>
    </xf>
    <xf numFmtId="0" fontId="35" fillId="28" borderId="22" xfId="0" applyFont="1" applyFill="1" applyBorder="1" applyAlignment="1">
      <alignment horizontal="left" vertical="top" wrapText="1"/>
    </xf>
    <xf numFmtId="0" fontId="60" fillId="28" borderId="0" xfId="0" applyFont="1" applyFill="1" applyAlignment="1">
      <alignment horizontal="left"/>
    </xf>
    <xf numFmtId="0" fontId="166" fillId="0" borderId="3" xfId="0" applyFont="1" applyBorder="1" applyAlignment="1">
      <alignment horizontal="center" vertical="center"/>
    </xf>
    <xf numFmtId="0" fontId="166" fillId="0" borderId="3" xfId="0" applyFont="1" applyBorder="1" applyAlignment="1">
      <alignment horizontal="left" vertical="center"/>
    </xf>
    <xf numFmtId="0" fontId="166" fillId="0" borderId="3" xfId="0" applyFont="1" applyBorder="1" applyAlignment="1">
      <alignment horizontal="left" vertical="center" wrapText="1"/>
    </xf>
    <xf numFmtId="0" fontId="166" fillId="0" borderId="3" xfId="0" applyFont="1" applyBorder="1" applyAlignment="1">
      <alignment horizontal="right" vertical="center" wrapText="1"/>
    </xf>
    <xf numFmtId="0" fontId="165" fillId="0" borderId="3" xfId="0" applyFont="1" applyBorder="1"/>
    <xf numFmtId="14" fontId="166" fillId="0" borderId="3" xfId="0" applyNumberFormat="1" applyFont="1" applyBorder="1" applyAlignment="1">
      <alignment vertical="center" wrapText="1"/>
    </xf>
    <xf numFmtId="9" fontId="166" fillId="0" borderId="3" xfId="2" applyFont="1" applyFill="1" applyBorder="1" applyAlignment="1">
      <alignment horizontal="right" vertical="center"/>
    </xf>
    <xf numFmtId="0" fontId="165" fillId="0" borderId="40" xfId="0" applyFont="1" applyBorder="1" applyAlignment="1">
      <alignment horizontal="left"/>
    </xf>
    <xf numFmtId="4" fontId="165" fillId="0" borderId="3" xfId="0" applyNumberFormat="1" applyFont="1" applyBorder="1"/>
    <xf numFmtId="4" fontId="168" fillId="28" borderId="3" xfId="0" applyNumberFormat="1" applyFont="1" applyFill="1" applyBorder="1" applyAlignment="1" applyProtection="1">
      <alignment horizontal="center" vertical="center"/>
      <protection locked="0"/>
    </xf>
    <xf numFmtId="14" fontId="166" fillId="0" borderId="3" xfId="0" applyNumberFormat="1" applyFont="1" applyBorder="1" applyAlignment="1">
      <alignment vertical="center"/>
    </xf>
    <xf numFmtId="14" fontId="166" fillId="0" borderId="3" xfId="0" applyNumberFormat="1" applyFont="1" applyBorder="1" applyAlignment="1">
      <alignment horizontal="right" vertical="center" wrapText="1"/>
    </xf>
    <xf numFmtId="0" fontId="169" fillId="0" borderId="3" xfId="0" applyFont="1" applyBorder="1"/>
    <xf numFmtId="0" fontId="166" fillId="0" borderId="3" xfId="0" applyFont="1" applyBorder="1" applyAlignment="1">
      <alignment horizontal="right" vertical="center"/>
    </xf>
    <xf numFmtId="0" fontId="172" fillId="0" borderId="3" xfId="0" applyFont="1" applyBorder="1" applyAlignment="1">
      <alignment horizontal="left" vertical="center"/>
    </xf>
    <xf numFmtId="0" fontId="165" fillId="0" borderId="42" xfId="0" applyFont="1" applyBorder="1"/>
    <xf numFmtId="0" fontId="171" fillId="0" borderId="3" xfId="0" applyFont="1" applyBorder="1" applyAlignment="1">
      <alignment horizontal="left"/>
    </xf>
    <xf numFmtId="0" fontId="144" fillId="28" borderId="0" xfId="0" applyFont="1" applyFill="1"/>
    <xf numFmtId="0" fontId="120" fillId="28" borderId="0" xfId="0" applyFont="1" applyFill="1"/>
    <xf numFmtId="0" fontId="61" fillId="28" borderId="3" xfId="0" applyFont="1" applyFill="1" applyBorder="1"/>
    <xf numFmtId="0" fontId="106" fillId="9" borderId="41" xfId="0" applyFont="1" applyFill="1" applyBorder="1" applyAlignment="1">
      <alignment wrapText="1"/>
    </xf>
    <xf numFmtId="0" fontId="45" fillId="29" borderId="45" xfId="4" applyFill="1" applyBorder="1" applyAlignment="1">
      <alignment horizontal="center" wrapText="1"/>
    </xf>
    <xf numFmtId="0" fontId="33" fillId="28" borderId="3" xfId="0" applyFont="1" applyFill="1" applyBorder="1" applyAlignment="1">
      <alignment vertical="center" wrapText="1"/>
    </xf>
    <xf numFmtId="9" fontId="47" fillId="28" borderId="3" xfId="0" applyNumberFormat="1" applyFont="1" applyFill="1" applyBorder="1" applyAlignment="1">
      <alignment horizontal="right"/>
    </xf>
    <xf numFmtId="4" fontId="23" fillId="0" borderId="3" xfId="0" applyNumberFormat="1" applyFont="1" applyBorder="1" applyAlignment="1" applyProtection="1">
      <alignment horizontal="center" vertical="center"/>
      <protection locked="0"/>
    </xf>
    <xf numFmtId="0" fontId="0" fillId="9" borderId="0" xfId="0" applyFill="1" applyAlignment="1">
      <alignment horizontal="left" vertical="center"/>
    </xf>
    <xf numFmtId="0" fontId="106" fillId="9" borderId="3" xfId="0" applyFont="1" applyFill="1" applyBorder="1"/>
    <xf numFmtId="0" fontId="0" fillId="9" borderId="3" xfId="0" applyFill="1" applyBorder="1"/>
    <xf numFmtId="170" fontId="106" fillId="9" borderId="42" xfId="0" applyNumberFormat="1" applyFont="1" applyFill="1" applyBorder="1" applyAlignment="1">
      <alignment horizontal="left"/>
    </xf>
    <xf numFmtId="1" fontId="24" fillId="23" borderId="3" xfId="3" applyNumberFormat="1" applyFont="1" applyFill="1" applyBorder="1" applyAlignment="1">
      <alignment horizontal="left" vertical="center"/>
    </xf>
    <xf numFmtId="1" fontId="13" fillId="25" borderId="3" xfId="3" applyNumberFormat="1" applyFill="1" applyBorder="1">
      <alignment vertical="center"/>
    </xf>
    <xf numFmtId="0" fontId="137" fillId="9" borderId="40" xfId="0" applyFont="1" applyFill="1" applyBorder="1"/>
    <xf numFmtId="0" fontId="138" fillId="9" borderId="40" xfId="0" applyFont="1" applyFill="1" applyBorder="1"/>
    <xf numFmtId="0" fontId="139" fillId="9" borderId="40" xfId="0" applyFont="1" applyFill="1" applyBorder="1"/>
    <xf numFmtId="0" fontId="45" fillId="9" borderId="44" xfId="4" applyFill="1" applyBorder="1"/>
    <xf numFmtId="0" fontId="106" fillId="9" borderId="43" xfId="0" applyFont="1" applyFill="1" applyBorder="1" applyAlignment="1">
      <alignment horizontal="left"/>
    </xf>
    <xf numFmtId="0" fontId="174" fillId="0" borderId="0" xfId="0" applyFont="1"/>
    <xf numFmtId="0" fontId="34" fillId="28" borderId="3" xfId="0" applyFont="1" applyFill="1" applyBorder="1" applyAlignment="1">
      <alignment vertical="top"/>
    </xf>
    <xf numFmtId="0" fontId="106" fillId="9" borderId="41" xfId="0" applyFont="1" applyFill="1" applyBorder="1"/>
    <xf numFmtId="0" fontId="138" fillId="9" borderId="3" xfId="4" applyFont="1" applyFill="1" applyBorder="1" applyAlignment="1"/>
    <xf numFmtId="0" fontId="176" fillId="9" borderId="3" xfId="0" applyFont="1" applyFill="1" applyBorder="1" applyAlignment="1">
      <alignment horizontal="center" vertical="center"/>
    </xf>
    <xf numFmtId="0" fontId="33" fillId="28" borderId="3" xfId="0" applyFont="1" applyFill="1" applyBorder="1"/>
    <xf numFmtId="0" fontId="27" fillId="28" borderId="22" xfId="0" applyFont="1" applyFill="1" applyBorder="1" applyAlignment="1">
      <alignment horizontal="center" wrapText="1"/>
    </xf>
    <xf numFmtId="0" fontId="0" fillId="26" borderId="3" xfId="0" applyFill="1" applyBorder="1"/>
    <xf numFmtId="0" fontId="25" fillId="23" borderId="3" xfId="3" applyFont="1" applyFill="1" applyBorder="1">
      <alignment vertical="center"/>
    </xf>
    <xf numFmtId="9" fontId="35" fillId="0" borderId="3" xfId="2" applyFont="1" applyBorder="1" applyAlignment="1">
      <alignment horizontal="right" vertical="center"/>
    </xf>
    <xf numFmtId="0" fontId="177" fillId="0" borderId="7" xfId="0" applyFont="1" applyBorder="1" applyAlignment="1" applyProtection="1">
      <alignment horizontal="center" vertical="center"/>
      <protection locked="0"/>
    </xf>
    <xf numFmtId="0" fontId="48" fillId="9" borderId="46" xfId="0" applyFont="1" applyFill="1" applyBorder="1" applyAlignment="1">
      <alignment wrapText="1"/>
    </xf>
    <xf numFmtId="172" fontId="47" fillId="9" borderId="3" xfId="0" applyNumberFormat="1" applyFont="1" applyFill="1" applyBorder="1" applyAlignment="1">
      <alignment wrapText="1"/>
    </xf>
    <xf numFmtId="9" fontId="50" fillId="9" borderId="3" xfId="0" applyNumberFormat="1" applyFont="1" applyFill="1" applyBorder="1"/>
    <xf numFmtId="14" fontId="34" fillId="9" borderId="3" xfId="0" applyNumberFormat="1" applyFont="1" applyFill="1" applyBorder="1" applyAlignment="1">
      <alignment horizontal="center" vertical="top"/>
    </xf>
    <xf numFmtId="0" fontId="48" fillId="9" borderId="6" xfId="0" applyFont="1" applyFill="1" applyBorder="1"/>
    <xf numFmtId="172" fontId="35" fillId="9" borderId="3" xfId="0" applyNumberFormat="1" applyFont="1" applyFill="1" applyBorder="1" applyAlignment="1">
      <alignment horizontal="left" vertical="center" wrapText="1"/>
    </xf>
    <xf numFmtId="0" fontId="48" fillId="9" borderId="7" xfId="0" applyFont="1" applyFill="1" applyBorder="1" applyAlignment="1">
      <alignment wrapText="1"/>
    </xf>
    <xf numFmtId="0" fontId="59" fillId="9" borderId="3" xfId="0" applyFont="1" applyFill="1" applyBorder="1" applyAlignment="1">
      <alignment horizontal="left" vertical="center"/>
    </xf>
    <xf numFmtId="0" fontId="37" fillId="9" borderId="3" xfId="0" applyFont="1" applyFill="1" applyBorder="1"/>
    <xf numFmtId="0" fontId="48" fillId="9" borderId="3" xfId="0" applyFont="1" applyFill="1" applyBorder="1" applyAlignment="1">
      <alignment wrapText="1"/>
    </xf>
    <xf numFmtId="0" fontId="48" fillId="9" borderId="6" xfId="0" applyFont="1" applyFill="1" applyBorder="1" applyAlignment="1">
      <alignment wrapText="1"/>
    </xf>
    <xf numFmtId="0" fontId="124" fillId="9" borderId="3" xfId="0" applyFont="1" applyFill="1" applyBorder="1" applyAlignment="1" applyProtection="1">
      <alignment horizontal="left" vertical="center"/>
      <protection locked="0"/>
    </xf>
    <xf numFmtId="0" fontId="49" fillId="9" borderId="46" xfId="0" applyFont="1" applyFill="1" applyBorder="1"/>
    <xf numFmtId="0" fontId="45" fillId="9" borderId="0" xfId="4" applyFill="1" applyBorder="1" applyAlignment="1">
      <alignment wrapText="1"/>
    </xf>
    <xf numFmtId="0" fontId="49" fillId="9" borderId="46" xfId="0" applyFont="1" applyFill="1" applyBorder="1" applyAlignment="1">
      <alignment wrapText="1"/>
    </xf>
    <xf numFmtId="172" fontId="33" fillId="9" borderId="3" xfId="0" applyNumberFormat="1" applyFont="1" applyFill="1" applyBorder="1" applyAlignment="1">
      <alignment horizontal="left" vertical="center"/>
    </xf>
    <xf numFmtId="172" fontId="35" fillId="9" borderId="3" xfId="0" applyNumberFormat="1" applyFont="1" applyFill="1" applyBorder="1" applyAlignment="1">
      <alignment horizontal="left" vertical="center"/>
    </xf>
    <xf numFmtId="0" fontId="45" fillId="9" borderId="46" xfId="4" applyFill="1" applyBorder="1" applyAlignment="1">
      <alignment wrapText="1"/>
    </xf>
    <xf numFmtId="14" fontId="50" fillId="9" borderId="3" xfId="0" applyNumberFormat="1" applyFont="1" applyFill="1" applyBorder="1"/>
    <xf numFmtId="14" fontId="50" fillId="9" borderId="3" xfId="0" applyNumberFormat="1" applyFont="1" applyFill="1" applyBorder="1" applyAlignment="1">
      <alignment wrapText="1"/>
    </xf>
    <xf numFmtId="14" fontId="50" fillId="9" borderId="3" xfId="0" applyNumberFormat="1" applyFont="1" applyFill="1" applyBorder="1" applyAlignment="1">
      <alignment horizontal="right" wrapText="1"/>
    </xf>
    <xf numFmtId="0" fontId="49" fillId="9" borderId="6" xfId="0" applyFont="1" applyFill="1" applyBorder="1"/>
    <xf numFmtId="0" fontId="47" fillId="9" borderId="7" xfId="0" applyFont="1" applyFill="1" applyBorder="1" applyAlignment="1">
      <alignment wrapText="1"/>
    </xf>
    <xf numFmtId="0" fontId="47" fillId="9" borderId="46" xfId="0" applyFont="1" applyFill="1" applyBorder="1" applyAlignment="1">
      <alignment wrapText="1"/>
    </xf>
    <xf numFmtId="0" fontId="50" fillId="9" borderId="3" xfId="0" applyFont="1" applyFill="1" applyBorder="1" applyAlignment="1">
      <alignment wrapText="1"/>
    </xf>
    <xf numFmtId="0" fontId="50" fillId="9" borderId="3" xfId="0" applyFont="1" applyFill="1" applyBorder="1" applyAlignment="1">
      <alignment horizontal="right" wrapText="1"/>
    </xf>
    <xf numFmtId="172" fontId="50" fillId="9" borderId="3" xfId="0" applyNumberFormat="1" applyFont="1" applyFill="1" applyBorder="1"/>
    <xf numFmtId="1" fontId="48" fillId="9" borderId="3" xfId="0" applyNumberFormat="1" applyFont="1" applyFill="1" applyBorder="1" applyAlignment="1">
      <alignment wrapText="1"/>
    </xf>
    <xf numFmtId="0" fontId="47" fillId="9" borderId="3" xfId="0" applyFont="1" applyFill="1" applyBorder="1"/>
    <xf numFmtId="0" fontId="55" fillId="9" borderId="7" xfId="0" applyFont="1" applyFill="1" applyBorder="1"/>
    <xf numFmtId="0" fontId="55" fillId="9" borderId="46" xfId="0" applyFont="1" applyFill="1" applyBorder="1"/>
    <xf numFmtId="14" fontId="50" fillId="9" borderId="3" xfId="0" applyNumberFormat="1" applyFont="1" applyFill="1" applyBorder="1" applyAlignment="1">
      <alignment horizontal="right"/>
    </xf>
    <xf numFmtId="14" fontId="27" fillId="9" borderId="3" xfId="0" applyNumberFormat="1" applyFont="1" applyFill="1" applyBorder="1" applyAlignment="1">
      <alignment horizontal="right"/>
    </xf>
    <xf numFmtId="0" fontId="27" fillId="9" borderId="3" xfId="0" applyFont="1" applyFill="1" applyBorder="1" applyAlignment="1">
      <alignment horizontal="right"/>
    </xf>
    <xf numFmtId="0" fontId="0" fillId="9" borderId="3" xfId="0" applyFill="1" applyBorder="1" applyAlignment="1">
      <alignment horizontal="right"/>
    </xf>
    <xf numFmtId="14" fontId="0" fillId="9" borderId="3" xfId="0" applyNumberFormat="1" applyFill="1" applyBorder="1" applyAlignment="1">
      <alignment horizontal="right"/>
    </xf>
    <xf numFmtId="0" fontId="34" fillId="9" borderId="3" xfId="0" applyFont="1" applyFill="1" applyBorder="1" applyAlignment="1">
      <alignment horizontal="right" vertical="center"/>
    </xf>
    <xf numFmtId="14" fontId="34" fillId="9" borderId="3" xfId="0" applyNumberFormat="1" applyFont="1" applyFill="1" applyBorder="1" applyAlignment="1">
      <alignment horizontal="right" vertical="center"/>
    </xf>
    <xf numFmtId="0" fontId="35" fillId="9" borderId="3" xfId="0" applyFont="1" applyFill="1" applyBorder="1" applyAlignment="1">
      <alignment horizontal="left" vertical="top" wrapText="1"/>
    </xf>
    <xf numFmtId="0" fontId="34" fillId="9" borderId="3" xfId="0" applyFont="1" applyFill="1" applyBorder="1" applyAlignment="1">
      <alignment horizontal="left" vertical="top"/>
    </xf>
    <xf numFmtId="9" fontId="34" fillId="9" borderId="3" xfId="2" applyFont="1" applyFill="1" applyBorder="1" applyAlignment="1">
      <alignment horizontal="left" vertical="top"/>
    </xf>
    <xf numFmtId="0" fontId="34" fillId="9" borderId="45" xfId="0" applyFont="1" applyFill="1" applyBorder="1" applyAlignment="1">
      <alignment horizontal="left" vertical="top"/>
    </xf>
    <xf numFmtId="0" fontId="34" fillId="9" borderId="45" xfId="0" applyFont="1" applyFill="1" applyBorder="1" applyAlignment="1">
      <alignment horizontal="left" vertical="center" wrapText="1"/>
    </xf>
    <xf numFmtId="0" fontId="97" fillId="2" borderId="3" xfId="0" applyFont="1" applyFill="1" applyBorder="1" applyAlignment="1">
      <alignment horizontal="center" vertical="center"/>
    </xf>
    <xf numFmtId="14" fontId="34" fillId="2" borderId="3" xfId="0" applyNumberFormat="1" applyFont="1" applyFill="1" applyBorder="1" applyAlignment="1">
      <alignment horizontal="center" vertical="top"/>
    </xf>
    <xf numFmtId="0" fontId="35" fillId="2" borderId="3" xfId="0" applyFont="1" applyFill="1" applyBorder="1" applyAlignment="1">
      <alignment horizontal="left" vertical="top" wrapText="1"/>
    </xf>
    <xf numFmtId="0" fontId="34" fillId="2" borderId="3" xfId="0" applyFont="1" applyFill="1" applyBorder="1" applyAlignment="1">
      <alignment horizontal="left" vertical="top"/>
    </xf>
    <xf numFmtId="9" fontId="34" fillId="2" borderId="3" xfId="2" applyFont="1" applyFill="1" applyBorder="1" applyAlignment="1">
      <alignment horizontal="left" vertical="top"/>
    </xf>
    <xf numFmtId="0" fontId="34" fillId="2" borderId="3" xfId="0" applyFont="1" applyFill="1" applyBorder="1" applyAlignment="1">
      <alignment vertical="top"/>
    </xf>
    <xf numFmtId="0" fontId="34" fillId="2" borderId="45" xfId="0" applyFont="1" applyFill="1" applyBorder="1" applyAlignment="1">
      <alignment horizontal="left" vertical="top"/>
    </xf>
    <xf numFmtId="0" fontId="34" fillId="2" borderId="45" xfId="0" applyFont="1" applyFill="1" applyBorder="1" applyAlignment="1">
      <alignment horizontal="left" vertical="center" wrapText="1"/>
    </xf>
    <xf numFmtId="0" fontId="59" fillId="2" borderId="3" xfId="0" applyFont="1" applyFill="1" applyBorder="1" applyAlignment="1">
      <alignment horizontal="left" vertical="center"/>
    </xf>
    <xf numFmtId="0" fontId="37" fillId="2" borderId="3" xfId="0" applyFont="1" applyFill="1" applyBorder="1"/>
    <xf numFmtId="0" fontId="37" fillId="2" borderId="0" xfId="0" applyFont="1" applyFill="1"/>
    <xf numFmtId="0" fontId="48" fillId="36" borderId="3" xfId="0" applyFont="1" applyFill="1" applyBorder="1" applyAlignment="1">
      <alignment wrapText="1"/>
    </xf>
    <xf numFmtId="0" fontId="48" fillId="36" borderId="3" xfId="0" applyFont="1" applyFill="1" applyBorder="1" applyAlignment="1">
      <alignment horizontal="center" wrapText="1"/>
    </xf>
    <xf numFmtId="0" fontId="45" fillId="36" borderId="3" xfId="4" applyFill="1" applyBorder="1" applyAlignment="1">
      <alignment horizontal="center" wrapText="1"/>
    </xf>
    <xf numFmtId="0" fontId="35" fillId="2" borderId="3" xfId="0" applyFont="1" applyFill="1" applyBorder="1" applyAlignment="1">
      <alignment horizontal="center" vertical="center" wrapText="1"/>
    </xf>
    <xf numFmtId="172" fontId="60" fillId="2" borderId="3" xfId="0" applyNumberFormat="1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wrapText="1"/>
    </xf>
    <xf numFmtId="172" fontId="27" fillId="2" borderId="3" xfId="0" applyNumberFormat="1" applyFont="1" applyFill="1" applyBorder="1" applyAlignment="1">
      <alignment horizontal="center" wrapText="1"/>
    </xf>
    <xf numFmtId="0" fontId="48" fillId="37" borderId="3" xfId="0" applyFont="1" applyFill="1" applyBorder="1" applyAlignment="1">
      <alignment wrapText="1"/>
    </xf>
    <xf numFmtId="0" fontId="48" fillId="37" borderId="3" xfId="0" applyFont="1" applyFill="1" applyBorder="1" applyAlignment="1">
      <alignment horizontal="center" wrapText="1"/>
    </xf>
    <xf numFmtId="0" fontId="45" fillId="37" borderId="3" xfId="4" applyFill="1" applyBorder="1" applyAlignment="1">
      <alignment horizontal="center" wrapText="1"/>
    </xf>
    <xf numFmtId="172" fontId="35" fillId="2" borderId="3" xfId="0" applyNumberFormat="1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/>
    </xf>
    <xf numFmtId="9" fontId="34" fillId="2" borderId="3" xfId="2" applyFont="1" applyFill="1" applyBorder="1" applyAlignment="1">
      <alignment horizontal="left" vertical="center"/>
    </xf>
    <xf numFmtId="0" fontId="76" fillId="2" borderId="3" xfId="0" applyFont="1" applyFill="1" applyBorder="1" applyAlignment="1" applyProtection="1">
      <alignment horizontal="left" vertical="top"/>
      <protection locked="0"/>
    </xf>
    <xf numFmtId="14" fontId="76" fillId="2" borderId="45" xfId="0" applyNumberFormat="1" applyFont="1" applyFill="1" applyBorder="1" applyAlignment="1" applyProtection="1">
      <alignment horizontal="left" vertical="center" wrapText="1"/>
      <protection locked="0"/>
    </xf>
    <xf numFmtId="0" fontId="156" fillId="2" borderId="0" xfId="0" applyFont="1" applyFill="1" applyAlignment="1">
      <alignment horizontal="center"/>
    </xf>
    <xf numFmtId="170" fontId="106" fillId="9" borderId="40" xfId="0" applyNumberFormat="1" applyFont="1" applyFill="1" applyBorder="1" applyAlignment="1">
      <alignment horizontal="left"/>
    </xf>
    <xf numFmtId="14" fontId="106" fillId="9" borderId="40" xfId="0" applyNumberFormat="1" applyFont="1" applyFill="1" applyBorder="1" applyAlignment="1" applyProtection="1">
      <alignment horizontal="center" vertical="center"/>
      <protection locked="0"/>
    </xf>
    <xf numFmtId="14" fontId="106" fillId="9" borderId="40" xfId="0" applyNumberFormat="1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 vertical="top"/>
    </xf>
    <xf numFmtId="0" fontId="10" fillId="28" borderId="3" xfId="0" applyFont="1" applyFill="1" applyBorder="1" applyAlignment="1" applyProtection="1">
      <alignment horizontal="center"/>
      <protection locked="0"/>
    </xf>
    <xf numFmtId="0" fontId="34" fillId="26" borderId="3" xfId="0" applyFont="1" applyFill="1" applyBorder="1" applyAlignment="1">
      <alignment horizontal="center" vertical="center"/>
    </xf>
    <xf numFmtId="14" fontId="34" fillId="26" borderId="3" xfId="0" applyNumberFormat="1" applyFont="1" applyFill="1" applyBorder="1" applyAlignment="1">
      <alignment horizontal="right" vertical="center" wrapText="1"/>
    </xf>
    <xf numFmtId="0" fontId="35" fillId="26" borderId="3" xfId="0" applyFont="1" applyFill="1" applyBorder="1" applyAlignment="1">
      <alignment horizontal="left" vertical="center"/>
    </xf>
    <xf numFmtId="0" fontId="0" fillId="26" borderId="0" xfId="0" applyFill="1"/>
    <xf numFmtId="4" fontId="106" fillId="9" borderId="40" xfId="0" applyNumberFormat="1" applyFont="1" applyFill="1" applyBorder="1" applyAlignment="1">
      <alignment horizontal="left"/>
    </xf>
    <xf numFmtId="0" fontId="34" fillId="9" borderId="3" xfId="0" quotePrefix="1" applyFont="1" applyFill="1" applyBorder="1" applyAlignment="1">
      <alignment horizontal="center" vertical="center" wrapText="1"/>
    </xf>
    <xf numFmtId="0" fontId="56" fillId="26" borderId="3" xfId="4" applyFont="1" applyFill="1" applyBorder="1" applyAlignment="1">
      <alignment horizontal="center" vertical="center" wrapText="1"/>
    </xf>
    <xf numFmtId="0" fontId="103" fillId="26" borderId="3" xfId="0" applyFont="1" applyFill="1" applyBorder="1" applyAlignment="1">
      <alignment horizontal="center"/>
    </xf>
    <xf numFmtId="14" fontId="35" fillId="26" borderId="3" xfId="0" applyNumberFormat="1" applyFont="1" applyFill="1" applyBorder="1" applyAlignment="1">
      <alignment horizontal="center" vertical="center" wrapText="1"/>
    </xf>
    <xf numFmtId="0" fontId="48" fillId="26" borderId="46" xfId="0" applyFont="1" applyFill="1" applyBorder="1" applyAlignment="1">
      <alignment horizontal="center"/>
    </xf>
    <xf numFmtId="9" fontId="34" fillId="26" borderId="3" xfId="2" applyFont="1" applyFill="1" applyBorder="1" applyAlignment="1">
      <alignment horizontal="center" vertical="center"/>
    </xf>
    <xf numFmtId="1" fontId="114" fillId="0" borderId="3" xfId="0" applyNumberFormat="1" applyFont="1" applyBorder="1" applyAlignment="1">
      <alignment horizontal="left" vertical="center"/>
    </xf>
    <xf numFmtId="0" fontId="124" fillId="0" borderId="3" xfId="0" applyFont="1" applyBorder="1" applyAlignment="1" applyProtection="1">
      <alignment horizontal="left" vertical="center"/>
      <protection locked="0"/>
    </xf>
    <xf numFmtId="0" fontId="163" fillId="0" borderId="3" xfId="0" applyFont="1" applyBorder="1" applyAlignment="1" applyProtection="1">
      <alignment horizontal="left" vertical="center" wrapText="1"/>
      <protection locked="0"/>
    </xf>
    <xf numFmtId="171" fontId="66" fillId="0" borderId="3" xfId="0" applyNumberFormat="1" applyFont="1" applyBorder="1" applyAlignment="1" applyProtection="1">
      <alignment horizontal="left" vertical="center"/>
      <protection locked="0"/>
    </xf>
    <xf numFmtId="165" fontId="178" fillId="0" borderId="3" xfId="0" applyNumberFormat="1" applyFont="1" applyBorder="1" applyAlignment="1" applyProtection="1">
      <alignment horizontal="left" vertical="center"/>
      <protection locked="0"/>
    </xf>
    <xf numFmtId="9" fontId="124" fillId="0" borderId="3" xfId="2" applyFont="1" applyFill="1" applyBorder="1" applyAlignment="1" applyProtection="1">
      <alignment horizontal="left" vertical="center"/>
      <protection locked="0"/>
    </xf>
    <xf numFmtId="14" fontId="124" fillId="0" borderId="3" xfId="0" applyNumberFormat="1" applyFont="1" applyBorder="1" applyAlignment="1" applyProtection="1">
      <alignment horizontal="center" vertical="center"/>
      <protection locked="0"/>
    </xf>
    <xf numFmtId="14" fontId="124" fillId="0" borderId="3" xfId="0" applyNumberFormat="1" applyFont="1" applyBorder="1" applyAlignment="1" applyProtection="1">
      <alignment horizontal="left" vertical="center"/>
      <protection locked="0"/>
    </xf>
    <xf numFmtId="171" fontId="124" fillId="0" borderId="3" xfId="0" applyNumberFormat="1" applyFont="1" applyBorder="1" applyAlignment="1" applyProtection="1">
      <alignment horizontal="left" vertical="center"/>
      <protection locked="0"/>
    </xf>
    <xf numFmtId="0" fontId="179" fillId="0" borderId="3" xfId="0" applyFont="1" applyBorder="1" applyAlignment="1" applyProtection="1">
      <alignment horizontal="left" vertical="center"/>
      <protection locked="0"/>
    </xf>
    <xf numFmtId="14" fontId="124" fillId="0" borderId="3" xfId="0" applyNumberFormat="1" applyFont="1" applyBorder="1" applyAlignment="1" applyProtection="1">
      <alignment horizontal="right" vertical="center"/>
      <protection locked="0"/>
    </xf>
    <xf numFmtId="0" fontId="45" fillId="26" borderId="3" xfId="4" applyFill="1" applyBorder="1" applyAlignment="1">
      <alignment horizontal="left" vertical="center" wrapText="1"/>
    </xf>
    <xf numFmtId="0" fontId="28" fillId="26" borderId="3" xfId="0" applyFont="1" applyFill="1" applyBorder="1" applyAlignment="1">
      <alignment horizontal="left" vertical="center"/>
    </xf>
    <xf numFmtId="0" fontId="21" fillId="26" borderId="3" xfId="0" applyFont="1" applyFill="1" applyBorder="1"/>
    <xf numFmtId="171" fontId="21" fillId="26" borderId="3" xfId="0" applyNumberFormat="1" applyFont="1" applyFill="1" applyBorder="1"/>
    <xf numFmtId="171" fontId="21" fillId="26" borderId="45" xfId="0" applyNumberFormat="1" applyFont="1" applyFill="1" applyBorder="1"/>
    <xf numFmtId="171" fontId="132" fillId="26" borderId="3" xfId="0" applyNumberFormat="1" applyFont="1" applyFill="1" applyBorder="1" applyAlignment="1">
      <alignment horizontal="left"/>
    </xf>
    <xf numFmtId="0" fontId="34" fillId="26" borderId="3" xfId="0" applyFont="1" applyFill="1" applyBorder="1" applyAlignment="1">
      <alignment horizontal="center" vertical="top"/>
    </xf>
    <xf numFmtId="14" fontId="34" fillId="26" borderId="3" xfId="0" applyNumberFormat="1" applyFont="1" applyFill="1" applyBorder="1" applyAlignment="1">
      <alignment horizontal="center" vertical="top"/>
    </xf>
    <xf numFmtId="0" fontId="33" fillId="26" borderId="3" xfId="3" applyFont="1" applyFill="1" applyBorder="1" applyAlignment="1">
      <alignment horizontal="left" vertical="top"/>
    </xf>
    <xf numFmtId="0" fontId="35" fillId="26" borderId="3" xfId="0" applyFont="1" applyFill="1" applyBorder="1" applyAlignment="1">
      <alignment horizontal="left" vertical="top" wrapText="1"/>
    </xf>
    <xf numFmtId="0" fontId="45" fillId="26" borderId="3" xfId="4" applyFill="1" applyBorder="1" applyAlignment="1">
      <alignment horizontal="left" vertical="top" wrapText="1"/>
    </xf>
    <xf numFmtId="170" fontId="35" fillId="26" borderId="3" xfId="0" applyNumberFormat="1" applyFont="1" applyFill="1" applyBorder="1" applyAlignment="1">
      <alignment horizontal="left" vertical="top" wrapText="1"/>
    </xf>
    <xf numFmtId="0" fontId="34" fillId="26" borderId="3" xfId="0" applyFont="1" applyFill="1" applyBorder="1" applyAlignment="1">
      <alignment horizontal="left" vertical="top"/>
    </xf>
    <xf numFmtId="9" fontId="34" fillId="26" borderId="3" xfId="2" applyFont="1" applyFill="1" applyBorder="1" applyAlignment="1">
      <alignment horizontal="left" vertical="top"/>
    </xf>
    <xf numFmtId="0" fontId="34" fillId="26" borderId="3" xfId="0" applyFont="1" applyFill="1" applyBorder="1" applyAlignment="1">
      <alignment horizontal="left" vertical="top" wrapText="1"/>
    </xf>
    <xf numFmtId="14" fontId="34" fillId="26" borderId="3" xfId="0" applyNumberFormat="1" applyFont="1" applyFill="1" applyBorder="1" applyAlignment="1">
      <alignment horizontal="left" vertical="top" wrapText="1"/>
    </xf>
    <xf numFmtId="0" fontId="34" fillId="26" borderId="45" xfId="0" applyFont="1" applyFill="1" applyBorder="1" applyAlignment="1">
      <alignment horizontal="left" vertical="top"/>
    </xf>
    <xf numFmtId="14" fontId="34" fillId="26" borderId="45" xfId="0" applyNumberFormat="1" applyFont="1" applyFill="1" applyBorder="1" applyAlignment="1">
      <alignment horizontal="left" vertical="center" wrapText="1"/>
    </xf>
    <xf numFmtId="0" fontId="59" fillId="26" borderId="3" xfId="0" applyFont="1" applyFill="1" applyBorder="1" applyAlignment="1">
      <alignment horizontal="left" vertical="center"/>
    </xf>
    <xf numFmtId="0" fontId="37" fillId="26" borderId="3" xfId="0" applyFont="1" applyFill="1" applyBorder="1"/>
    <xf numFmtId="0" fontId="113" fillId="0" borderId="40" xfId="0" applyFont="1" applyBorder="1" applyAlignment="1">
      <alignment wrapText="1"/>
    </xf>
    <xf numFmtId="0" fontId="34" fillId="9" borderId="45" xfId="0" applyFont="1" applyFill="1" applyBorder="1" applyAlignment="1">
      <alignment horizontal="left" vertical="center"/>
    </xf>
    <xf numFmtId="0" fontId="50" fillId="9" borderId="7" xfId="0" applyFont="1" applyFill="1" applyBorder="1"/>
    <xf numFmtId="0" fontId="60" fillId="26" borderId="3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44" fillId="14" borderId="3" xfId="0" applyFont="1" applyFill="1" applyBorder="1" applyAlignment="1">
      <alignment horizontal="center" vertical="center"/>
    </xf>
    <xf numFmtId="171" fontId="78" fillId="3" borderId="3" xfId="0" applyNumberFormat="1" applyFont="1" applyFill="1" applyBorder="1"/>
    <xf numFmtId="171" fontId="132" fillId="3" borderId="3" xfId="0" applyNumberFormat="1" applyFont="1" applyFill="1" applyBorder="1" applyAlignment="1">
      <alignment horizontal="center" vertical="center"/>
    </xf>
    <xf numFmtId="171" fontId="0" fillId="26" borderId="3" xfId="0" applyNumberFormat="1" applyFill="1" applyBorder="1" applyAlignment="1">
      <alignment horizontal="center" vertical="center"/>
    </xf>
    <xf numFmtId="0" fontId="106" fillId="9" borderId="43" xfId="0" applyFont="1" applyFill="1" applyBorder="1" applyAlignment="1">
      <alignment horizontal="left" wrapText="1"/>
    </xf>
    <xf numFmtId="0" fontId="23" fillId="0" borderId="3" xfId="0" applyFont="1" applyBorder="1" applyAlignment="1" applyProtection="1">
      <alignment horizontal="center" vertical="center"/>
      <protection locked="0"/>
    </xf>
    <xf numFmtId="0" fontId="181" fillId="0" borderId="0" xfId="3" applyFont="1">
      <alignment vertical="center"/>
    </xf>
    <xf numFmtId="0" fontId="0" fillId="0" borderId="0" xfId="0" applyProtection="1"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72" fontId="0" fillId="0" borderId="0" xfId="0" applyNumberForma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9" fontId="0" fillId="0" borderId="0" xfId="2" applyFont="1" applyFill="1" applyBorder="1" applyAlignment="1" applyProtection="1">
      <alignment horizontal="left"/>
      <protection locked="0"/>
    </xf>
    <xf numFmtId="172" fontId="0" fillId="0" borderId="0" xfId="0" applyNumberFormat="1" applyAlignment="1" applyProtection="1">
      <alignment horizontal="left"/>
      <protection locked="0"/>
    </xf>
    <xf numFmtId="165" fontId="3" fillId="0" borderId="0" xfId="0" applyNumberFormat="1" applyFont="1" applyProtection="1">
      <protection locked="0"/>
    </xf>
    <xf numFmtId="165" fontId="3" fillId="0" borderId="0" xfId="0" applyNumberFormat="1" applyFont="1" applyAlignment="1" applyProtection="1">
      <alignment horizontal="center"/>
      <protection locked="0"/>
    </xf>
    <xf numFmtId="0" fontId="4" fillId="2" borderId="24" xfId="0" applyFont="1" applyFill="1" applyBorder="1" applyAlignment="1" applyProtection="1">
      <alignment vertical="center"/>
      <protection locked="0"/>
    </xf>
    <xf numFmtId="0" fontId="4" fillId="2" borderId="29" xfId="0" applyFont="1" applyFill="1" applyBorder="1" applyAlignment="1" applyProtection="1">
      <alignment vertical="center"/>
      <protection locked="0"/>
    </xf>
    <xf numFmtId="172" fontId="4" fillId="2" borderId="29" xfId="0" applyNumberFormat="1" applyFont="1" applyFill="1" applyBorder="1" applyAlignment="1" applyProtection="1">
      <alignment vertical="center"/>
      <protection locked="0"/>
    </xf>
    <xf numFmtId="0" fontId="4" fillId="2" borderId="29" xfId="0" applyFont="1" applyFill="1" applyBorder="1" applyAlignment="1" applyProtection="1">
      <alignment horizontal="left" vertical="center"/>
      <protection locked="0"/>
    </xf>
    <xf numFmtId="172" fontId="4" fillId="2" borderId="29" xfId="0" applyNumberFormat="1" applyFont="1" applyFill="1" applyBorder="1" applyAlignment="1" applyProtection="1">
      <alignment horizontal="left" vertical="center"/>
      <protection locked="0"/>
    </xf>
    <xf numFmtId="0" fontId="4" fillId="2" borderId="30" xfId="0" applyFont="1" applyFill="1" applyBorder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0" fontId="25" fillId="0" borderId="57" xfId="0" applyFont="1" applyBorder="1" applyProtection="1">
      <protection locked="0"/>
    </xf>
    <xf numFmtId="0" fontId="25" fillId="0" borderId="50" xfId="0" applyFont="1" applyBorder="1" applyProtection="1">
      <protection locked="0"/>
    </xf>
    <xf numFmtId="0" fontId="25" fillId="0" borderId="60" xfId="0" applyFont="1" applyBorder="1" applyProtection="1">
      <protection locked="0"/>
    </xf>
    <xf numFmtId="0" fontId="3" fillId="3" borderId="3" xfId="0" applyFont="1" applyFill="1" applyBorder="1" applyProtection="1">
      <protection locked="0"/>
    </xf>
    <xf numFmtId="0" fontId="3" fillId="26" borderId="3" xfId="0" applyFont="1" applyFill="1" applyBorder="1" applyProtection="1">
      <protection locked="0"/>
    </xf>
    <xf numFmtId="172" fontId="3" fillId="0" borderId="0" xfId="0" applyNumberFormat="1" applyFont="1" applyProtection="1">
      <protection locked="0"/>
    </xf>
    <xf numFmtId="9" fontId="3" fillId="0" borderId="0" xfId="2" applyFont="1" applyBorder="1" applyAlignment="1" applyProtection="1">
      <alignment horizontal="left"/>
      <protection locked="0"/>
    </xf>
    <xf numFmtId="172" fontId="3" fillId="0" borderId="0" xfId="0" applyNumberFormat="1" applyFont="1" applyAlignment="1" applyProtection="1">
      <alignment horizontal="left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66" fontId="17" fillId="0" borderId="7" xfId="0" applyNumberFormat="1" applyFont="1" applyBorder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0" fillId="4" borderId="0" xfId="0" applyFill="1" applyAlignment="1" applyProtection="1">
      <alignment horizontal="left"/>
      <protection locked="0"/>
    </xf>
    <xf numFmtId="0" fontId="37" fillId="0" borderId="58" xfId="0" applyFont="1" applyBorder="1" applyProtection="1">
      <protection locked="0"/>
    </xf>
    <xf numFmtId="171" fontId="37" fillId="0" borderId="55" xfId="0" applyNumberFormat="1" applyFont="1" applyBorder="1" applyProtection="1">
      <protection locked="0"/>
    </xf>
    <xf numFmtId="171" fontId="37" fillId="0" borderId="61" xfId="0" applyNumberFormat="1" applyFont="1" applyBorder="1" applyProtection="1">
      <protection locked="0"/>
    </xf>
    <xf numFmtId="171" fontId="132" fillId="3" borderId="3" xfId="0" applyNumberFormat="1" applyFont="1" applyFill="1" applyBorder="1" applyProtection="1">
      <protection locked="0"/>
    </xf>
    <xf numFmtId="171" fontId="0" fillId="26" borderId="3" xfId="0" applyNumberFormat="1" applyFill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5" fillId="3" borderId="26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166" fontId="6" fillId="0" borderId="0" xfId="0" applyNumberFormat="1" applyFont="1" applyAlignment="1" applyProtection="1">
      <alignment horizontal="left"/>
      <protection locked="0"/>
    </xf>
    <xf numFmtId="166" fontId="3" fillId="0" borderId="0" xfId="0" applyNumberFormat="1" applyFont="1" applyAlignment="1" applyProtection="1">
      <alignment horizontal="left"/>
      <protection locked="0"/>
    </xf>
    <xf numFmtId="165" fontId="16" fillId="4" borderId="3" xfId="0" applyNumberFormat="1" applyFont="1" applyFill="1" applyBorder="1" applyAlignment="1" applyProtection="1">
      <alignment horizontal="center"/>
      <protection locked="0"/>
    </xf>
    <xf numFmtId="166" fontId="17" fillId="0" borderId="3" xfId="0" applyNumberFormat="1" applyFont="1" applyBorder="1" applyAlignment="1" applyProtection="1">
      <alignment horizontal="center"/>
      <protection locked="0"/>
    </xf>
    <xf numFmtId="167" fontId="8" fillId="4" borderId="0" xfId="0" applyNumberFormat="1" applyFont="1" applyFill="1" applyAlignment="1" applyProtection="1">
      <alignment horizontal="right"/>
      <protection locked="0"/>
    </xf>
    <xf numFmtId="0" fontId="37" fillId="0" borderId="59" xfId="0" applyFont="1" applyBorder="1" applyProtection="1">
      <protection locked="0"/>
    </xf>
    <xf numFmtId="171" fontId="37" fillId="0" borderId="56" xfId="0" applyNumberFormat="1" applyFont="1" applyBorder="1" applyProtection="1">
      <protection locked="0"/>
    </xf>
    <xf numFmtId="171" fontId="37" fillId="0" borderId="62" xfId="0" applyNumberFormat="1" applyFont="1" applyBorder="1" applyProtection="1">
      <protection locked="0"/>
    </xf>
    <xf numFmtId="0" fontId="3" fillId="0" borderId="31" xfId="0" applyFont="1" applyBorder="1" applyAlignment="1" applyProtection="1">
      <alignment horizontal="center"/>
      <protection locked="0"/>
    </xf>
    <xf numFmtId="169" fontId="5" fillId="0" borderId="32" xfId="0" applyNumberFormat="1" applyFont="1" applyBorder="1" applyAlignment="1" applyProtection="1">
      <alignment horizontal="center"/>
      <protection locked="0"/>
    </xf>
    <xf numFmtId="168" fontId="7" fillId="4" borderId="0" xfId="0" applyNumberFormat="1" applyFont="1" applyFill="1" applyAlignment="1" applyProtection="1">
      <alignment horizontal="right"/>
      <protection locked="0"/>
    </xf>
    <xf numFmtId="168" fontId="31" fillId="3" borderId="45" xfId="0" applyNumberFormat="1" applyFont="1" applyFill="1" applyBorder="1" applyAlignment="1" applyProtection="1">
      <alignment horizontal="left"/>
      <protection locked="0"/>
    </xf>
    <xf numFmtId="0" fontId="46" fillId="0" borderId="47" xfId="0" applyFont="1" applyBorder="1" applyAlignment="1" applyProtection="1">
      <alignment horizontal="center" vertical="top" wrapText="1"/>
      <protection locked="0"/>
    </xf>
    <xf numFmtId="0" fontId="37" fillId="0" borderId="0" xfId="0" applyFont="1" applyProtection="1">
      <protection locked="0"/>
    </xf>
    <xf numFmtId="0" fontId="34" fillId="32" borderId="3" xfId="0" applyFont="1" applyFill="1" applyBorder="1" applyAlignment="1" applyProtection="1">
      <alignment horizontal="center" vertical="top"/>
      <protection locked="0"/>
    </xf>
    <xf numFmtId="14" fontId="34" fillId="32" borderId="3" xfId="0" applyNumberFormat="1" applyFont="1" applyFill="1" applyBorder="1" applyAlignment="1" applyProtection="1">
      <alignment horizontal="center" vertical="top"/>
      <protection locked="0"/>
    </xf>
    <xf numFmtId="0" fontId="33" fillId="32" borderId="3" xfId="3" applyFont="1" applyFill="1" applyBorder="1" applyAlignment="1" applyProtection="1">
      <alignment vertical="top"/>
      <protection locked="0"/>
    </xf>
    <xf numFmtId="0" fontId="35" fillId="32" borderId="3" xfId="0" applyFont="1" applyFill="1" applyBorder="1" applyAlignment="1" applyProtection="1">
      <alignment horizontal="center" vertical="top" wrapText="1"/>
      <protection locked="0"/>
    </xf>
    <xf numFmtId="0" fontId="80" fillId="32" borderId="3" xfId="4" applyFont="1" applyFill="1" applyBorder="1" applyAlignment="1" applyProtection="1">
      <alignment horizontal="left" vertical="top" wrapText="1"/>
      <protection locked="0"/>
    </xf>
    <xf numFmtId="0" fontId="35" fillId="32" borderId="3" xfId="0" applyFont="1" applyFill="1" applyBorder="1" applyAlignment="1" applyProtection="1">
      <alignment horizontal="left" vertical="top" wrapText="1"/>
      <protection locked="0"/>
    </xf>
    <xf numFmtId="172" fontId="35" fillId="32" borderId="3" xfId="0" applyNumberFormat="1" applyFont="1" applyFill="1" applyBorder="1" applyAlignment="1" applyProtection="1">
      <alignment horizontal="left" vertical="top" wrapText="1"/>
      <protection locked="0"/>
    </xf>
    <xf numFmtId="0" fontId="34" fillId="32" borderId="3" xfId="0" applyFont="1" applyFill="1" applyBorder="1" applyAlignment="1" applyProtection="1">
      <alignment horizontal="left" vertical="top"/>
      <protection locked="0"/>
    </xf>
    <xf numFmtId="9" fontId="34" fillId="32" borderId="3" xfId="2" applyFont="1" applyFill="1" applyBorder="1" applyAlignment="1" applyProtection="1">
      <alignment horizontal="left" vertical="top"/>
      <protection locked="0"/>
    </xf>
    <xf numFmtId="0" fontId="34" fillId="32" borderId="3" xfId="0" applyFont="1" applyFill="1" applyBorder="1" applyAlignment="1" applyProtection="1">
      <alignment horizontal="left" vertical="top" wrapText="1"/>
      <protection locked="0"/>
    </xf>
    <xf numFmtId="172" fontId="34" fillId="32" borderId="3" xfId="0" applyNumberFormat="1" applyFont="1" applyFill="1" applyBorder="1" applyAlignment="1" applyProtection="1">
      <alignment horizontal="left" vertical="top" wrapText="1"/>
      <protection locked="0"/>
    </xf>
    <xf numFmtId="0" fontId="34" fillId="32" borderId="3" xfId="0" applyFont="1" applyFill="1" applyBorder="1" applyAlignment="1" applyProtection="1">
      <alignment vertical="top"/>
      <protection locked="0"/>
    </xf>
    <xf numFmtId="0" fontId="34" fillId="32" borderId="45" xfId="0" applyFont="1" applyFill="1" applyBorder="1" applyAlignment="1" applyProtection="1">
      <alignment horizontal="left" vertical="top"/>
      <protection locked="0"/>
    </xf>
    <xf numFmtId="0" fontId="34" fillId="32" borderId="45" xfId="0" applyFont="1" applyFill="1" applyBorder="1" applyAlignment="1" applyProtection="1">
      <alignment horizontal="left" vertical="center" wrapText="1"/>
      <protection locked="0"/>
    </xf>
    <xf numFmtId="0" fontId="59" fillId="32" borderId="3" xfId="0" applyFont="1" applyFill="1" applyBorder="1" applyAlignment="1" applyProtection="1">
      <alignment horizontal="left" vertical="center"/>
      <protection locked="0"/>
    </xf>
    <xf numFmtId="0" fontId="37" fillId="32" borderId="3" xfId="0" applyFont="1" applyFill="1" applyBorder="1" applyProtection="1">
      <protection locked="0"/>
    </xf>
    <xf numFmtId="0" fontId="37" fillId="0" borderId="69" xfId="0" applyFont="1" applyBorder="1" applyProtection="1">
      <protection locked="0"/>
    </xf>
    <xf numFmtId="0" fontId="97" fillId="32" borderId="3" xfId="0" applyFont="1" applyFill="1" applyBorder="1" applyAlignment="1" applyProtection="1">
      <alignment horizontal="center" vertical="center"/>
      <protection locked="0"/>
    </xf>
    <xf numFmtId="0" fontId="45" fillId="32" borderId="3" xfId="4" applyFill="1" applyBorder="1" applyAlignment="1" applyProtection="1">
      <alignment horizontal="center" wrapText="1"/>
      <protection locked="0"/>
    </xf>
    <xf numFmtId="0" fontId="45" fillId="32" borderId="3" xfId="4" applyFill="1" applyBorder="1" applyAlignment="1" applyProtection="1">
      <alignment horizontal="center" vertical="center" wrapText="1"/>
      <protection locked="0"/>
    </xf>
    <xf numFmtId="9" fontId="34" fillId="0" borderId="3" xfId="2" applyFont="1" applyBorder="1" applyAlignment="1">
      <alignment horizontal="right" vertical="center"/>
    </xf>
    <xf numFmtId="14" fontId="35" fillId="9" borderId="3" xfId="0" applyNumberFormat="1" applyFont="1" applyFill="1" applyBorder="1" applyAlignment="1">
      <alignment horizontal="left" vertical="center"/>
    </xf>
    <xf numFmtId="0" fontId="47" fillId="9" borderId="40" xfId="0" applyFont="1" applyFill="1" applyBorder="1"/>
    <xf numFmtId="0" fontId="116" fillId="9" borderId="3" xfId="0" applyFont="1" applyFill="1" applyBorder="1"/>
    <xf numFmtId="0" fontId="55" fillId="9" borderId="40" xfId="0" applyFont="1" applyFill="1" applyBorder="1" applyAlignment="1">
      <alignment wrapText="1"/>
    </xf>
    <xf numFmtId="0" fontId="115" fillId="9" borderId="40" xfId="0" applyFont="1" applyFill="1" applyBorder="1"/>
    <xf numFmtId="0" fontId="106" fillId="9" borderId="3" xfId="0" applyFont="1" applyFill="1" applyBorder="1" applyAlignment="1" applyProtection="1">
      <alignment horizontal="left"/>
      <protection locked="0"/>
    </xf>
    <xf numFmtId="0" fontId="0" fillId="32" borderId="0" xfId="0" applyFill="1" applyAlignment="1">
      <alignment horizontal="center" vertical="center"/>
    </xf>
    <xf numFmtId="0" fontId="58" fillId="26" borderId="3" xfId="0" applyFont="1" applyFill="1" applyBorder="1" applyAlignment="1">
      <alignment horizontal="center" vertical="center"/>
    </xf>
    <xf numFmtId="14" fontId="60" fillId="26" borderId="3" xfId="0" applyNumberFormat="1" applyFont="1" applyFill="1" applyBorder="1" applyAlignment="1">
      <alignment horizontal="center" vertical="center" wrapText="1"/>
    </xf>
    <xf numFmtId="9" fontId="97" fillId="26" borderId="3" xfId="2" applyFont="1" applyFill="1" applyBorder="1" applyAlignment="1">
      <alignment horizontal="center" vertical="center"/>
    </xf>
    <xf numFmtId="0" fontId="33" fillId="9" borderId="3" xfId="3" applyFont="1" applyFill="1" applyBorder="1" applyAlignment="1">
      <alignment horizontal="left" vertical="top" wrapText="1"/>
    </xf>
    <xf numFmtId="0" fontId="49" fillId="9" borderId="3" xfId="0" applyFont="1" applyFill="1" applyBorder="1"/>
    <xf numFmtId="172" fontId="35" fillId="9" borderId="3" xfId="0" applyNumberFormat="1" applyFont="1" applyFill="1" applyBorder="1" applyAlignment="1">
      <alignment horizontal="left" vertical="top" wrapText="1"/>
    </xf>
    <xf numFmtId="14" fontId="34" fillId="9" borderId="3" xfId="0" applyNumberFormat="1" applyFont="1" applyFill="1" applyBorder="1" applyAlignment="1">
      <alignment horizontal="left" vertical="top" wrapText="1"/>
    </xf>
    <xf numFmtId="0" fontId="183" fillId="28" borderId="0" xfId="0" applyFont="1" applyFill="1"/>
    <xf numFmtId="0" fontId="48" fillId="28" borderId="3" xfId="0" applyFont="1" applyFill="1" applyBorder="1" applyAlignment="1">
      <alignment wrapText="1"/>
    </xf>
    <xf numFmtId="0" fontId="45" fillId="9" borderId="0" xfId="4" applyFill="1"/>
    <xf numFmtId="0" fontId="81" fillId="9" borderId="3" xfId="0" applyFont="1" applyFill="1" applyBorder="1" applyAlignment="1">
      <alignment wrapText="1"/>
    </xf>
    <xf numFmtId="0" fontId="50" fillId="9" borderId="3" xfId="0" applyFont="1" applyFill="1" applyBorder="1" applyAlignment="1">
      <alignment horizontal="center"/>
    </xf>
    <xf numFmtId="0" fontId="27" fillId="9" borderId="6" xfId="0" applyFont="1" applyFill="1" applyBorder="1"/>
    <xf numFmtId="0" fontId="45" fillId="9" borderId="3" xfId="4" applyFill="1" applyBorder="1" applyAlignment="1">
      <alignment wrapText="1"/>
    </xf>
    <xf numFmtId="0" fontId="45" fillId="9" borderId="3" xfId="4" applyFill="1" applyBorder="1" applyAlignment="1"/>
    <xf numFmtId="0" fontId="50" fillId="9" borderId="3" xfId="0" applyFont="1" applyFill="1" applyBorder="1" applyAlignment="1">
      <alignment horizontal="right"/>
    </xf>
    <xf numFmtId="0" fontId="28" fillId="9" borderId="6" xfId="0" applyFont="1" applyFill="1" applyBorder="1"/>
    <xf numFmtId="0" fontId="177" fillId="9" borderId="7" xfId="0" applyFont="1" applyFill="1" applyBorder="1" applyAlignment="1" applyProtection="1">
      <alignment horizontal="center" vertical="center"/>
      <protection locked="0"/>
    </xf>
    <xf numFmtId="14" fontId="47" fillId="9" borderId="3" xfId="0" applyNumberFormat="1" applyFont="1" applyFill="1" applyBorder="1"/>
    <xf numFmtId="0" fontId="165" fillId="0" borderId="3" xfId="0" applyFont="1" applyBorder="1" applyAlignment="1">
      <alignment horizontal="left"/>
    </xf>
    <xf numFmtId="0" fontId="144" fillId="0" borderId="3" xfId="0" applyFont="1" applyBorder="1"/>
    <xf numFmtId="0" fontId="50" fillId="0" borderId="0" xfId="0" applyFont="1" applyAlignment="1">
      <alignment horizontal="right"/>
    </xf>
    <xf numFmtId="0" fontId="50" fillId="0" borderId="40" xfId="0" applyFont="1" applyBorder="1" applyAlignment="1">
      <alignment horizontal="left" wrapText="1"/>
    </xf>
    <xf numFmtId="0" fontId="45" fillId="39" borderId="43" xfId="4" applyFill="1" applyBorder="1"/>
    <xf numFmtId="0" fontId="187" fillId="38" borderId="46" xfId="0" applyFont="1" applyFill="1" applyBorder="1"/>
    <xf numFmtId="0" fontId="45" fillId="38" borderId="43" xfId="4" applyFill="1" applyBorder="1"/>
    <xf numFmtId="0" fontId="187" fillId="14" borderId="46" xfId="0" applyFont="1" applyFill="1" applyBorder="1"/>
    <xf numFmtId="0" fontId="189" fillId="38" borderId="0" xfId="0" applyFont="1" applyFill="1"/>
    <xf numFmtId="0" fontId="45" fillId="38" borderId="40" xfId="4" applyFill="1" applyBorder="1"/>
    <xf numFmtId="0" fontId="190" fillId="38" borderId="41" xfId="0" applyFont="1" applyFill="1" applyBorder="1"/>
    <xf numFmtId="0" fontId="190" fillId="38" borderId="40" xfId="0" applyFont="1" applyFill="1" applyBorder="1"/>
    <xf numFmtId="0" fontId="45" fillId="39" borderId="40" xfId="4" applyFill="1" applyBorder="1"/>
    <xf numFmtId="0" fontId="190" fillId="38" borderId="87" xfId="0" applyFont="1" applyFill="1" applyBorder="1"/>
    <xf numFmtId="0" fontId="190" fillId="38" borderId="43" xfId="0" applyFont="1" applyFill="1" applyBorder="1"/>
    <xf numFmtId="0" fontId="191" fillId="38" borderId="3" xfId="0" applyFont="1" applyFill="1" applyBorder="1"/>
    <xf numFmtId="0" fontId="190" fillId="38" borderId="22" xfId="0" applyFont="1" applyFill="1" applyBorder="1"/>
    <xf numFmtId="0" fontId="45" fillId="38" borderId="7" xfId="4" applyFill="1" applyBorder="1"/>
    <xf numFmtId="0" fontId="45" fillId="38" borderId="3" xfId="4" applyFill="1" applyBorder="1"/>
    <xf numFmtId="0" fontId="192" fillId="22" borderId="40" xfId="0" applyFont="1" applyFill="1" applyBorder="1"/>
    <xf numFmtId="0" fontId="192" fillId="22" borderId="3" xfId="0" applyFont="1" applyFill="1" applyBorder="1"/>
    <xf numFmtId="0" fontId="45" fillId="38" borderId="3" xfId="4" applyFill="1" applyBorder="1" applyAlignment="1">
      <alignment wrapText="1"/>
    </xf>
    <xf numFmtId="0" fontId="193" fillId="38" borderId="3" xfId="0" applyFont="1" applyFill="1" applyBorder="1"/>
    <xf numFmtId="0" fontId="194" fillId="38" borderId="40" xfId="0" applyFont="1" applyFill="1" applyBorder="1"/>
    <xf numFmtId="0" fontId="193" fillId="0" borderId="3" xfId="0" applyFont="1" applyBorder="1"/>
    <xf numFmtId="0" fontId="45" fillId="14" borderId="3" xfId="4" applyFill="1" applyBorder="1"/>
    <xf numFmtId="0" fontId="193" fillId="14" borderId="3" xfId="0" applyFont="1" applyFill="1" applyBorder="1"/>
    <xf numFmtId="0" fontId="195" fillId="14" borderId="3" xfId="0" applyFont="1" applyFill="1" applyBorder="1"/>
    <xf numFmtId="0" fontId="190" fillId="38" borderId="40" xfId="0" applyFont="1" applyFill="1" applyBorder="1" applyAlignment="1">
      <alignment horizontal="left"/>
    </xf>
    <xf numFmtId="0" fontId="190" fillId="39" borderId="40" xfId="0" applyFont="1" applyFill="1" applyBorder="1" applyAlignment="1">
      <alignment horizontal="left"/>
    </xf>
    <xf numFmtId="0" fontId="190" fillId="38" borderId="43" xfId="0" applyFont="1" applyFill="1" applyBorder="1" applyAlignment="1">
      <alignment horizontal="left"/>
    </xf>
    <xf numFmtId="0" fontId="190" fillId="38" borderId="40" xfId="0" applyFont="1" applyFill="1" applyBorder="1" applyAlignment="1">
      <alignment horizontal="left" wrapText="1"/>
    </xf>
    <xf numFmtId="0" fontId="190" fillId="38" borderId="7" xfId="0" applyFont="1" applyFill="1" applyBorder="1" applyAlignment="1">
      <alignment horizontal="left" wrapText="1"/>
    </xf>
    <xf numFmtId="0" fontId="190" fillId="38" borderId="3" xfId="0" applyFont="1" applyFill="1" applyBorder="1" applyAlignment="1">
      <alignment horizontal="left" wrapText="1"/>
    </xf>
    <xf numFmtId="0" fontId="190" fillId="38" borderId="22" xfId="0" applyFont="1" applyFill="1" applyBorder="1" applyAlignment="1">
      <alignment horizontal="left"/>
    </xf>
    <xf numFmtId="0" fontId="190" fillId="38" borderId="3" xfId="0" applyFont="1" applyFill="1" applyBorder="1" applyAlignment="1">
      <alignment horizontal="left"/>
    </xf>
    <xf numFmtId="14" fontId="190" fillId="38" borderId="22" xfId="0" applyNumberFormat="1" applyFont="1" applyFill="1" applyBorder="1" applyAlignment="1">
      <alignment horizontal="left"/>
    </xf>
    <xf numFmtId="0" fontId="45" fillId="14" borderId="40" xfId="4" applyFill="1" applyBorder="1" applyAlignment="1"/>
    <xf numFmtId="0" fontId="33" fillId="4" borderId="3" xfId="0" applyFont="1" applyFill="1" applyBorder="1" applyAlignment="1">
      <alignment horizontal="left" vertical="center"/>
    </xf>
    <xf numFmtId="0" fontId="28" fillId="4" borderId="3" xfId="0" applyFont="1" applyFill="1" applyBorder="1" applyAlignment="1">
      <alignment horizontal="left" vertical="center"/>
    </xf>
    <xf numFmtId="0" fontId="35" fillId="4" borderId="3" xfId="0" applyFont="1" applyFill="1" applyBorder="1" applyAlignment="1">
      <alignment horizontal="left" vertical="center" wrapText="1"/>
    </xf>
    <xf numFmtId="14" fontId="33" fillId="4" borderId="3" xfId="0" applyNumberFormat="1" applyFont="1" applyFill="1" applyBorder="1" applyAlignment="1">
      <alignment horizontal="left" vertical="center"/>
    </xf>
    <xf numFmtId="14" fontId="34" fillId="4" borderId="3" xfId="0" applyNumberFormat="1" applyFont="1" applyFill="1" applyBorder="1" applyAlignment="1">
      <alignment horizontal="center" vertical="center"/>
    </xf>
    <xf numFmtId="14" fontId="34" fillId="4" borderId="3" xfId="0" applyNumberFormat="1" applyFont="1" applyFill="1" applyBorder="1" applyAlignment="1">
      <alignment horizontal="right" vertical="center"/>
    </xf>
    <xf numFmtId="0" fontId="35" fillId="4" borderId="3" xfId="0" applyFont="1" applyFill="1" applyBorder="1" applyAlignment="1">
      <alignment horizontal="left" vertical="center"/>
    </xf>
    <xf numFmtId="0" fontId="34" fillId="4" borderId="3" xfId="0" applyFont="1" applyFill="1" applyBorder="1" applyAlignment="1">
      <alignment horizontal="left" vertical="center" wrapText="1"/>
    </xf>
    <xf numFmtId="9" fontId="34" fillId="4" borderId="3" xfId="2" applyFont="1" applyFill="1" applyBorder="1" applyAlignment="1">
      <alignment horizontal="right" vertical="center"/>
    </xf>
    <xf numFmtId="0" fontId="38" fillId="4" borderId="3" xfId="0" applyFont="1" applyFill="1" applyBorder="1" applyAlignment="1">
      <alignment horizontal="right" vertical="center"/>
    </xf>
    <xf numFmtId="0" fontId="33" fillId="4" borderId="3" xfId="0" applyFont="1" applyFill="1" applyBorder="1" applyAlignment="1">
      <alignment horizontal="right" vertical="center"/>
    </xf>
    <xf numFmtId="0" fontId="45" fillId="4" borderId="3" xfId="4" applyFill="1" applyBorder="1" applyAlignment="1">
      <alignment horizontal="left" vertical="center"/>
    </xf>
    <xf numFmtId="0" fontId="38" fillId="4" borderId="3" xfId="0" applyFont="1" applyFill="1" applyBorder="1" applyAlignment="1">
      <alignment vertical="center"/>
    </xf>
    <xf numFmtId="0" fontId="38" fillId="28" borderId="3" xfId="0" applyFont="1" applyFill="1" applyBorder="1" applyAlignment="1">
      <alignment horizontal="right" vertical="center"/>
    </xf>
    <xf numFmtId="0" fontId="193" fillId="28" borderId="3" xfId="0" applyFont="1" applyFill="1" applyBorder="1"/>
    <xf numFmtId="0" fontId="45" fillId="38" borderId="3" xfId="4" applyFill="1" applyBorder="1" applyAlignment="1"/>
    <xf numFmtId="0" fontId="45" fillId="5" borderId="3" xfId="4" applyFill="1" applyBorder="1"/>
    <xf numFmtId="0" fontId="193" fillId="5" borderId="3" xfId="0" applyFont="1" applyFill="1" applyBorder="1"/>
    <xf numFmtId="0" fontId="187" fillId="5" borderId="46" xfId="0" applyFont="1" applyFill="1" applyBorder="1"/>
    <xf numFmtId="0" fontId="191" fillId="5" borderId="3" xfId="0" applyFont="1" applyFill="1" applyBorder="1"/>
    <xf numFmtId="14" fontId="50" fillId="9" borderId="22" xfId="0" applyNumberFormat="1" applyFont="1" applyFill="1" applyBorder="1"/>
    <xf numFmtId="0" fontId="47" fillId="9" borderId="51" xfId="0" applyFont="1" applyFill="1" applyBorder="1" applyAlignment="1">
      <alignment wrapText="1"/>
    </xf>
    <xf numFmtId="0" fontId="48" fillId="9" borderId="8" xfId="0" applyFont="1" applyFill="1" applyBorder="1"/>
    <xf numFmtId="14" fontId="0" fillId="9" borderId="3" xfId="0" applyNumberFormat="1" applyFill="1" applyBorder="1"/>
    <xf numFmtId="14" fontId="10" fillId="9" borderId="3" xfId="0" applyNumberFormat="1" applyFont="1" applyFill="1" applyBorder="1" applyAlignment="1" applyProtection="1">
      <alignment horizontal="center" vertical="center"/>
      <protection locked="0"/>
    </xf>
    <xf numFmtId="0" fontId="34" fillId="28" borderId="3" xfId="0" applyFont="1" applyFill="1" applyBorder="1" applyAlignment="1" applyProtection="1">
      <alignment horizontal="center" vertical="top"/>
      <protection locked="0"/>
    </xf>
    <xf numFmtId="14" fontId="34" fillId="28" borderId="3" xfId="0" applyNumberFormat="1" applyFont="1" applyFill="1" applyBorder="1" applyAlignment="1" applyProtection="1">
      <alignment horizontal="center" vertical="top"/>
      <protection locked="0"/>
    </xf>
    <xf numFmtId="0" fontId="60" fillId="28" borderId="3" xfId="0" applyFont="1" applyFill="1" applyBorder="1" applyAlignment="1" applyProtection="1">
      <alignment vertical="center" wrapText="1"/>
      <protection locked="0"/>
    </xf>
    <xf numFmtId="0" fontId="60" fillId="28" borderId="3" xfId="0" applyFont="1" applyFill="1" applyBorder="1" applyAlignment="1" applyProtection="1">
      <alignment horizontal="center" vertical="center" wrapText="1"/>
      <protection locked="0"/>
    </xf>
    <xf numFmtId="0" fontId="45" fillId="28" borderId="3" xfId="4" applyFill="1" applyBorder="1" applyAlignment="1" applyProtection="1">
      <alignment horizontal="center" vertical="center" wrapText="1"/>
      <protection locked="0"/>
    </xf>
    <xf numFmtId="0" fontId="35" fillId="28" borderId="3" xfId="0" applyFont="1" applyFill="1" applyBorder="1" applyAlignment="1" applyProtection="1">
      <alignment horizontal="left" vertical="top" wrapText="1"/>
      <protection locked="0"/>
    </xf>
    <xf numFmtId="172" fontId="35" fillId="28" borderId="3" xfId="0" applyNumberFormat="1" applyFont="1" applyFill="1" applyBorder="1" applyAlignment="1" applyProtection="1">
      <alignment horizontal="left" vertical="top" wrapText="1"/>
      <protection locked="0"/>
    </xf>
    <xf numFmtId="0" fontId="34" fillId="28" borderId="3" xfId="0" applyFont="1" applyFill="1" applyBorder="1" applyAlignment="1" applyProtection="1">
      <alignment horizontal="left" vertical="top"/>
      <protection locked="0"/>
    </xf>
    <xf numFmtId="9" fontId="34" fillId="28" borderId="3" xfId="2" applyFont="1" applyFill="1" applyBorder="1" applyAlignment="1" applyProtection="1">
      <alignment horizontal="left" vertical="top"/>
      <protection locked="0"/>
    </xf>
    <xf numFmtId="0" fontId="34" fillId="28" borderId="3" xfId="0" applyFont="1" applyFill="1" applyBorder="1" applyAlignment="1" applyProtection="1">
      <alignment horizontal="center" vertical="top" wrapText="1"/>
      <protection locked="0"/>
    </xf>
    <xf numFmtId="172" fontId="34" fillId="28" borderId="3" xfId="0" applyNumberFormat="1" applyFont="1" applyFill="1" applyBorder="1" applyAlignment="1" applyProtection="1">
      <alignment horizontal="left" vertical="top" wrapText="1"/>
      <protection locked="0"/>
    </xf>
    <xf numFmtId="0" fontId="34" fillId="28" borderId="3" xfId="0" applyFont="1" applyFill="1" applyBorder="1" applyAlignment="1" applyProtection="1">
      <alignment vertical="top"/>
      <protection locked="0"/>
    </xf>
    <xf numFmtId="0" fontId="34" fillId="28" borderId="45" xfId="0" applyFont="1" applyFill="1" applyBorder="1" applyAlignment="1" applyProtection="1">
      <alignment horizontal="left" vertical="top"/>
      <protection locked="0"/>
    </xf>
    <xf numFmtId="0" fontId="34" fillId="28" borderId="45" xfId="0" applyFont="1" applyFill="1" applyBorder="1" applyAlignment="1" applyProtection="1">
      <alignment horizontal="left" vertical="center" wrapText="1"/>
      <protection locked="0"/>
    </xf>
    <xf numFmtId="0" fontId="59" fillId="28" borderId="3" xfId="0" applyFont="1" applyFill="1" applyBorder="1" applyAlignment="1" applyProtection="1">
      <alignment horizontal="left" vertical="center"/>
      <protection locked="0"/>
    </xf>
    <xf numFmtId="0" fontId="37" fillId="28" borderId="3" xfId="0" applyFont="1" applyFill="1" applyBorder="1" applyProtection="1">
      <protection locked="0"/>
    </xf>
    <xf numFmtId="0" fontId="97" fillId="28" borderId="3" xfId="0" applyFont="1" applyFill="1" applyBorder="1" applyAlignment="1" applyProtection="1">
      <alignment horizontal="center" vertical="center"/>
      <protection locked="0"/>
    </xf>
    <xf numFmtId="0" fontId="48" fillId="28" borderId="3" xfId="0" applyFont="1" applyFill="1" applyBorder="1" applyAlignment="1" applyProtection="1">
      <alignment wrapText="1"/>
      <protection locked="0"/>
    </xf>
    <xf numFmtId="0" fontId="60" fillId="28" borderId="3" xfId="0" applyFont="1" applyFill="1" applyBorder="1" applyAlignment="1">
      <alignment vertical="center" wrapText="1"/>
    </xf>
    <xf numFmtId="172" fontId="35" fillId="28" borderId="3" xfId="0" applyNumberFormat="1" applyFont="1" applyFill="1" applyBorder="1" applyAlignment="1">
      <alignment horizontal="left" vertical="top" wrapText="1"/>
    </xf>
    <xf numFmtId="172" fontId="35" fillId="28" borderId="3" xfId="0" applyNumberFormat="1" applyFont="1" applyFill="1" applyBorder="1" applyAlignment="1">
      <alignment horizontal="left" vertical="center" wrapText="1"/>
    </xf>
    <xf numFmtId="0" fontId="48" fillId="30" borderId="3" xfId="0" applyFont="1" applyFill="1" applyBorder="1" applyAlignment="1">
      <alignment wrapText="1"/>
    </xf>
    <xf numFmtId="0" fontId="197" fillId="28" borderId="3" xfId="0" applyFont="1" applyFill="1" applyBorder="1" applyAlignment="1">
      <alignment horizontal="center"/>
    </xf>
    <xf numFmtId="0" fontId="159" fillId="28" borderId="3" xfId="0" applyFont="1" applyFill="1" applyBorder="1"/>
    <xf numFmtId="14" fontId="10" fillId="28" borderId="3" xfId="0" applyNumberFormat="1" applyFont="1" applyFill="1" applyBorder="1" applyAlignment="1" applyProtection="1">
      <alignment horizontal="center" vertical="center"/>
      <protection locked="0"/>
    </xf>
    <xf numFmtId="0" fontId="52" fillId="28" borderId="3" xfId="0" applyFont="1" applyFill="1" applyBorder="1" applyAlignment="1">
      <alignment horizontal="center" wrapText="1"/>
    </xf>
    <xf numFmtId="14" fontId="27" fillId="28" borderId="10" xfId="0" applyNumberFormat="1" applyFont="1" applyFill="1" applyBorder="1" applyAlignment="1">
      <alignment wrapText="1"/>
    </xf>
    <xf numFmtId="9" fontId="27" fillId="28" borderId="22" xfId="0" applyNumberFormat="1" applyFont="1" applyFill="1" applyBorder="1" applyAlignment="1">
      <alignment horizontal="center"/>
    </xf>
    <xf numFmtId="0" fontId="27" fillId="28" borderId="22" xfId="0" applyFont="1" applyFill="1" applyBorder="1" applyAlignment="1">
      <alignment horizontal="center"/>
    </xf>
    <xf numFmtId="0" fontId="48" fillId="28" borderId="40" xfId="0" applyFont="1" applyFill="1" applyBorder="1" applyAlignment="1">
      <alignment horizontal="center" wrapText="1"/>
    </xf>
    <xf numFmtId="9" fontId="48" fillId="28" borderId="45" xfId="0" applyNumberFormat="1" applyFont="1" applyFill="1" applyBorder="1" applyAlignment="1">
      <alignment horizontal="center"/>
    </xf>
    <xf numFmtId="14" fontId="97" fillId="28" borderId="3" xfId="0" applyNumberFormat="1" applyFont="1" applyFill="1" applyBorder="1" applyAlignment="1">
      <alignment horizontal="center" vertical="center"/>
    </xf>
    <xf numFmtId="0" fontId="97" fillId="28" borderId="3" xfId="0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/>
    </xf>
    <xf numFmtId="0" fontId="48" fillId="16" borderId="3" xfId="0" applyFont="1" applyFill="1" applyBorder="1" applyAlignment="1">
      <alignment horizontal="center" wrapText="1"/>
    </xf>
    <xf numFmtId="0" fontId="60" fillId="16" borderId="3" xfId="0" applyFont="1" applyFill="1" applyBorder="1" applyAlignment="1">
      <alignment horizontal="center" vertical="center" wrapText="1"/>
    </xf>
    <xf numFmtId="0" fontId="100" fillId="28" borderId="3" xfId="0" applyFont="1" applyFill="1" applyBorder="1" applyAlignment="1">
      <alignment horizontal="center" vertical="center" wrapText="1"/>
    </xf>
    <xf numFmtId="0" fontId="11" fillId="28" borderId="3" xfId="0" applyFont="1" applyFill="1" applyBorder="1" applyAlignment="1" applyProtection="1">
      <alignment horizontal="center" wrapText="1"/>
      <protection locked="0"/>
    </xf>
    <xf numFmtId="14" fontId="100" fillId="28" borderId="3" xfId="0" applyNumberFormat="1" applyFont="1" applyFill="1" applyBorder="1" applyAlignment="1" applyProtection="1">
      <alignment horizontal="center" vertical="center"/>
      <protection locked="0"/>
    </xf>
    <xf numFmtId="0" fontId="27" fillId="28" borderId="40" xfId="0" applyFont="1" applyFill="1" applyBorder="1" applyAlignment="1">
      <alignment horizontal="center"/>
    </xf>
    <xf numFmtId="0" fontId="23" fillId="28" borderId="22" xfId="0" applyFont="1" applyFill="1" applyBorder="1" applyAlignment="1" applyProtection="1">
      <alignment horizontal="center" vertical="center"/>
      <protection locked="0"/>
    </xf>
    <xf numFmtId="0" fontId="69" fillId="28" borderId="3" xfId="0" applyFont="1" applyFill="1" applyBorder="1" applyAlignment="1">
      <alignment horizontal="center"/>
    </xf>
    <xf numFmtId="0" fontId="23" fillId="28" borderId="3" xfId="0" applyFont="1" applyFill="1" applyBorder="1" applyAlignment="1" applyProtection="1">
      <alignment horizontal="center" vertical="center"/>
      <protection locked="0"/>
    </xf>
    <xf numFmtId="0" fontId="44" fillId="28" borderId="3" xfId="0" applyFont="1" applyFill="1" applyBorder="1" applyAlignment="1">
      <alignment horizontal="center" vertical="center" wrapText="1"/>
    </xf>
    <xf numFmtId="0" fontId="21" fillId="28" borderId="3" xfId="0" applyFont="1" applyFill="1" applyBorder="1" applyAlignment="1">
      <alignment horizontal="center" vertical="top"/>
    </xf>
    <xf numFmtId="165" fontId="22" fillId="28" borderId="3" xfId="0" applyNumberFormat="1" applyFont="1" applyFill="1" applyBorder="1" applyAlignment="1" applyProtection="1">
      <alignment horizontal="center"/>
      <protection locked="0"/>
    </xf>
    <xf numFmtId="14" fontId="10" fillId="28" borderId="3" xfId="0" applyNumberFormat="1" applyFont="1" applyFill="1" applyBorder="1" applyAlignment="1" applyProtection="1">
      <alignment wrapText="1"/>
      <protection locked="0"/>
    </xf>
    <xf numFmtId="14" fontId="53" fillId="28" borderId="6" xfId="0" applyNumberFormat="1" applyFont="1" applyFill="1" applyBorder="1" applyAlignment="1">
      <alignment horizontal="center"/>
    </xf>
    <xf numFmtId="14" fontId="53" fillId="28" borderId="3" xfId="0" applyNumberFormat="1" applyFont="1" applyFill="1" applyBorder="1" applyAlignment="1">
      <alignment horizontal="center"/>
    </xf>
    <xf numFmtId="0" fontId="45" fillId="28" borderId="22" xfId="4" applyFill="1" applyBorder="1" applyAlignment="1">
      <alignment horizontal="center" wrapText="1"/>
    </xf>
    <xf numFmtId="0" fontId="0" fillId="4" borderId="40" xfId="0" applyFill="1" applyBorder="1" applyAlignment="1">
      <alignment horizontal="left"/>
    </xf>
    <xf numFmtId="0" fontId="127" fillId="9" borderId="0" xfId="0" applyFont="1" applyFill="1"/>
    <xf numFmtId="0" fontId="45" fillId="9" borderId="6" xfId="4" applyFill="1" applyBorder="1" applyAlignment="1"/>
    <xf numFmtId="17" fontId="50" fillId="9" borderId="3" xfId="0" applyNumberFormat="1" applyFont="1" applyFill="1" applyBorder="1"/>
    <xf numFmtId="0" fontId="143" fillId="28" borderId="3" xfId="0" applyFont="1" applyFill="1" applyBorder="1"/>
    <xf numFmtId="3" fontId="34" fillId="28" borderId="3" xfId="0" applyNumberFormat="1" applyFont="1" applyFill="1" applyBorder="1" applyAlignment="1">
      <alignment horizontal="left" vertical="center"/>
    </xf>
    <xf numFmtId="14" fontId="50" fillId="28" borderId="3" xfId="0" applyNumberFormat="1" applyFont="1" applyFill="1" applyBorder="1" applyAlignment="1">
      <alignment horizontal="right" wrapText="1"/>
    </xf>
    <xf numFmtId="0" fontId="172" fillId="28" borderId="3" xfId="0" applyFont="1" applyFill="1" applyBorder="1" applyAlignment="1">
      <alignment horizontal="left" vertical="center"/>
    </xf>
    <xf numFmtId="0" fontId="165" fillId="28" borderId="42" xfId="0" applyFont="1" applyFill="1" applyBorder="1"/>
    <xf numFmtId="0" fontId="6" fillId="0" borderId="0" xfId="0" applyFont="1"/>
    <xf numFmtId="0" fontId="41" fillId="0" borderId="8" xfId="0" applyFont="1" applyBorder="1" applyAlignment="1" applyProtection="1">
      <alignment vertical="top" wrapText="1"/>
      <protection locked="0"/>
    </xf>
    <xf numFmtId="0" fontId="35" fillId="0" borderId="3" xfId="0" applyFont="1" applyBorder="1" applyAlignment="1">
      <alignment vertical="center" wrapText="1"/>
    </xf>
    <xf numFmtId="0" fontId="37" fillId="0" borderId="22" xfId="0" applyFont="1" applyBorder="1" applyProtection="1">
      <protection locked="0"/>
    </xf>
    <xf numFmtId="0" fontId="198" fillId="0" borderId="3" xfId="4" applyFont="1" applyFill="1" applyBorder="1" applyAlignment="1">
      <alignment horizontal="left" vertical="center" wrapText="1"/>
    </xf>
    <xf numFmtId="0" fontId="171" fillId="0" borderId="3" xfId="0" applyFont="1" applyBorder="1" applyAlignment="1">
      <alignment horizontal="left" wrapText="1"/>
    </xf>
    <xf numFmtId="0" fontId="60" fillId="28" borderId="3" xfId="0" applyFont="1" applyFill="1" applyBorder="1"/>
    <xf numFmtId="4" fontId="180" fillId="28" borderId="3" xfId="0" applyNumberFormat="1" applyFont="1" applyFill="1" applyBorder="1"/>
    <xf numFmtId="0" fontId="198" fillId="0" borderId="3" xfId="4" applyFont="1" applyFill="1" applyBorder="1"/>
    <xf numFmtId="14" fontId="165" fillId="0" borderId="3" xfId="0" applyNumberFormat="1" applyFont="1" applyBorder="1"/>
    <xf numFmtId="2" fontId="166" fillId="0" borderId="3" xfId="0" applyNumberFormat="1" applyFont="1" applyBorder="1" applyAlignment="1">
      <alignment horizontal="right" vertical="center"/>
    </xf>
    <xf numFmtId="9" fontId="200" fillId="4" borderId="3" xfId="0" applyNumberFormat="1" applyFont="1" applyFill="1" applyBorder="1" applyAlignment="1">
      <alignment horizontal="right"/>
    </xf>
    <xf numFmtId="14" fontId="200" fillId="13" borderId="3" xfId="0" applyNumberFormat="1" applyFont="1" applyFill="1" applyBorder="1"/>
    <xf numFmtId="0" fontId="33" fillId="28" borderId="3" xfId="0" applyFont="1" applyFill="1" applyBorder="1" applyAlignment="1">
      <alignment vertical="center"/>
    </xf>
    <xf numFmtId="0" fontId="35" fillId="28" borderId="3" xfId="0" applyFont="1" applyFill="1" applyBorder="1" applyAlignment="1">
      <alignment vertical="center"/>
    </xf>
    <xf numFmtId="0" fontId="28" fillId="28" borderId="42" xfId="0" applyFont="1" applyFill="1" applyBorder="1"/>
    <xf numFmtId="0" fontId="202" fillId="0" borderId="3" xfId="0" applyFont="1" applyBorder="1" applyAlignment="1">
      <alignment horizontal="left"/>
    </xf>
    <xf numFmtId="0" fontId="200" fillId="0" borderId="3" xfId="0" applyFont="1" applyBorder="1" applyAlignment="1">
      <alignment wrapText="1"/>
    </xf>
    <xf numFmtId="0" fontId="200" fillId="0" borderId="3" xfId="0" applyFont="1" applyBorder="1"/>
    <xf numFmtId="0" fontId="200" fillId="0" borderId="3" xfId="0" applyFont="1" applyBorder="1" applyAlignment="1">
      <alignment horizontal="right"/>
    </xf>
    <xf numFmtId="0" fontId="198" fillId="0" borderId="3" xfId="4" applyFont="1" applyFill="1" applyBorder="1" applyAlignment="1"/>
    <xf numFmtId="14" fontId="200" fillId="0" borderId="3" xfId="0" applyNumberFormat="1" applyFont="1" applyBorder="1" applyAlignment="1">
      <alignment wrapText="1"/>
    </xf>
    <xf numFmtId="9" fontId="200" fillId="0" borderId="3" xfId="0" applyNumberFormat="1" applyFont="1" applyBorder="1" applyAlignment="1">
      <alignment horizontal="right"/>
    </xf>
    <xf numFmtId="0" fontId="200" fillId="0" borderId="3" xfId="0" applyFont="1" applyBorder="1" applyAlignment="1">
      <alignment horizontal="left" wrapText="1"/>
    </xf>
    <xf numFmtId="0" fontId="35" fillId="0" borderId="3" xfId="0" applyFont="1" applyBorder="1" applyAlignment="1">
      <alignment horizontal="center" vertical="center"/>
    </xf>
    <xf numFmtId="9" fontId="47" fillId="0" borderId="3" xfId="0" applyNumberFormat="1" applyFont="1" applyBorder="1" applyAlignment="1">
      <alignment horizontal="right"/>
    </xf>
    <xf numFmtId="0" fontId="47" fillId="0" borderId="3" xfId="0" applyFont="1" applyBorder="1" applyAlignment="1">
      <alignment horizontal="left" wrapText="1"/>
    </xf>
    <xf numFmtId="0" fontId="11" fillId="0" borderId="3" xfId="0" applyFont="1" applyBorder="1"/>
    <xf numFmtId="0" fontId="11" fillId="0" borderId="42" xfId="0" applyFont="1" applyBorder="1"/>
    <xf numFmtId="0" fontId="60" fillId="0" borderId="0" xfId="0" applyFont="1"/>
    <xf numFmtId="9" fontId="35" fillId="0" borderId="3" xfId="2" applyFont="1" applyFill="1" applyBorder="1" applyAlignment="1">
      <alignment horizontal="right" vertical="center"/>
    </xf>
    <xf numFmtId="0" fontId="60" fillId="0" borderId="0" xfId="0" applyFont="1" applyAlignment="1">
      <alignment horizontal="left"/>
    </xf>
    <xf numFmtId="0" fontId="50" fillId="28" borderId="3" xfId="0" applyFont="1" applyFill="1" applyBorder="1" applyAlignment="1">
      <alignment horizontal="right" wrapText="1"/>
    </xf>
    <xf numFmtId="0" fontId="27" fillId="28" borderId="42" xfId="0" applyFont="1" applyFill="1" applyBorder="1"/>
    <xf numFmtId="0" fontId="161" fillId="0" borderId="3" xfId="4" applyFont="1" applyBorder="1"/>
    <xf numFmtId="0" fontId="77" fillId="28" borderId="0" xfId="0" applyFont="1" applyFill="1" applyAlignment="1">
      <alignment horizontal="center" vertical="center"/>
    </xf>
    <xf numFmtId="0" fontId="45" fillId="0" borderId="3" xfId="4" applyFill="1" applyBorder="1" applyAlignment="1" applyProtection="1">
      <alignment horizontal="left"/>
      <protection locked="0"/>
    </xf>
    <xf numFmtId="4" fontId="177" fillId="28" borderId="3" xfId="0" applyNumberFormat="1" applyFont="1" applyFill="1" applyBorder="1" applyAlignment="1" applyProtection="1">
      <alignment horizontal="center" vertical="center"/>
      <protection locked="0"/>
    </xf>
    <xf numFmtId="0" fontId="161" fillId="28" borderId="3" xfId="4" applyFont="1" applyFill="1" applyBorder="1"/>
    <xf numFmtId="165" fontId="35" fillId="28" borderId="3" xfId="0" applyNumberFormat="1" applyFont="1" applyFill="1" applyBorder="1" applyAlignment="1" applyProtection="1">
      <alignment horizontal="left" vertical="center"/>
      <protection locked="0"/>
    </xf>
    <xf numFmtId="0" fontId="92" fillId="28" borderId="0" xfId="0" applyFont="1" applyFill="1" applyAlignment="1">
      <alignment horizontal="center" vertical="center"/>
    </xf>
    <xf numFmtId="14" fontId="35" fillId="28" borderId="3" xfId="0" applyNumberFormat="1" applyFont="1" applyFill="1" applyBorder="1" applyAlignment="1" applyProtection="1">
      <alignment vertical="center"/>
      <protection locked="0"/>
    </xf>
    <xf numFmtId="0" fontId="35" fillId="28" borderId="3" xfId="0" applyFont="1" applyFill="1" applyBorder="1" applyAlignment="1" applyProtection="1">
      <alignment horizontal="left" vertical="center"/>
      <protection locked="0"/>
    </xf>
    <xf numFmtId="165" fontId="35" fillId="0" borderId="3" xfId="0" applyNumberFormat="1" applyFont="1" applyBorder="1" applyAlignment="1" applyProtection="1">
      <alignment horizontal="left" vertical="center"/>
      <protection locked="0"/>
    </xf>
    <xf numFmtId="4" fontId="177" fillId="0" borderId="3" xfId="0" applyNumberFormat="1" applyFont="1" applyBorder="1" applyAlignment="1" applyProtection="1">
      <alignment horizontal="center" vertical="center"/>
      <protection locked="0"/>
    </xf>
    <xf numFmtId="0" fontId="45" fillId="9" borderId="44" xfId="4" applyFill="1" applyBorder="1" applyAlignment="1"/>
    <xf numFmtId="0" fontId="106" fillId="9" borderId="40" xfId="0" applyFont="1" applyFill="1" applyBorder="1" applyAlignment="1">
      <alignment horizontal="left" wrapText="1"/>
    </xf>
    <xf numFmtId="0" fontId="45" fillId="9" borderId="40" xfId="4" applyFill="1" applyBorder="1" applyAlignment="1">
      <alignment wrapText="1"/>
    </xf>
    <xf numFmtId="0" fontId="123" fillId="9" borderId="0" xfId="0" applyFont="1" applyFill="1"/>
    <xf numFmtId="3" fontId="106" fillId="9" borderId="40" xfId="0" applyNumberFormat="1" applyFont="1" applyFill="1" applyBorder="1" applyAlignment="1">
      <alignment horizontal="center" vertical="center"/>
    </xf>
    <xf numFmtId="0" fontId="211" fillId="28" borderId="0" xfId="0" applyFont="1" applyFill="1"/>
    <xf numFmtId="0" fontId="45" fillId="28" borderId="0" xfId="4" applyFill="1" applyAlignment="1">
      <alignment vertical="center"/>
    </xf>
    <xf numFmtId="0" fontId="212" fillId="28" borderId="0" xfId="0" applyFont="1" applyFill="1"/>
    <xf numFmtId="0" fontId="23" fillId="16" borderId="7" xfId="0" applyFont="1" applyFill="1" applyBorder="1" applyAlignment="1" applyProtection="1">
      <alignment horizontal="center" vertical="center"/>
      <protection locked="0"/>
    </xf>
    <xf numFmtId="0" fontId="0" fillId="28" borderId="3" xfId="0" applyFill="1" applyBorder="1" applyAlignment="1">
      <alignment horizontal="center" vertical="center"/>
    </xf>
    <xf numFmtId="0" fontId="58" fillId="28" borderId="40" xfId="0" applyFont="1" applyFill="1" applyBorder="1" applyAlignment="1">
      <alignment horizontal="center" wrapText="1"/>
    </xf>
    <xf numFmtId="0" fontId="58" fillId="28" borderId="45" xfId="0" applyFont="1" applyFill="1" applyBorder="1" applyAlignment="1">
      <alignment horizontal="left"/>
    </xf>
    <xf numFmtId="0" fontId="58" fillId="28" borderId="45" xfId="0" applyFont="1" applyFill="1" applyBorder="1" applyAlignment="1">
      <alignment wrapText="1"/>
    </xf>
    <xf numFmtId="0" fontId="58" fillId="28" borderId="3" xfId="0" applyFont="1" applyFill="1" applyBorder="1" applyAlignment="1">
      <alignment horizontal="center" wrapText="1"/>
    </xf>
    <xf numFmtId="0" fontId="214" fillId="28" borderId="7" xfId="0" applyFont="1" applyFill="1" applyBorder="1" applyAlignment="1" applyProtection="1">
      <alignment horizontal="center" vertical="center"/>
      <protection locked="0"/>
    </xf>
    <xf numFmtId="0" fontId="215" fillId="28" borderId="3" xfId="0" applyFont="1" applyFill="1" applyBorder="1" applyAlignment="1">
      <alignment horizontal="center" vertical="center"/>
    </xf>
    <xf numFmtId="0" fontId="216" fillId="28" borderId="3" xfId="0" applyFont="1" applyFill="1" applyBorder="1" applyAlignment="1">
      <alignment horizontal="center" wrapText="1"/>
    </xf>
    <xf numFmtId="0" fontId="217" fillId="28" borderId="3" xfId="4" applyFont="1" applyFill="1" applyBorder="1" applyAlignment="1">
      <alignment horizontal="center" wrapText="1"/>
    </xf>
    <xf numFmtId="14" fontId="216" fillId="28" borderId="3" xfId="0" applyNumberFormat="1" applyFont="1" applyFill="1" applyBorder="1" applyAlignment="1">
      <alignment horizontal="center" wrapText="1"/>
    </xf>
    <xf numFmtId="0" fontId="216" fillId="28" borderId="3" xfId="0" applyFont="1" applyFill="1" applyBorder="1" applyAlignment="1">
      <alignment horizontal="center"/>
    </xf>
    <xf numFmtId="9" fontId="216" fillId="28" borderId="3" xfId="0" applyNumberFormat="1" applyFont="1" applyFill="1" applyBorder="1" applyAlignment="1">
      <alignment horizontal="center"/>
    </xf>
    <xf numFmtId="0" fontId="218" fillId="28" borderId="3" xfId="0" applyFont="1" applyFill="1" applyBorder="1" applyAlignment="1">
      <alignment horizontal="center"/>
    </xf>
    <xf numFmtId="0" fontId="98" fillId="28" borderId="3" xfId="0" applyFont="1" applyFill="1" applyBorder="1" applyAlignment="1">
      <alignment horizontal="center" vertical="center"/>
    </xf>
    <xf numFmtId="0" fontId="177" fillId="28" borderId="7" xfId="0" applyFont="1" applyFill="1" applyBorder="1" applyAlignment="1" applyProtection="1">
      <alignment horizontal="center" vertical="center"/>
      <protection locked="0"/>
    </xf>
    <xf numFmtId="0" fontId="48" fillId="4" borderId="3" xfId="0" applyFont="1" applyFill="1" applyBorder="1" applyAlignment="1">
      <alignment horizontal="center" wrapText="1"/>
    </xf>
    <xf numFmtId="0" fontId="60" fillId="4" borderId="3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top"/>
    </xf>
    <xf numFmtId="0" fontId="37" fillId="0" borderId="3" xfId="0" applyFont="1" applyBorder="1" applyAlignment="1">
      <alignment horizontal="center" vertical="top"/>
    </xf>
    <xf numFmtId="0" fontId="28" fillId="9" borderId="40" xfId="0" applyFont="1" applyFill="1" applyBorder="1" applyAlignment="1">
      <alignment horizontal="center" vertical="center"/>
    </xf>
    <xf numFmtId="0" fontId="48" fillId="9" borderId="70" xfId="0" applyFont="1" applyFill="1" applyBorder="1"/>
    <xf numFmtId="0" fontId="48" fillId="9" borderId="0" xfId="0" applyFont="1" applyFill="1" applyAlignment="1">
      <alignment horizontal="left"/>
    </xf>
    <xf numFmtId="0" fontId="35" fillId="16" borderId="3" xfId="0" applyFont="1" applyFill="1" applyBorder="1" applyAlignment="1" applyProtection="1">
      <alignment horizontal="left" vertical="top" wrapText="1"/>
      <protection locked="0"/>
    </xf>
    <xf numFmtId="0" fontId="35" fillId="2" borderId="3" xfId="0" applyFont="1" applyFill="1" applyBorder="1" applyAlignment="1" applyProtection="1">
      <alignment horizontal="left" vertical="top" wrapText="1"/>
      <protection locked="0"/>
    </xf>
    <xf numFmtId="0" fontId="35" fillId="4" borderId="3" xfId="0" applyFont="1" applyFill="1" applyBorder="1" applyAlignment="1" applyProtection="1">
      <alignment horizontal="left" vertical="top" wrapText="1"/>
      <protection locked="0"/>
    </xf>
    <xf numFmtId="0" fontId="34" fillId="4" borderId="3" xfId="0" applyFont="1" applyFill="1" applyBorder="1" applyAlignment="1" applyProtection="1">
      <alignment horizontal="left" vertical="top"/>
      <protection locked="0"/>
    </xf>
    <xf numFmtId="0" fontId="34" fillId="2" borderId="3" xfId="0" applyFont="1" applyFill="1" applyBorder="1" applyAlignment="1" applyProtection="1">
      <alignment horizontal="left" vertical="top"/>
      <protection locked="0"/>
    </xf>
    <xf numFmtId="0" fontId="34" fillId="16" borderId="3" xfId="0" applyFont="1" applyFill="1" applyBorder="1" applyAlignment="1" applyProtection="1">
      <alignment horizontal="left" vertical="top"/>
      <protection locked="0"/>
    </xf>
    <xf numFmtId="0" fontId="97" fillId="16" borderId="3" xfId="0" applyFont="1" applyFill="1" applyBorder="1" applyAlignment="1">
      <alignment horizontal="center" vertical="center"/>
    </xf>
    <xf numFmtId="14" fontId="34" fillId="16" borderId="3" xfId="0" applyNumberFormat="1" applyFont="1" applyFill="1" applyBorder="1" applyAlignment="1">
      <alignment horizontal="center" vertical="top"/>
    </xf>
    <xf numFmtId="0" fontId="48" fillId="41" borderId="3" xfId="0" applyFont="1" applyFill="1" applyBorder="1" applyAlignment="1">
      <alignment wrapText="1"/>
    </xf>
    <xf numFmtId="0" fontId="48" fillId="41" borderId="3" xfId="0" applyFont="1" applyFill="1" applyBorder="1" applyAlignment="1">
      <alignment horizontal="center" wrapText="1"/>
    </xf>
    <xf numFmtId="0" fontId="45" fillId="41" borderId="3" xfId="4" applyFill="1" applyBorder="1" applyAlignment="1">
      <alignment horizontal="center" wrapText="1"/>
    </xf>
    <xf numFmtId="0" fontId="35" fillId="16" borderId="3" xfId="0" applyFont="1" applyFill="1" applyBorder="1" applyAlignment="1">
      <alignment horizontal="left" vertical="top" wrapText="1"/>
    </xf>
    <xf numFmtId="0" fontId="35" fillId="16" borderId="3" xfId="0" applyFont="1" applyFill="1" applyBorder="1" applyAlignment="1">
      <alignment horizontal="center" vertical="center" wrapText="1"/>
    </xf>
    <xf numFmtId="172" fontId="35" fillId="16" borderId="3" xfId="0" applyNumberFormat="1" applyFont="1" applyFill="1" applyBorder="1" applyAlignment="1">
      <alignment horizontal="center" vertical="center" wrapText="1"/>
    </xf>
    <xf numFmtId="0" fontId="34" fillId="16" borderId="3" xfId="0" applyFont="1" applyFill="1" applyBorder="1" applyAlignment="1">
      <alignment horizontal="center" vertical="center"/>
    </xf>
    <xf numFmtId="0" fontId="34" fillId="16" borderId="3" xfId="0" applyFont="1" applyFill="1" applyBorder="1" applyAlignment="1">
      <alignment horizontal="left" vertical="top"/>
    </xf>
    <xf numFmtId="9" fontId="34" fillId="16" borderId="3" xfId="2" applyFont="1" applyFill="1" applyBorder="1" applyAlignment="1">
      <alignment horizontal="left" vertical="center"/>
    </xf>
    <xf numFmtId="0" fontId="27" fillId="16" borderId="3" xfId="0" applyFont="1" applyFill="1" applyBorder="1" applyAlignment="1">
      <alignment horizontal="center" wrapText="1"/>
    </xf>
    <xf numFmtId="172" fontId="27" fillId="16" borderId="3" xfId="0" applyNumberFormat="1" applyFont="1" applyFill="1" applyBorder="1" applyAlignment="1">
      <alignment horizontal="center" wrapText="1"/>
    </xf>
    <xf numFmtId="0" fontId="76" fillId="16" borderId="3" xfId="0" applyFont="1" applyFill="1" applyBorder="1" applyAlignment="1" applyProtection="1">
      <alignment horizontal="left" vertical="top"/>
      <protection locked="0"/>
    </xf>
    <xf numFmtId="14" fontId="76" fillId="16" borderId="45" xfId="0" applyNumberFormat="1" applyFont="1" applyFill="1" applyBorder="1" applyAlignment="1" applyProtection="1">
      <alignment horizontal="left" vertical="center" wrapText="1"/>
      <protection locked="0"/>
    </xf>
    <xf numFmtId="0" fontId="59" fillId="16" borderId="3" xfId="0" applyFont="1" applyFill="1" applyBorder="1" applyAlignment="1">
      <alignment horizontal="left" vertical="center"/>
    </xf>
    <xf numFmtId="0" fontId="37" fillId="16" borderId="3" xfId="0" applyFont="1" applyFill="1" applyBorder="1"/>
    <xf numFmtId="0" fontId="37" fillId="16" borderId="0" xfId="0" applyFont="1" applyFill="1"/>
    <xf numFmtId="0" fontId="46" fillId="0" borderId="51" xfId="0" applyFont="1" applyBorder="1" applyAlignment="1" applyProtection="1">
      <alignment horizontal="center" vertical="center" wrapText="1"/>
      <protection locked="0"/>
    </xf>
    <xf numFmtId="3" fontId="50" fillId="28" borderId="3" xfId="0" applyNumberFormat="1" applyFont="1" applyFill="1" applyBorder="1" applyAlignment="1">
      <alignment horizontal="right"/>
    </xf>
    <xf numFmtId="0" fontId="50" fillId="28" borderId="3" xfId="0" applyFont="1" applyFill="1" applyBorder="1" applyAlignment="1">
      <alignment horizontal="left" wrapText="1"/>
    </xf>
    <xf numFmtId="4" fontId="50" fillId="28" borderId="3" xfId="0" applyNumberFormat="1" applyFont="1" applyFill="1" applyBorder="1"/>
    <xf numFmtId="14" fontId="47" fillId="28" borderId="3" xfId="0" applyNumberFormat="1" applyFont="1" applyFill="1" applyBorder="1" applyAlignment="1">
      <alignment wrapText="1"/>
    </xf>
    <xf numFmtId="0" fontId="50" fillId="28" borderId="3" xfId="0" applyFont="1" applyFill="1" applyBorder="1" applyAlignment="1">
      <alignment horizontal="right"/>
    </xf>
    <xf numFmtId="0" fontId="223" fillId="0" borderId="0" xfId="0" applyFont="1"/>
    <xf numFmtId="3" fontId="119" fillId="0" borderId="0" xfId="0" applyNumberFormat="1" applyFont="1"/>
    <xf numFmtId="0" fontId="196" fillId="28" borderId="3" xfId="0" applyFont="1" applyFill="1" applyBorder="1"/>
    <xf numFmtId="3" fontId="34" fillId="9" borderId="3" xfId="0" applyNumberFormat="1" applyFont="1" applyFill="1" applyBorder="1" applyAlignment="1">
      <alignment horizontal="left" vertical="center"/>
    </xf>
    <xf numFmtId="14" fontId="34" fillId="9" borderId="3" xfId="0" quotePrefix="1" applyNumberFormat="1" applyFont="1" applyFill="1" applyBorder="1" applyAlignment="1">
      <alignment horizontal="center" vertical="center"/>
    </xf>
    <xf numFmtId="14" fontId="97" fillId="26" borderId="3" xfId="0" applyNumberFormat="1" applyFont="1" applyFill="1" applyBorder="1" applyAlignment="1">
      <alignment horizontal="center" vertical="center"/>
    </xf>
    <xf numFmtId="0" fontId="97" fillId="26" borderId="3" xfId="0" applyFont="1" applyFill="1" applyBorder="1" applyAlignment="1">
      <alignment horizontal="center" vertical="center" wrapText="1"/>
    </xf>
    <xf numFmtId="14" fontId="97" fillId="26" borderId="3" xfId="0" applyNumberFormat="1" applyFont="1" applyFill="1" applyBorder="1" applyAlignment="1">
      <alignment horizontal="center" vertical="center" wrapText="1"/>
    </xf>
    <xf numFmtId="0" fontId="68" fillId="26" borderId="3" xfId="0" applyFont="1" applyFill="1" applyBorder="1" applyAlignment="1">
      <alignment horizontal="center" vertical="center"/>
    </xf>
    <xf numFmtId="0" fontId="68" fillId="26" borderId="45" xfId="0" applyFont="1" applyFill="1" applyBorder="1" applyAlignment="1">
      <alignment horizontal="left" vertical="center"/>
    </xf>
    <xf numFmtId="0" fontId="68" fillId="26" borderId="45" xfId="0" applyFont="1" applyFill="1" applyBorder="1" applyAlignment="1">
      <alignment vertical="center" wrapText="1"/>
    </xf>
    <xf numFmtId="0" fontId="97" fillId="26" borderId="45" xfId="0" applyFont="1" applyFill="1" applyBorder="1" applyAlignment="1">
      <alignment horizontal="left" vertical="center"/>
    </xf>
    <xf numFmtId="0" fontId="10" fillId="28" borderId="3" xfId="0" applyFont="1" applyFill="1" applyBorder="1" applyAlignment="1" applyProtection="1">
      <alignment horizontal="left"/>
      <protection locked="0"/>
    </xf>
    <xf numFmtId="1" fontId="0" fillId="28" borderId="3" xfId="0" applyNumberFormat="1" applyFill="1" applyBorder="1" applyAlignment="1">
      <alignment horizontal="center"/>
    </xf>
    <xf numFmtId="0" fontId="88" fillId="28" borderId="3" xfId="4" applyFont="1" applyFill="1" applyBorder="1" applyAlignment="1" applyProtection="1">
      <alignment horizontal="center"/>
      <protection locked="0"/>
    </xf>
    <xf numFmtId="0" fontId="224" fillId="28" borderId="3" xfId="0" applyFont="1" applyFill="1" applyBorder="1" applyAlignment="1" applyProtection="1">
      <alignment wrapText="1"/>
      <protection locked="0"/>
    </xf>
    <xf numFmtId="9" fontId="10" fillId="28" borderId="3" xfId="2" applyFont="1" applyFill="1" applyBorder="1" applyAlignment="1" applyProtection="1">
      <alignment horizontal="center"/>
      <protection locked="0"/>
    </xf>
    <xf numFmtId="14" fontId="10" fillId="28" borderId="3" xfId="0" applyNumberFormat="1" applyFont="1" applyFill="1" applyBorder="1" applyAlignment="1" applyProtection="1">
      <alignment horizontal="left" wrapText="1"/>
      <protection locked="0"/>
    </xf>
    <xf numFmtId="0" fontId="45" fillId="9" borderId="46" xfId="4" applyFill="1" applyBorder="1" applyAlignment="1"/>
    <xf numFmtId="0" fontId="45" fillId="0" borderId="46" xfId="4" applyBorder="1"/>
    <xf numFmtId="9" fontId="34" fillId="0" borderId="3" xfId="2" applyFont="1" applyBorder="1" applyAlignment="1">
      <alignment horizontal="left" vertical="center"/>
    </xf>
    <xf numFmtId="1" fontId="1" fillId="28" borderId="3" xfId="0" applyNumberFormat="1" applyFont="1" applyFill="1" applyBorder="1" applyAlignment="1">
      <alignment horizontal="center" vertical="center"/>
    </xf>
    <xf numFmtId="0" fontId="113" fillId="0" borderId="0" xfId="0" applyFont="1"/>
    <xf numFmtId="0" fontId="50" fillId="38" borderId="3" xfId="0" applyFont="1" applyFill="1" applyBorder="1"/>
    <xf numFmtId="0" fontId="50" fillId="38" borderId="45" xfId="0" applyFont="1" applyFill="1" applyBorder="1"/>
    <xf numFmtId="0" fontId="55" fillId="38" borderId="3" xfId="0" applyFont="1" applyFill="1" applyBorder="1"/>
    <xf numFmtId="0" fontId="47" fillId="38" borderId="3" xfId="0" applyFont="1" applyFill="1" applyBorder="1"/>
    <xf numFmtId="0" fontId="55" fillId="39" borderId="81" xfId="0" applyFont="1" applyFill="1" applyBorder="1"/>
    <xf numFmtId="0" fontId="47" fillId="39" borderId="88" xfId="0" applyFont="1" applyFill="1" applyBorder="1"/>
    <xf numFmtId="0" fontId="47" fillId="39" borderId="87" xfId="0" applyFont="1" applyFill="1" applyBorder="1"/>
    <xf numFmtId="0" fontId="47" fillId="38" borderId="6" xfId="0" applyFont="1" applyFill="1" applyBorder="1" applyAlignment="1">
      <alignment wrapText="1"/>
    </xf>
    <xf numFmtId="0" fontId="47" fillId="38" borderId="3" xfId="0" applyFont="1" applyFill="1" applyBorder="1" applyAlignment="1">
      <alignment wrapText="1"/>
    </xf>
    <xf numFmtId="0" fontId="47" fillId="38" borderId="45" xfId="0" applyFont="1" applyFill="1" applyBorder="1" applyAlignment="1">
      <alignment wrapText="1"/>
    </xf>
    <xf numFmtId="0" fontId="50" fillId="39" borderId="43" xfId="0" applyFont="1" applyFill="1" applyBorder="1"/>
    <xf numFmtId="0" fontId="50" fillId="39" borderId="43" xfId="0" applyFont="1" applyFill="1" applyBorder="1" applyAlignment="1">
      <alignment horizontal="left"/>
    </xf>
    <xf numFmtId="0" fontId="50" fillId="38" borderId="6" xfId="0" applyFont="1" applyFill="1" applyBorder="1"/>
    <xf numFmtId="9" fontId="50" fillId="38" borderId="3" xfId="0" applyNumberFormat="1" applyFont="1" applyFill="1" applyBorder="1"/>
    <xf numFmtId="0" fontId="50" fillId="38" borderId="3" xfId="0" applyFont="1" applyFill="1" applyBorder="1" applyAlignment="1">
      <alignment horizontal="right" wrapText="1"/>
    </xf>
    <xf numFmtId="0" fontId="50" fillId="38" borderId="3" xfId="0" applyFont="1" applyFill="1" applyBorder="1" applyAlignment="1">
      <alignment wrapText="1"/>
    </xf>
    <xf numFmtId="0" fontId="50" fillId="38" borderId="45" xfId="0" applyFont="1" applyFill="1" applyBorder="1" applyAlignment="1">
      <alignment wrapText="1"/>
    </xf>
    <xf numFmtId="0" fontId="59" fillId="38" borderId="3" xfId="0" applyFont="1" applyFill="1" applyBorder="1"/>
    <xf numFmtId="0" fontId="47" fillId="38" borderId="6" xfId="0" applyFont="1" applyFill="1" applyBorder="1"/>
    <xf numFmtId="0" fontId="55" fillId="38" borderId="43" xfId="0" applyFont="1" applyFill="1" applyBorder="1"/>
    <xf numFmtId="0" fontId="47" fillId="38" borderId="43" xfId="0" applyFont="1" applyFill="1" applyBorder="1"/>
    <xf numFmtId="0" fontId="50" fillId="38" borderId="43" xfId="0" applyFont="1" applyFill="1" applyBorder="1"/>
    <xf numFmtId="14" fontId="50" fillId="38" borderId="43" xfId="0" applyNumberFormat="1" applyFont="1" applyFill="1" applyBorder="1" applyAlignment="1">
      <alignment horizontal="left"/>
    </xf>
    <xf numFmtId="0" fontId="81" fillId="22" borderId="3" xfId="0" applyFont="1" applyFill="1" applyBorder="1" applyAlignment="1">
      <alignment horizontal="right" wrapText="1"/>
    </xf>
    <xf numFmtId="0" fontId="28" fillId="38" borderId="46" xfId="0" applyFont="1" applyFill="1" applyBorder="1"/>
    <xf numFmtId="0" fontId="48" fillId="38" borderId="53" xfId="0" applyFont="1" applyFill="1" applyBorder="1"/>
    <xf numFmtId="0" fontId="50" fillId="5" borderId="3" xfId="0" applyFont="1" applyFill="1" applyBorder="1"/>
    <xf numFmtId="0" fontId="47" fillId="5" borderId="3" xfId="0" applyFont="1" applyFill="1" applyBorder="1"/>
    <xf numFmtId="9" fontId="50" fillId="5" borderId="3" xfId="0" applyNumberFormat="1" applyFont="1" applyFill="1" applyBorder="1"/>
    <xf numFmtId="0" fontId="50" fillId="5" borderId="3" xfId="0" applyFont="1" applyFill="1" applyBorder="1" applyAlignment="1">
      <alignment wrapText="1"/>
    </xf>
    <xf numFmtId="0" fontId="28" fillId="5" borderId="46" xfId="0" applyFont="1" applyFill="1" applyBorder="1"/>
    <xf numFmtId="0" fontId="50" fillId="14" borderId="3" xfId="0" applyFont="1" applyFill="1" applyBorder="1"/>
    <xf numFmtId="0" fontId="55" fillId="14" borderId="40" xfId="0" applyFont="1" applyFill="1" applyBorder="1"/>
    <xf numFmtId="0" fontId="47" fillId="14" borderId="3" xfId="0" applyFont="1" applyFill="1" applyBorder="1"/>
    <xf numFmtId="0" fontId="47" fillId="14" borderId="40" xfId="0" applyFont="1" applyFill="1" applyBorder="1"/>
    <xf numFmtId="0" fontId="47" fillId="14" borderId="40" xfId="0" applyFont="1" applyFill="1" applyBorder="1" applyAlignment="1">
      <alignment wrapText="1"/>
    </xf>
    <xf numFmtId="9" fontId="50" fillId="14" borderId="3" xfId="0" applyNumberFormat="1" applyFont="1" applyFill="1" applyBorder="1"/>
    <xf numFmtId="0" fontId="50" fillId="14" borderId="3" xfId="0" applyFont="1" applyFill="1" applyBorder="1" applyAlignment="1">
      <alignment wrapText="1"/>
    </xf>
    <xf numFmtId="0" fontId="28" fillId="14" borderId="46" xfId="0" applyFont="1" applyFill="1" applyBorder="1"/>
    <xf numFmtId="0" fontId="55" fillId="38" borderId="7" xfId="0" applyFont="1" applyFill="1" applyBorder="1"/>
    <xf numFmtId="0" fontId="47" fillId="38" borderId="7" xfId="0" applyFont="1" applyFill="1" applyBorder="1" applyAlignment="1">
      <alignment wrapText="1"/>
    </xf>
    <xf numFmtId="0" fontId="47" fillId="38" borderId="10" xfId="0" applyFont="1" applyFill="1" applyBorder="1" applyAlignment="1">
      <alignment wrapText="1"/>
    </xf>
    <xf numFmtId="0" fontId="50" fillId="38" borderId="46" xfId="0" applyFont="1" applyFill="1" applyBorder="1"/>
    <xf numFmtId="0" fontId="50" fillId="38" borderId="22" xfId="0" applyFont="1" applyFill="1" applyBorder="1" applyAlignment="1">
      <alignment wrapText="1"/>
    </xf>
    <xf numFmtId="14" fontId="50" fillId="38" borderId="22" xfId="0" applyNumberFormat="1" applyFont="1" applyFill="1" applyBorder="1" applyAlignment="1">
      <alignment wrapText="1"/>
    </xf>
    <xf numFmtId="0" fontId="50" fillId="38" borderId="22" xfId="0" applyFont="1" applyFill="1" applyBorder="1"/>
    <xf numFmtId="0" fontId="55" fillId="38" borderId="6" xfId="0" applyFont="1" applyFill="1" applyBorder="1"/>
    <xf numFmtId="0" fontId="50" fillId="38" borderId="87" xfId="0" applyFont="1" applyFill="1" applyBorder="1"/>
    <xf numFmtId="9" fontId="50" fillId="38" borderId="45" xfId="0" applyNumberFormat="1" applyFont="1" applyFill="1" applyBorder="1"/>
    <xf numFmtId="0" fontId="50" fillId="38" borderId="40" xfId="0" applyFont="1" applyFill="1" applyBorder="1"/>
    <xf numFmtId="14" fontId="50" fillId="38" borderId="40" xfId="0" applyNumberFormat="1" applyFont="1" applyFill="1" applyBorder="1"/>
    <xf numFmtId="0" fontId="55" fillId="39" borderId="43" xfId="0" applyFont="1" applyFill="1" applyBorder="1"/>
    <xf numFmtId="0" fontId="47" fillId="39" borderId="43" xfId="0" applyFont="1" applyFill="1" applyBorder="1"/>
    <xf numFmtId="0" fontId="47" fillId="39" borderId="43" xfId="0" applyFont="1" applyFill="1" applyBorder="1" applyAlignment="1">
      <alignment wrapText="1"/>
    </xf>
    <xf numFmtId="0" fontId="50" fillId="39" borderId="63" xfId="0" applyFont="1" applyFill="1" applyBorder="1"/>
    <xf numFmtId="14" fontId="50" fillId="39" borderId="54" xfId="0" applyNumberFormat="1" applyFont="1" applyFill="1" applyBorder="1" applyAlignment="1">
      <alignment horizontal="left"/>
    </xf>
    <xf numFmtId="14" fontId="50" fillId="38" borderId="3" xfId="0" applyNumberFormat="1" applyFont="1" applyFill="1" applyBorder="1" applyAlignment="1">
      <alignment wrapText="1"/>
    </xf>
    <xf numFmtId="0" fontId="47" fillId="38" borderId="40" xfId="0" applyFont="1" applyFill="1" applyBorder="1" applyAlignment="1">
      <alignment wrapText="1"/>
    </xf>
    <xf numFmtId="0" fontId="50" fillId="38" borderId="47" xfId="0" applyFont="1" applyFill="1" applyBorder="1" applyAlignment="1">
      <alignment horizontal="left"/>
    </xf>
    <xf numFmtId="0" fontId="50" fillId="38" borderId="47" xfId="0" applyFont="1" applyFill="1" applyBorder="1"/>
    <xf numFmtId="0" fontId="28" fillId="38" borderId="53" xfId="0" applyFont="1" applyFill="1" applyBorder="1"/>
    <xf numFmtId="0" fontId="28" fillId="5" borderId="53" xfId="0" applyFont="1" applyFill="1" applyBorder="1"/>
    <xf numFmtId="0" fontId="55" fillId="38" borderId="40" xfId="0" applyFont="1" applyFill="1" applyBorder="1"/>
    <xf numFmtId="0" fontId="47" fillId="38" borderId="40" xfId="0" applyFont="1" applyFill="1" applyBorder="1"/>
    <xf numFmtId="0" fontId="50" fillId="38" borderId="87" xfId="0" applyFont="1" applyFill="1" applyBorder="1" applyAlignment="1">
      <alignment horizontal="left"/>
    </xf>
    <xf numFmtId="0" fontId="47" fillId="5" borderId="3" xfId="0" applyFont="1" applyFill="1" applyBorder="1" applyAlignment="1">
      <alignment wrapText="1"/>
    </xf>
    <xf numFmtId="0" fontId="81" fillId="22" borderId="3" xfId="0" applyFont="1" applyFill="1" applyBorder="1" applyAlignment="1">
      <alignment wrapText="1"/>
    </xf>
    <xf numFmtId="0" fontId="55" fillId="39" borderId="40" xfId="0" applyFont="1" applyFill="1" applyBorder="1"/>
    <xf numFmtId="0" fontId="47" fillId="39" borderId="40" xfId="0" applyFont="1" applyFill="1" applyBorder="1"/>
    <xf numFmtId="0" fontId="50" fillId="38" borderId="49" xfId="0" applyFont="1" applyFill="1" applyBorder="1"/>
    <xf numFmtId="0" fontId="50" fillId="38" borderId="40" xfId="0" applyFont="1" applyFill="1" applyBorder="1" applyAlignment="1">
      <alignment horizontal="left"/>
    </xf>
    <xf numFmtId="0" fontId="81" fillId="38" borderId="40" xfId="0" applyFont="1" applyFill="1" applyBorder="1"/>
    <xf numFmtId="0" fontId="50" fillId="38" borderId="44" xfId="0" applyFont="1" applyFill="1" applyBorder="1" applyAlignment="1">
      <alignment horizontal="left"/>
    </xf>
    <xf numFmtId="0" fontId="50" fillId="38" borderId="44" xfId="0" applyFont="1" applyFill="1" applyBorder="1"/>
    <xf numFmtId="0" fontId="81" fillId="39" borderId="40" xfId="0" applyFont="1" applyFill="1" applyBorder="1"/>
    <xf numFmtId="0" fontId="50" fillId="38" borderId="41" xfId="0" applyFont="1" applyFill="1" applyBorder="1"/>
    <xf numFmtId="0" fontId="50" fillId="38" borderId="7" xfId="0" applyFont="1" applyFill="1" applyBorder="1"/>
    <xf numFmtId="0" fontId="55" fillId="38" borderId="3" xfId="0" applyFont="1" applyFill="1" applyBorder="1" applyAlignment="1">
      <alignment wrapText="1"/>
    </xf>
    <xf numFmtId="0" fontId="55" fillId="38" borderId="45" xfId="0" applyFont="1" applyFill="1" applyBorder="1" applyAlignment="1">
      <alignment wrapText="1"/>
    </xf>
    <xf numFmtId="14" fontId="50" fillId="39" borderId="40" xfId="0" applyNumberFormat="1" applyFont="1" applyFill="1" applyBorder="1" applyAlignment="1">
      <alignment horizontal="left"/>
    </xf>
    <xf numFmtId="0" fontId="50" fillId="39" borderId="40" xfId="0" applyFont="1" applyFill="1" applyBorder="1"/>
    <xf numFmtId="14" fontId="50" fillId="38" borderId="40" xfId="0" applyNumberFormat="1" applyFont="1" applyFill="1" applyBorder="1" applyAlignment="1">
      <alignment horizontal="left"/>
    </xf>
    <xf numFmtId="0" fontId="47" fillId="38" borderId="7" xfId="0" applyFont="1" applyFill="1" applyBorder="1"/>
    <xf numFmtId="0" fontId="50" fillId="13" borderId="3" xfId="0" applyFont="1" applyFill="1" applyBorder="1"/>
    <xf numFmtId="0" fontId="50" fillId="13" borderId="3" xfId="0" applyFont="1" applyFill="1" applyBorder="1" applyAlignment="1">
      <alignment wrapText="1"/>
    </xf>
    <xf numFmtId="0" fontId="28" fillId="0" borderId="46" xfId="0" applyFont="1" applyBorder="1"/>
    <xf numFmtId="0" fontId="28" fillId="0" borderId="53" xfId="0" applyFont="1" applyBorder="1"/>
    <xf numFmtId="14" fontId="47" fillId="38" borderId="7" xfId="0" applyNumberFormat="1" applyFont="1" applyFill="1" applyBorder="1" applyAlignment="1">
      <alignment horizontal="left"/>
    </xf>
    <xf numFmtId="0" fontId="47" fillId="38" borderId="3" xfId="0" applyFont="1" applyFill="1" applyBorder="1" applyAlignment="1">
      <alignment horizontal="left"/>
    </xf>
    <xf numFmtId="0" fontId="50" fillId="38" borderId="3" xfId="0" applyFont="1" applyFill="1" applyBorder="1" applyAlignment="1">
      <alignment horizontal="right"/>
    </xf>
    <xf numFmtId="14" fontId="47" fillId="38" borderId="3" xfId="0" applyNumberFormat="1" applyFont="1" applyFill="1" applyBorder="1" applyAlignment="1">
      <alignment horizontal="left"/>
    </xf>
    <xf numFmtId="14" fontId="47" fillId="5" borderId="3" xfId="0" applyNumberFormat="1" applyFont="1" applyFill="1" applyBorder="1" applyAlignment="1">
      <alignment horizontal="left"/>
    </xf>
    <xf numFmtId="14" fontId="50" fillId="38" borderId="3" xfId="0" applyNumberFormat="1" applyFont="1" applyFill="1" applyBorder="1"/>
    <xf numFmtId="14" fontId="55" fillId="38" borderId="3" xfId="0" applyNumberFormat="1" applyFont="1" applyFill="1" applyBorder="1" applyAlignment="1">
      <alignment horizontal="left"/>
    </xf>
    <xf numFmtId="0" fontId="81" fillId="22" borderId="3" xfId="0" applyFont="1" applyFill="1" applyBorder="1"/>
    <xf numFmtId="14" fontId="50" fillId="38" borderId="3" xfId="0" applyNumberFormat="1" applyFont="1" applyFill="1" applyBorder="1" applyAlignment="1">
      <alignment horizontal="left"/>
    </xf>
    <xf numFmtId="0" fontId="55" fillId="38" borderId="3" xfId="0" applyFont="1" applyFill="1" applyBorder="1" applyAlignment="1">
      <alignment horizontal="left"/>
    </xf>
    <xf numFmtId="0" fontId="47" fillId="38" borderId="22" xfId="0" applyFont="1" applyFill="1" applyBorder="1"/>
    <xf numFmtId="0" fontId="47" fillId="38" borderId="3" xfId="0" applyFont="1" applyFill="1" applyBorder="1" applyAlignment="1">
      <alignment horizontal="left" wrapText="1"/>
    </xf>
    <xf numFmtId="0" fontId="55" fillId="38" borderId="6" xfId="0" applyFont="1" applyFill="1" applyBorder="1" applyAlignment="1">
      <alignment horizontal="left"/>
    </xf>
    <xf numFmtId="0" fontId="113" fillId="38" borderId="40" xfId="0" applyFont="1" applyFill="1" applyBorder="1"/>
    <xf numFmtId="14" fontId="47" fillId="38" borderId="3" xfId="0" applyNumberFormat="1" applyFont="1" applyFill="1" applyBorder="1" applyAlignment="1">
      <alignment horizontal="left" wrapText="1"/>
    </xf>
    <xf numFmtId="0" fontId="81" fillId="22" borderId="3" xfId="0" applyFont="1" applyFill="1" applyBorder="1" applyAlignment="1">
      <alignment horizontal="right"/>
    </xf>
    <xf numFmtId="3" fontId="50" fillId="38" borderId="3" xfId="0" applyNumberFormat="1" applyFont="1" applyFill="1" applyBorder="1"/>
    <xf numFmtId="0" fontId="28" fillId="39" borderId="53" xfId="0" applyFont="1" applyFill="1" applyBorder="1"/>
    <xf numFmtId="0" fontId="27" fillId="39" borderId="53" xfId="0" applyFont="1" applyFill="1" applyBorder="1"/>
    <xf numFmtId="0" fontId="27" fillId="38" borderId="53" xfId="0" applyFont="1" applyFill="1" applyBorder="1"/>
    <xf numFmtId="0" fontId="27" fillId="39" borderId="91" xfId="0" applyFont="1" applyFill="1" applyBorder="1"/>
    <xf numFmtId="0" fontId="27" fillId="38" borderId="81" xfId="0" applyFont="1" applyFill="1" applyBorder="1"/>
    <xf numFmtId="0" fontId="27" fillId="39" borderId="6" xfId="0" applyFont="1" applyFill="1" applyBorder="1"/>
    <xf numFmtId="0" fontId="27" fillId="38" borderId="46" xfId="0" applyFont="1" applyFill="1" applyBorder="1"/>
    <xf numFmtId="0" fontId="28" fillId="39" borderId="46" xfId="0" applyFont="1" applyFill="1" applyBorder="1"/>
    <xf numFmtId="0" fontId="50" fillId="38" borderId="3" xfId="0" applyFont="1" applyFill="1" applyBorder="1" applyAlignment="1">
      <alignment horizontal="left"/>
    </xf>
    <xf numFmtId="0" fontId="27" fillId="39" borderId="46" xfId="0" applyFont="1" applyFill="1" applyBorder="1"/>
    <xf numFmtId="0" fontId="47" fillId="39" borderId="40" xfId="0" applyFont="1" applyFill="1" applyBorder="1" applyAlignment="1">
      <alignment wrapText="1"/>
    </xf>
    <xf numFmtId="14" fontId="50" fillId="0" borderId="3" xfId="0" applyNumberFormat="1" applyFont="1" applyBorder="1" applyAlignment="1">
      <alignment horizontal="left"/>
    </xf>
    <xf numFmtId="0" fontId="55" fillId="14" borderId="3" xfId="0" applyFont="1" applyFill="1" applyBorder="1" applyAlignment="1">
      <alignment wrapText="1"/>
    </xf>
    <xf numFmtId="14" fontId="47" fillId="0" borderId="3" xfId="0" applyNumberFormat="1" applyFont="1" applyBorder="1" applyAlignment="1">
      <alignment horizontal="left"/>
    </xf>
    <xf numFmtId="0" fontId="27" fillId="0" borderId="46" xfId="0" applyFont="1" applyBorder="1"/>
    <xf numFmtId="0" fontId="47" fillId="38" borderId="3" xfId="0" applyFont="1" applyFill="1" applyBorder="1" applyAlignment="1">
      <alignment horizontal="right"/>
    </xf>
    <xf numFmtId="0" fontId="28" fillId="28" borderId="46" xfId="0" applyFont="1" applyFill="1" applyBorder="1"/>
    <xf numFmtId="0" fontId="27" fillId="28" borderId="46" xfId="0" applyFont="1" applyFill="1" applyBorder="1"/>
    <xf numFmtId="0" fontId="55" fillId="14" borderId="3" xfId="0" applyFont="1" applyFill="1" applyBorder="1"/>
    <xf numFmtId="0" fontId="47" fillId="14" borderId="3" xfId="0" applyFont="1" applyFill="1" applyBorder="1" applyAlignment="1">
      <alignment wrapText="1"/>
    </xf>
    <xf numFmtId="0" fontId="47" fillId="0" borderId="3" xfId="0" applyFont="1" applyBorder="1" applyAlignment="1">
      <alignment horizontal="left"/>
    </xf>
    <xf numFmtId="0" fontId="27" fillId="38" borderId="3" xfId="0" applyFont="1" applyFill="1" applyBorder="1"/>
    <xf numFmtId="14" fontId="50" fillId="5" borderId="3" xfId="0" applyNumberFormat="1" applyFont="1" applyFill="1" applyBorder="1"/>
    <xf numFmtId="0" fontId="55" fillId="5" borderId="3" xfId="0" applyFont="1" applyFill="1" applyBorder="1"/>
    <xf numFmtId="0" fontId="47" fillId="5" borderId="3" xfId="0" applyFont="1" applyFill="1" applyBorder="1" applyAlignment="1">
      <alignment horizontal="left"/>
    </xf>
    <xf numFmtId="0" fontId="27" fillId="5" borderId="3" xfId="0" applyFont="1" applyFill="1" applyBorder="1"/>
    <xf numFmtId="0" fontId="27" fillId="5" borderId="46" xfId="0" applyFont="1" applyFill="1" applyBorder="1"/>
    <xf numFmtId="14" fontId="50" fillId="14" borderId="3" xfId="0" applyNumberFormat="1" applyFont="1" applyFill="1" applyBorder="1" applyAlignment="1">
      <alignment horizontal="left"/>
    </xf>
    <xf numFmtId="0" fontId="47" fillId="14" borderId="3" xfId="0" applyFont="1" applyFill="1" applyBorder="1" applyAlignment="1">
      <alignment horizontal="right"/>
    </xf>
    <xf numFmtId="14" fontId="47" fillId="14" borderId="3" xfId="0" applyNumberFormat="1" applyFont="1" applyFill="1" applyBorder="1" applyAlignment="1">
      <alignment horizontal="left"/>
    </xf>
    <xf numFmtId="0" fontId="27" fillId="14" borderId="3" xfId="0" applyFont="1" applyFill="1" applyBorder="1"/>
    <xf numFmtId="0" fontId="48" fillId="14" borderId="46" xfId="0" applyFont="1" applyFill="1" applyBorder="1"/>
    <xf numFmtId="0" fontId="48" fillId="38" borderId="46" xfId="0" applyFont="1" applyFill="1" applyBorder="1"/>
    <xf numFmtId="0" fontId="50" fillId="14" borderId="3" xfId="0" applyFont="1" applyFill="1" applyBorder="1" applyAlignment="1">
      <alignment horizontal="left"/>
    </xf>
    <xf numFmtId="0" fontId="28" fillId="14" borderId="3" xfId="0" applyFont="1" applyFill="1" applyBorder="1"/>
    <xf numFmtId="0" fontId="50" fillId="14" borderId="22" xfId="0" applyFont="1" applyFill="1" applyBorder="1"/>
    <xf numFmtId="0" fontId="49" fillId="38" borderId="3" xfId="0" applyFont="1" applyFill="1" applyBorder="1"/>
    <xf numFmtId="0" fontId="47" fillId="14" borderId="3" xfId="0" applyFont="1" applyFill="1" applyBorder="1" applyAlignment="1">
      <alignment horizontal="left"/>
    </xf>
    <xf numFmtId="0" fontId="48" fillId="5" borderId="46" xfId="0" applyFont="1" applyFill="1" applyBorder="1"/>
    <xf numFmtId="14" fontId="50" fillId="38" borderId="3" xfId="0" applyNumberFormat="1" applyFont="1" applyFill="1" applyBorder="1" applyAlignment="1">
      <alignment horizontal="left" wrapText="1"/>
    </xf>
    <xf numFmtId="14" fontId="50" fillId="28" borderId="3" xfId="0" applyNumberFormat="1" applyFont="1" applyFill="1" applyBorder="1" applyAlignment="1">
      <alignment horizontal="left"/>
    </xf>
    <xf numFmtId="14" fontId="47" fillId="28" borderId="3" xfId="0" applyNumberFormat="1" applyFont="1" applyFill="1" applyBorder="1" applyAlignment="1">
      <alignment horizontal="left"/>
    </xf>
    <xf numFmtId="9" fontId="50" fillId="28" borderId="3" xfId="0" applyNumberFormat="1" applyFont="1" applyFill="1" applyBorder="1"/>
    <xf numFmtId="0" fontId="48" fillId="28" borderId="46" xfId="0" applyFont="1" applyFill="1" applyBorder="1"/>
    <xf numFmtId="0" fontId="28" fillId="38" borderId="46" xfId="0" applyFont="1" applyFill="1" applyBorder="1" applyAlignment="1">
      <alignment wrapText="1"/>
    </xf>
    <xf numFmtId="0" fontId="50" fillId="5" borderId="3" xfId="0" applyFont="1" applyFill="1" applyBorder="1" applyAlignment="1">
      <alignment horizontal="right"/>
    </xf>
    <xf numFmtId="0" fontId="55" fillId="28" borderId="3" xfId="0" applyFont="1" applyFill="1" applyBorder="1" applyAlignment="1">
      <alignment horizontal="left"/>
    </xf>
    <xf numFmtId="0" fontId="50" fillId="28" borderId="45" xfId="0" applyFont="1" applyFill="1" applyBorder="1"/>
    <xf numFmtId="9" fontId="50" fillId="28" borderId="6" xfId="0" applyNumberFormat="1" applyFont="1" applyFill="1" applyBorder="1"/>
    <xf numFmtId="0" fontId="55" fillId="28" borderId="3" xfId="0" applyFont="1" applyFill="1" applyBorder="1" applyAlignment="1">
      <alignment wrapText="1"/>
    </xf>
    <xf numFmtId="0" fontId="55" fillId="14" borderId="3" xfId="0" applyFont="1" applyFill="1" applyBorder="1" applyAlignment="1">
      <alignment horizontal="left"/>
    </xf>
    <xf numFmtId="0" fontId="48" fillId="14" borderId="0" xfId="0" applyFont="1" applyFill="1"/>
    <xf numFmtId="0" fontId="47" fillId="28" borderId="3" xfId="0" applyFont="1" applyFill="1" applyBorder="1" applyAlignment="1">
      <alignment horizontal="left"/>
    </xf>
    <xf numFmtId="0" fontId="50" fillId="28" borderId="3" xfId="0" applyFont="1" applyFill="1" applyBorder="1" applyAlignment="1">
      <alignment horizontal="left"/>
    </xf>
    <xf numFmtId="0" fontId="48" fillId="28" borderId="0" xfId="0" applyFont="1" applyFill="1"/>
    <xf numFmtId="14" fontId="55" fillId="28" borderId="3" xfId="0" applyNumberFormat="1" applyFont="1" applyFill="1" applyBorder="1" applyAlignment="1">
      <alignment horizontal="left"/>
    </xf>
    <xf numFmtId="0" fontId="47" fillId="4" borderId="3" xfId="0" applyFont="1" applyFill="1" applyBorder="1"/>
    <xf numFmtId="0" fontId="47" fillId="4" borderId="3" xfId="0" applyFont="1" applyFill="1" applyBorder="1" applyAlignment="1">
      <alignment horizontal="right"/>
    </xf>
    <xf numFmtId="0" fontId="118" fillId="0" borderId="3" xfId="0" applyFont="1" applyBorder="1" applyAlignment="1">
      <alignment wrapText="1"/>
    </xf>
    <xf numFmtId="14" fontId="37" fillId="0" borderId="3" xfId="0" applyNumberFormat="1" applyFont="1" applyBorder="1" applyAlignment="1" applyProtection="1">
      <alignment horizontal="left" vertical="center"/>
      <protection locked="0"/>
    </xf>
    <xf numFmtId="165" fontId="37" fillId="0" borderId="3" xfId="0" applyNumberFormat="1" applyFont="1" applyBorder="1" applyAlignment="1" applyProtection="1">
      <alignment horizontal="left" vertical="center"/>
      <protection locked="0"/>
    </xf>
    <xf numFmtId="0" fontId="38" fillId="0" borderId="3" xfId="0" applyFont="1" applyBorder="1" applyAlignment="1" applyProtection="1">
      <alignment horizontal="left" vertical="center"/>
      <protection locked="0"/>
    </xf>
    <xf numFmtId="0" fontId="47" fillId="28" borderId="3" xfId="0" applyFont="1" applyFill="1" applyBorder="1" applyAlignment="1">
      <alignment horizontal="right"/>
    </xf>
    <xf numFmtId="0" fontId="35" fillId="28" borderId="3" xfId="0" applyFont="1" applyFill="1" applyBorder="1" applyAlignment="1" applyProtection="1">
      <alignment horizontal="center" vertical="center"/>
      <protection locked="0"/>
    </xf>
    <xf numFmtId="14" fontId="48" fillId="9" borderId="6" xfId="0" applyNumberFormat="1" applyFont="1" applyFill="1" applyBorder="1"/>
    <xf numFmtId="14" fontId="48" fillId="9" borderId="46" xfId="0" applyNumberFormat="1" applyFont="1" applyFill="1" applyBorder="1"/>
    <xf numFmtId="14" fontId="48" fillId="0" borderId="3" xfId="0" applyNumberFormat="1" applyFont="1" applyBorder="1"/>
    <xf numFmtId="14" fontId="48" fillId="0" borderId="7" xfId="0" applyNumberFormat="1" applyFont="1" applyBorder="1"/>
    <xf numFmtId="14" fontId="48" fillId="9" borderId="7" xfId="0" applyNumberFormat="1" applyFont="1" applyFill="1" applyBorder="1"/>
    <xf numFmtId="0" fontId="48" fillId="4" borderId="7" xfId="0" applyFont="1" applyFill="1" applyBorder="1"/>
    <xf numFmtId="0" fontId="48" fillId="4" borderId="46" xfId="0" applyFont="1" applyFill="1" applyBorder="1"/>
    <xf numFmtId="0" fontId="47" fillId="28" borderId="40" xfId="0" applyFont="1" applyFill="1" applyBorder="1"/>
    <xf numFmtId="0" fontId="45" fillId="28" borderId="40" xfId="4" applyFill="1" applyBorder="1"/>
    <xf numFmtId="0" fontId="55" fillId="28" borderId="43" xfId="0" applyFont="1" applyFill="1" applyBorder="1"/>
    <xf numFmtId="0" fontId="47" fillId="28" borderId="43" xfId="0" applyFont="1" applyFill="1" applyBorder="1"/>
    <xf numFmtId="0" fontId="45" fillId="28" borderId="43" xfId="4" applyFill="1" applyBorder="1"/>
    <xf numFmtId="14" fontId="34" fillId="28" borderId="3" xfId="0" applyNumberFormat="1" applyFont="1" applyFill="1" applyBorder="1" applyAlignment="1">
      <alignment horizontal="right" vertical="center"/>
    </xf>
    <xf numFmtId="14" fontId="35" fillId="4" borderId="3" xfId="0" applyNumberFormat="1" applyFont="1" applyFill="1" applyBorder="1" applyAlignment="1">
      <alignment horizontal="left" vertical="center"/>
    </xf>
    <xf numFmtId="14" fontId="66" fillId="9" borderId="3" xfId="0" applyNumberFormat="1" applyFont="1" applyFill="1" applyBorder="1" applyAlignment="1">
      <alignment horizontal="left" vertical="center"/>
    </xf>
    <xf numFmtId="9" fontId="66" fillId="9" borderId="3" xfId="2" applyFont="1" applyFill="1" applyBorder="1" applyAlignment="1">
      <alignment horizontal="left" vertical="center"/>
    </xf>
    <xf numFmtId="0" fontId="45" fillId="9" borderId="3" xfId="4" quotePrefix="1" applyFill="1" applyBorder="1" applyAlignment="1">
      <alignment horizontal="left" vertical="center" wrapText="1"/>
    </xf>
    <xf numFmtId="0" fontId="74" fillId="9" borderId="3" xfId="0" applyFont="1" applyFill="1" applyBorder="1" applyAlignment="1">
      <alignment wrapText="1"/>
    </xf>
    <xf numFmtId="0" fontId="227" fillId="9" borderId="3" xfId="0" applyFont="1" applyFill="1" applyBorder="1" applyAlignment="1">
      <alignment horizontal="left" vertical="center" wrapText="1"/>
    </xf>
    <xf numFmtId="0" fontId="40" fillId="9" borderId="3" xfId="0" applyFont="1" applyFill="1" applyBorder="1" applyAlignment="1">
      <alignment wrapText="1"/>
    </xf>
    <xf numFmtId="0" fontId="40" fillId="9" borderId="6" xfId="0" applyFont="1" applyFill="1" applyBorder="1"/>
    <xf numFmtId="14" fontId="3" fillId="0" borderId="3" xfId="0" applyNumberFormat="1" applyFont="1" applyBorder="1"/>
    <xf numFmtId="0" fontId="227" fillId="9" borderId="3" xfId="0" applyFont="1" applyFill="1" applyBorder="1" applyAlignment="1">
      <alignment horizontal="left" vertical="center"/>
    </xf>
    <xf numFmtId="0" fontId="74" fillId="9" borderId="6" xfId="0" applyFont="1" applyFill="1" applyBorder="1" applyAlignment="1">
      <alignment wrapText="1"/>
    </xf>
    <xf numFmtId="0" fontId="228" fillId="9" borderId="6" xfId="0" applyFont="1" applyFill="1" applyBorder="1"/>
    <xf numFmtId="0" fontId="40" fillId="9" borderId="3" xfId="0" applyFont="1" applyFill="1" applyBorder="1"/>
    <xf numFmtId="172" fontId="227" fillId="9" borderId="3" xfId="0" applyNumberFormat="1" applyFont="1" applyFill="1" applyBorder="1" applyAlignment="1">
      <alignment horizontal="left" vertical="center"/>
    </xf>
    <xf numFmtId="0" fontId="66" fillId="9" borderId="3" xfId="0" applyFont="1" applyFill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100" fillId="0" borderId="22" xfId="0" applyFont="1" applyBorder="1" applyAlignment="1">
      <alignment horizontal="center" vertical="center"/>
    </xf>
    <xf numFmtId="0" fontId="106" fillId="9" borderId="40" xfId="0" applyFont="1" applyFill="1" applyBorder="1" applyAlignment="1">
      <alignment horizontal="left" vertical="center"/>
    </xf>
    <xf numFmtId="0" fontId="106" fillId="9" borderId="41" xfId="0" applyFont="1" applyFill="1" applyBorder="1" applyAlignment="1">
      <alignment horizontal="center" vertical="center"/>
    </xf>
    <xf numFmtId="0" fontId="106" fillId="9" borderId="3" xfId="0" applyFont="1" applyFill="1" applyBorder="1" applyAlignment="1">
      <alignment horizontal="left" vertical="center"/>
    </xf>
    <xf numFmtId="0" fontId="106" fillId="9" borderId="42" xfId="0" applyFont="1" applyFill="1" applyBorder="1" applyAlignment="1">
      <alignment horizontal="left" vertical="center" wrapText="1"/>
    </xf>
    <xf numFmtId="170" fontId="106" fillId="9" borderId="40" xfId="0" applyNumberFormat="1" applyFont="1" applyFill="1" applyBorder="1" applyAlignment="1">
      <alignment horizontal="left" vertical="center"/>
    </xf>
    <xf numFmtId="4" fontId="106" fillId="9" borderId="40" xfId="0" applyNumberFormat="1" applyFont="1" applyFill="1" applyBorder="1" applyAlignment="1">
      <alignment horizontal="left" vertical="center"/>
    </xf>
    <xf numFmtId="9" fontId="106" fillId="9" borderId="40" xfId="2" applyFont="1" applyFill="1" applyBorder="1" applyAlignment="1">
      <alignment horizontal="center" vertical="center"/>
    </xf>
    <xf numFmtId="0" fontId="52" fillId="9" borderId="0" xfId="0" applyFont="1" applyFill="1"/>
    <xf numFmtId="0" fontId="47" fillId="0" borderId="7" xfId="0" applyFont="1" applyBorder="1" applyAlignment="1">
      <alignment wrapText="1"/>
    </xf>
    <xf numFmtId="0" fontId="45" fillId="0" borderId="46" xfId="4" applyFill="1" applyBorder="1" applyAlignment="1"/>
    <xf numFmtId="0" fontId="106" fillId="9" borderId="3" xfId="0" applyFont="1" applyFill="1" applyBorder="1" applyAlignment="1">
      <alignment horizontal="left" wrapText="1"/>
    </xf>
    <xf numFmtId="1" fontId="0" fillId="9" borderId="0" xfId="0" applyNumberFormat="1" applyFill="1" applyAlignment="1">
      <alignment horizontal="center" vertical="center"/>
    </xf>
    <xf numFmtId="0" fontId="60" fillId="0" borderId="40" xfId="0" applyFont="1" applyBorder="1" applyAlignment="1">
      <alignment horizontal="center" vertical="center" wrapText="1"/>
    </xf>
    <xf numFmtId="0" fontId="231" fillId="26" borderId="3" xfId="0" applyFont="1" applyFill="1" applyBorder="1" applyAlignment="1">
      <alignment horizontal="center" wrapText="1"/>
    </xf>
    <xf numFmtId="0" fontId="232" fillId="26" borderId="3" xfId="0" applyFont="1" applyFill="1" applyBorder="1" applyAlignment="1">
      <alignment horizontal="center" vertical="center"/>
    </xf>
    <xf numFmtId="14" fontId="231" fillId="26" borderId="3" xfId="0" applyNumberFormat="1" applyFont="1" applyFill="1" applyBorder="1" applyAlignment="1">
      <alignment horizontal="center"/>
    </xf>
    <xf numFmtId="0" fontId="40" fillId="26" borderId="3" xfId="0" applyFont="1" applyFill="1" applyBorder="1" applyAlignment="1">
      <alignment horizontal="center" wrapText="1"/>
    </xf>
    <xf numFmtId="0" fontId="230" fillId="26" borderId="3" xfId="4" applyFont="1" applyFill="1" applyBorder="1" applyAlignment="1">
      <alignment horizontal="center" wrapText="1"/>
    </xf>
    <xf numFmtId="14" fontId="40" fillId="26" borderId="3" xfId="0" applyNumberFormat="1" applyFont="1" applyFill="1" applyBorder="1" applyAlignment="1">
      <alignment horizontal="center" wrapText="1"/>
    </xf>
    <xf numFmtId="0" fontId="231" fillId="26" borderId="3" xfId="0" applyFont="1" applyFill="1" applyBorder="1" applyAlignment="1">
      <alignment horizontal="center"/>
    </xf>
    <xf numFmtId="9" fontId="231" fillId="26" borderId="3" xfId="0" applyNumberFormat="1" applyFont="1" applyFill="1" applyBorder="1" applyAlignment="1">
      <alignment horizontal="center"/>
    </xf>
    <xf numFmtId="14" fontId="231" fillId="26" borderId="3" xfId="0" applyNumberFormat="1" applyFont="1" applyFill="1" applyBorder="1" applyAlignment="1">
      <alignment horizontal="center" wrapText="1"/>
    </xf>
    <xf numFmtId="0" fontId="231" fillId="26" borderId="45" xfId="0" applyFont="1" applyFill="1" applyBorder="1" applyAlignment="1">
      <alignment horizontal="left" wrapText="1"/>
    </xf>
    <xf numFmtId="0" fontId="231" fillId="26" borderId="45" xfId="0" applyFont="1" applyFill="1" applyBorder="1" applyAlignment="1">
      <alignment wrapText="1"/>
    </xf>
    <xf numFmtId="0" fontId="6" fillId="26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1" fillId="28" borderId="3" xfId="0" applyFont="1" applyFill="1" applyBorder="1" applyAlignment="1">
      <alignment horizontal="right"/>
    </xf>
    <xf numFmtId="0" fontId="81" fillId="28" borderId="3" xfId="0" applyFont="1" applyFill="1" applyBorder="1"/>
    <xf numFmtId="0" fontId="233" fillId="28" borderId="3" xfId="0" applyFont="1" applyFill="1" applyBorder="1" applyAlignment="1">
      <alignment horizontal="right"/>
    </xf>
    <xf numFmtId="0" fontId="234" fillId="28" borderId="3" xfId="0" applyFont="1" applyFill="1" applyBorder="1" applyAlignment="1">
      <alignment horizontal="left" vertical="center"/>
    </xf>
    <xf numFmtId="0" fontId="34" fillId="42" borderId="3" xfId="0" applyFont="1" applyFill="1" applyBorder="1" applyAlignment="1">
      <alignment horizontal="right" vertical="center"/>
    </xf>
    <xf numFmtId="14" fontId="34" fillId="42" borderId="3" xfId="0" applyNumberFormat="1" applyFont="1" applyFill="1" applyBorder="1" applyAlignment="1">
      <alignment horizontal="left" vertical="center"/>
    </xf>
    <xf numFmtId="0" fontId="33" fillId="42" borderId="3" xfId="0" applyFont="1" applyFill="1" applyBorder="1" applyAlignment="1">
      <alignment horizontal="left" vertical="center"/>
    </xf>
    <xf numFmtId="0" fontId="47" fillId="42" borderId="3" xfId="0" applyFont="1" applyFill="1" applyBorder="1"/>
    <xf numFmtId="0" fontId="47" fillId="42" borderId="3" xfId="0" applyFont="1" applyFill="1" applyBorder="1" applyAlignment="1">
      <alignment horizontal="right"/>
    </xf>
    <xf numFmtId="0" fontId="45" fillId="42" borderId="3" xfId="4" applyFill="1" applyBorder="1"/>
    <xf numFmtId="0" fontId="33" fillId="42" borderId="3" xfId="0" applyFont="1" applyFill="1" applyBorder="1" applyAlignment="1">
      <alignment horizontal="left" vertical="center" wrapText="1"/>
    </xf>
    <xf numFmtId="14" fontId="33" fillId="42" borderId="3" xfId="0" applyNumberFormat="1" applyFont="1" applyFill="1" applyBorder="1" applyAlignment="1">
      <alignment horizontal="left" vertical="center"/>
    </xf>
    <xf numFmtId="0" fontId="34" fillId="42" borderId="3" xfId="0" applyFont="1" applyFill="1" applyBorder="1" applyAlignment="1">
      <alignment horizontal="left" vertical="center"/>
    </xf>
    <xf numFmtId="9" fontId="34" fillId="42" borderId="3" xfId="2" applyFont="1" applyFill="1" applyBorder="1" applyAlignment="1">
      <alignment horizontal="right" vertical="center"/>
    </xf>
    <xf numFmtId="0" fontId="34" fillId="42" borderId="3" xfId="0" applyFont="1" applyFill="1" applyBorder="1" applyAlignment="1">
      <alignment horizontal="center" vertical="center"/>
    </xf>
    <xf numFmtId="0" fontId="38" fillId="42" borderId="3" xfId="0" applyFont="1" applyFill="1" applyBorder="1" applyAlignment="1">
      <alignment horizontal="right" vertical="center"/>
    </xf>
    <xf numFmtId="0" fontId="28" fillId="42" borderId="3" xfId="0" applyFont="1" applyFill="1" applyBorder="1" applyAlignment="1">
      <alignment horizontal="left" vertical="center"/>
    </xf>
    <xf numFmtId="0" fontId="0" fillId="42" borderId="0" xfId="0" applyFill="1"/>
    <xf numFmtId="0" fontId="34" fillId="42" borderId="3" xfId="0" applyFont="1" applyFill="1" applyBorder="1" applyAlignment="1">
      <alignment vertical="center"/>
    </xf>
    <xf numFmtId="14" fontId="34" fillId="42" borderId="3" xfId="0" applyNumberFormat="1" applyFont="1" applyFill="1" applyBorder="1" applyAlignment="1">
      <alignment horizontal="center" vertical="center"/>
    </xf>
    <xf numFmtId="14" fontId="34" fillId="42" borderId="3" xfId="0" applyNumberFormat="1" applyFont="1" applyFill="1" applyBorder="1" applyAlignment="1">
      <alignment horizontal="right" vertical="center"/>
    </xf>
    <xf numFmtId="0" fontId="35" fillId="42" borderId="3" xfId="0" applyFont="1" applyFill="1" applyBorder="1" applyAlignment="1">
      <alignment horizontal="left" vertical="center" wrapText="1"/>
    </xf>
    <xf numFmtId="0" fontId="35" fillId="42" borderId="3" xfId="0" applyFont="1" applyFill="1" applyBorder="1" applyAlignment="1">
      <alignment horizontal="left" vertical="center"/>
    </xf>
    <xf numFmtId="0" fontId="47" fillId="9" borderId="7" xfId="0" applyFont="1" applyFill="1" applyBorder="1"/>
    <xf numFmtId="0" fontId="47" fillId="9" borderId="46" xfId="0" applyFont="1" applyFill="1" applyBorder="1"/>
    <xf numFmtId="172" fontId="47" fillId="9" borderId="3" xfId="0" applyNumberFormat="1" applyFont="1" applyFill="1" applyBorder="1"/>
    <xf numFmtId="0" fontId="177" fillId="4" borderId="7" xfId="0" applyFont="1" applyFill="1" applyBorder="1" applyAlignment="1" applyProtection="1">
      <alignment horizontal="center" vertical="center"/>
      <protection locked="0"/>
    </xf>
    <xf numFmtId="14" fontId="0" fillId="4" borderId="3" xfId="0" applyNumberFormat="1" applyFill="1" applyBorder="1"/>
    <xf numFmtId="0" fontId="45" fillId="0" borderId="46" xfId="4" applyFill="1" applyBorder="1" applyAlignment="1">
      <alignment wrapText="1"/>
    </xf>
    <xf numFmtId="0" fontId="34" fillId="4" borderId="3" xfId="0" applyFont="1" applyFill="1" applyBorder="1" applyAlignment="1" applyProtection="1">
      <alignment vertical="top"/>
      <protection locked="0"/>
    </xf>
    <xf numFmtId="0" fontId="34" fillId="2" borderId="3" xfId="0" applyFont="1" applyFill="1" applyBorder="1" applyAlignment="1" applyProtection="1">
      <alignment vertical="top"/>
      <protection locked="0"/>
    </xf>
    <xf numFmtId="0" fontId="34" fillId="16" borderId="3" xfId="0" applyFont="1" applyFill="1" applyBorder="1" applyAlignment="1" applyProtection="1">
      <alignment vertical="top"/>
      <protection locked="0"/>
    </xf>
    <xf numFmtId="0" fontId="23" fillId="4" borderId="7" xfId="0" applyFont="1" applyFill="1" applyBorder="1" applyAlignment="1" applyProtection="1">
      <alignment horizontal="center" vertical="center"/>
      <protection locked="0"/>
    </xf>
    <xf numFmtId="0" fontId="235" fillId="4" borderId="7" xfId="0" applyFont="1" applyFill="1" applyBorder="1" applyAlignment="1" applyProtection="1">
      <alignment horizontal="center" vertical="center"/>
      <protection locked="0"/>
    </xf>
    <xf numFmtId="0" fontId="235" fillId="16" borderId="7" xfId="0" applyFont="1" applyFill="1" applyBorder="1" applyAlignment="1" applyProtection="1">
      <alignment horizontal="center" vertical="center"/>
      <protection locked="0"/>
    </xf>
    <xf numFmtId="0" fontId="235" fillId="2" borderId="7" xfId="0" applyFont="1" applyFill="1" applyBorder="1" applyAlignment="1" applyProtection="1">
      <alignment horizontal="center" vertical="center"/>
      <protection locked="0"/>
    </xf>
    <xf numFmtId="0" fontId="34" fillId="28" borderId="3" xfId="0" applyFont="1" applyFill="1" applyBorder="1" applyAlignment="1" applyProtection="1">
      <alignment horizontal="left" vertical="top" wrapText="1"/>
      <protection locked="0"/>
    </xf>
    <xf numFmtId="0" fontId="37" fillId="28" borderId="69" xfId="0" applyFont="1" applyFill="1" applyBorder="1" applyProtection="1">
      <protection locked="0"/>
    </xf>
    <xf numFmtId="171" fontId="37" fillId="28" borderId="56" xfId="0" applyNumberFormat="1" applyFont="1" applyFill="1" applyBorder="1" applyProtection="1">
      <protection locked="0"/>
    </xf>
    <xf numFmtId="171" fontId="37" fillId="28" borderId="62" xfId="0" applyNumberFormat="1" applyFont="1" applyFill="1" applyBorder="1" applyProtection="1">
      <protection locked="0"/>
    </xf>
    <xf numFmtId="171" fontId="132" fillId="28" borderId="3" xfId="0" applyNumberFormat="1" applyFont="1" applyFill="1" applyBorder="1" applyProtection="1">
      <protection locked="0"/>
    </xf>
    <xf numFmtId="171" fontId="0" fillId="28" borderId="3" xfId="0" applyNumberFormat="1" applyFill="1" applyBorder="1" applyProtection="1">
      <protection locked="0"/>
    </xf>
    <xf numFmtId="0" fontId="37" fillId="28" borderId="0" xfId="0" applyFont="1" applyFill="1" applyProtection="1">
      <protection locked="0"/>
    </xf>
    <xf numFmtId="0" fontId="123" fillId="28" borderId="3" xfId="0" applyFont="1" applyFill="1" applyBorder="1" applyAlignment="1">
      <alignment horizontal="center"/>
    </xf>
    <xf numFmtId="0" fontId="45" fillId="13" borderId="3" xfId="4" applyFill="1" applyBorder="1" applyAlignment="1">
      <alignment horizontal="center" vertical="top" wrapText="1"/>
    </xf>
    <xf numFmtId="0" fontId="45" fillId="9" borderId="46" xfId="4" applyFill="1" applyBorder="1"/>
    <xf numFmtId="0" fontId="233" fillId="28" borderId="3" xfId="0" applyFont="1" applyFill="1" applyBorder="1"/>
    <xf numFmtId="0" fontId="50" fillId="28" borderId="7" xfId="0" applyFont="1" applyFill="1" applyBorder="1"/>
    <xf numFmtId="0" fontId="33" fillId="4" borderId="3" xfId="0" applyFont="1" applyFill="1" applyBorder="1" applyAlignment="1">
      <alignment horizontal="left"/>
    </xf>
    <xf numFmtId="0" fontId="0" fillId="0" borderId="22" xfId="0" applyBorder="1"/>
    <xf numFmtId="0" fontId="45" fillId="4" borderId="3" xfId="4" applyFill="1" applyBorder="1" applyAlignment="1">
      <alignment horizontal="center" vertical="center" wrapText="1"/>
    </xf>
    <xf numFmtId="0" fontId="97" fillId="26" borderId="45" xfId="0" applyFont="1" applyFill="1" applyBorder="1" applyAlignment="1">
      <alignment vertical="center" wrapText="1"/>
    </xf>
    <xf numFmtId="0" fontId="0" fillId="26" borderId="3" xfId="0" applyFill="1" applyBorder="1" applyAlignment="1">
      <alignment horizontal="center"/>
    </xf>
    <xf numFmtId="0" fontId="100" fillId="26" borderId="3" xfId="0" applyFont="1" applyFill="1" applyBorder="1" applyAlignment="1" applyProtection="1">
      <alignment horizontal="center"/>
      <protection locked="0"/>
    </xf>
    <xf numFmtId="0" fontId="45" fillId="26" borderId="3" xfId="4" applyFill="1" applyBorder="1" applyAlignment="1" applyProtection="1">
      <alignment horizontal="center"/>
      <protection locked="0"/>
    </xf>
    <xf numFmtId="0" fontId="100" fillId="26" borderId="3" xfId="0" applyFont="1" applyFill="1" applyBorder="1" applyAlignment="1" applyProtection="1">
      <alignment horizontal="center" wrapText="1"/>
      <protection locked="0"/>
    </xf>
    <xf numFmtId="14" fontId="100" fillId="26" borderId="3" xfId="0" applyNumberFormat="1" applyFont="1" applyFill="1" applyBorder="1" applyAlignment="1">
      <alignment horizontal="center" vertical="center" wrapText="1"/>
    </xf>
    <xf numFmtId="0" fontId="97" fillId="26" borderId="3" xfId="0" applyFont="1" applyFill="1" applyBorder="1" applyAlignment="1">
      <alignment horizontal="center"/>
    </xf>
    <xf numFmtId="0" fontId="102" fillId="26" borderId="3" xfId="0" applyFont="1" applyFill="1" applyBorder="1" applyAlignment="1">
      <alignment horizontal="center"/>
    </xf>
    <xf numFmtId="0" fontId="97" fillId="26" borderId="3" xfId="0" applyFont="1" applyFill="1" applyBorder="1" applyAlignment="1">
      <alignment horizontal="left" vertical="center"/>
    </xf>
    <xf numFmtId="0" fontId="97" fillId="4" borderId="3" xfId="0" applyFont="1" applyFill="1" applyBorder="1" applyAlignment="1">
      <alignment horizontal="center" vertical="center"/>
    </xf>
    <xf numFmtId="14" fontId="100" fillId="16" borderId="3" xfId="0" applyNumberFormat="1" applyFont="1" applyFill="1" applyBorder="1" applyAlignment="1">
      <alignment horizontal="center" vertical="center" wrapText="1"/>
    </xf>
    <xf numFmtId="0" fontId="97" fillId="16" borderId="3" xfId="0" applyFont="1" applyFill="1" applyBorder="1" applyAlignment="1">
      <alignment horizontal="center"/>
    </xf>
    <xf numFmtId="0" fontId="100" fillId="4" borderId="3" xfId="0" applyFont="1" applyFill="1" applyBorder="1" applyAlignment="1" applyProtection="1">
      <alignment horizontal="center"/>
      <protection locked="0"/>
    </xf>
    <xf numFmtId="0" fontId="34" fillId="28" borderId="3" xfId="0" applyFont="1" applyFill="1" applyBorder="1" applyAlignment="1">
      <alignment horizontal="left"/>
    </xf>
    <xf numFmtId="0" fontId="34" fillId="26" borderId="45" xfId="0" applyFont="1" applyFill="1" applyBorder="1" applyAlignment="1">
      <alignment horizontal="left" vertical="top" wrapText="1"/>
    </xf>
    <xf numFmtId="0" fontId="34" fillId="26" borderId="45" xfId="0" applyFont="1" applyFill="1" applyBorder="1" applyAlignment="1">
      <alignment horizontal="left" vertical="center" wrapText="1"/>
    </xf>
    <xf numFmtId="14" fontId="68" fillId="26" borderId="3" xfId="0" applyNumberFormat="1" applyFont="1" applyFill="1" applyBorder="1" applyAlignment="1">
      <alignment horizontal="center" vertical="center"/>
    </xf>
    <xf numFmtId="14" fontId="68" fillId="26" borderId="45" xfId="0" applyNumberFormat="1" applyFont="1" applyFill="1" applyBorder="1" applyAlignment="1">
      <alignment vertical="center" wrapText="1"/>
    </xf>
    <xf numFmtId="0" fontId="21" fillId="26" borderId="3" xfId="0" applyFont="1" applyFill="1" applyBorder="1" applyAlignment="1">
      <alignment horizontal="center" vertical="center"/>
    </xf>
    <xf numFmtId="14" fontId="97" fillId="26" borderId="45" xfId="0" applyNumberFormat="1" applyFont="1" applyFill="1" applyBorder="1" applyAlignment="1">
      <alignment vertical="center" wrapText="1"/>
    </xf>
    <xf numFmtId="0" fontId="50" fillId="9" borderId="3" xfId="0" applyFont="1" applyFill="1" applyBorder="1" applyAlignment="1">
      <alignment horizontal="center" wrapText="1"/>
    </xf>
    <xf numFmtId="0" fontId="236" fillId="28" borderId="3" xfId="0" applyFont="1" applyFill="1" applyBorder="1" applyAlignment="1">
      <alignment horizontal="left"/>
    </xf>
    <xf numFmtId="0" fontId="47" fillId="28" borderId="3" xfId="0" applyFont="1" applyFill="1" applyBorder="1" applyAlignment="1">
      <alignment horizontal="right" wrapText="1"/>
    </xf>
    <xf numFmtId="0" fontId="45" fillId="28" borderId="3" xfId="4" applyFill="1" applyBorder="1" applyAlignment="1">
      <alignment wrapText="1"/>
    </xf>
    <xf numFmtId="14" fontId="37" fillId="0" borderId="3" xfId="0" applyNumberFormat="1" applyFont="1" applyBorder="1" applyAlignment="1" applyProtection="1">
      <alignment horizontal="left" wrapText="1"/>
      <protection locked="0"/>
    </xf>
    <xf numFmtId="0" fontId="48" fillId="0" borderId="38" xfId="0" applyFont="1" applyBorder="1" applyAlignment="1">
      <alignment wrapText="1"/>
    </xf>
    <xf numFmtId="0" fontId="48" fillId="0" borderId="15" xfId="0" applyFont="1" applyBorder="1" applyAlignment="1">
      <alignment wrapText="1"/>
    </xf>
    <xf numFmtId="0" fontId="49" fillId="0" borderId="15" xfId="0" applyFont="1" applyBorder="1" applyAlignment="1">
      <alignment wrapText="1"/>
    </xf>
    <xf numFmtId="0" fontId="52" fillId="0" borderId="7" xfId="0" applyFont="1" applyBorder="1" applyAlignment="1">
      <alignment wrapText="1"/>
    </xf>
    <xf numFmtId="0" fontId="52" fillId="0" borderId="7" xfId="0" applyFont="1" applyBorder="1"/>
    <xf numFmtId="0" fontId="47" fillId="0" borderId="46" xfId="0" applyFont="1" applyBorder="1" applyAlignment="1">
      <alignment wrapText="1"/>
    </xf>
    <xf numFmtId="0" fontId="55" fillId="0" borderId="46" xfId="0" applyFont="1" applyBorder="1"/>
    <xf numFmtId="173" fontId="106" fillId="0" borderId="40" xfId="0" applyNumberFormat="1" applyFont="1" applyBorder="1" applyAlignment="1">
      <alignment horizontal="left" vertical="center"/>
    </xf>
    <xf numFmtId="173" fontId="106" fillId="9" borderId="40" xfId="0" applyNumberFormat="1" applyFont="1" applyFill="1" applyBorder="1" applyAlignment="1">
      <alignment horizontal="left" vertical="center"/>
    </xf>
    <xf numFmtId="0" fontId="203" fillId="0" borderId="0" xfId="0" applyFont="1"/>
    <xf numFmtId="0" fontId="204" fillId="35" borderId="0" xfId="0" applyFont="1" applyFill="1"/>
    <xf numFmtId="0" fontId="204" fillId="0" borderId="0" xfId="0" applyFont="1"/>
    <xf numFmtId="1" fontId="106" fillId="9" borderId="40" xfId="0" applyNumberFormat="1" applyFont="1" applyFill="1" applyBorder="1" applyAlignment="1">
      <alignment horizontal="center" vertical="center"/>
    </xf>
    <xf numFmtId="0" fontId="106" fillId="9" borderId="40" xfId="0" applyFont="1" applyFill="1" applyBorder="1" applyAlignment="1" applyProtection="1">
      <alignment horizontal="center" vertical="center"/>
      <protection locked="0"/>
    </xf>
    <xf numFmtId="165" fontId="107" fillId="9" borderId="40" xfId="0" applyNumberFormat="1" applyFont="1" applyFill="1" applyBorder="1" applyAlignment="1" applyProtection="1">
      <alignment horizontal="left" vertical="center"/>
      <protection locked="0"/>
    </xf>
    <xf numFmtId="0" fontId="107" fillId="9" borderId="40" xfId="0" applyFont="1" applyFill="1" applyBorder="1" applyAlignment="1" applyProtection="1">
      <alignment horizontal="center" vertical="center"/>
      <protection locked="0"/>
    </xf>
    <xf numFmtId="9" fontId="0" fillId="0" borderId="0" xfId="2" applyFont="1" applyBorder="1"/>
    <xf numFmtId="9" fontId="0" fillId="0" borderId="0" xfId="2" applyFont="1" applyBorder="1" applyAlignment="1">
      <alignment horizontal="left"/>
    </xf>
    <xf numFmtId="0" fontId="133" fillId="9" borderId="0" xfId="0" applyFont="1" applyFill="1"/>
    <xf numFmtId="0" fontId="45" fillId="9" borderId="40" xfId="4" applyFill="1" applyBorder="1" applyAlignment="1">
      <alignment horizontal="left"/>
    </xf>
    <xf numFmtId="9" fontId="106" fillId="9" borderId="41" xfId="0" applyNumberFormat="1" applyFont="1" applyFill="1" applyBorder="1" applyAlignment="1">
      <alignment horizontal="left"/>
    </xf>
    <xf numFmtId="0" fontId="37" fillId="9" borderId="3" xfId="0" applyFont="1" applyFill="1" applyBorder="1" applyAlignment="1">
      <alignment horizontal="center"/>
    </xf>
    <xf numFmtId="0" fontId="45" fillId="0" borderId="3" xfId="4" applyBorder="1" applyAlignment="1">
      <alignment horizontal="left" vertical="center" wrapText="1"/>
    </xf>
    <xf numFmtId="0" fontId="93" fillId="9" borderId="3" xfId="0" applyFont="1" applyFill="1" applyBorder="1"/>
    <xf numFmtId="14" fontId="34" fillId="9" borderId="3" xfId="0" applyNumberFormat="1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horizontal="left" vertical="center"/>
    </xf>
    <xf numFmtId="0" fontId="0" fillId="9" borderId="6" xfId="0" applyFill="1" applyBorder="1"/>
    <xf numFmtId="0" fontId="92" fillId="0" borderId="3" xfId="0" applyFont="1" applyBorder="1" applyAlignment="1">
      <alignment horizontal="center" vertical="center"/>
    </xf>
    <xf numFmtId="0" fontId="34" fillId="28" borderId="0" xfId="0" applyFont="1" applyFill="1" applyAlignment="1">
      <alignment horizontal="center" vertical="center"/>
    </xf>
    <xf numFmtId="0" fontId="77" fillId="28" borderId="3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13" fillId="28" borderId="3" xfId="0" applyFont="1" applyFill="1" applyBorder="1"/>
    <xf numFmtId="0" fontId="35" fillId="28" borderId="0" xfId="0" applyFont="1" applyFill="1" applyAlignment="1">
      <alignment horizontal="left" vertical="center" wrapText="1"/>
    </xf>
    <xf numFmtId="0" fontId="35" fillId="28" borderId="0" xfId="0" applyFont="1" applyFill="1" applyAlignment="1">
      <alignment horizontal="left" vertical="center"/>
    </xf>
    <xf numFmtId="0" fontId="157" fillId="28" borderId="3" xfId="0" applyFont="1" applyFill="1" applyBorder="1"/>
    <xf numFmtId="0" fontId="173" fillId="28" borderId="3" xfId="0" applyFont="1" applyFill="1" applyBorder="1" applyAlignment="1">
      <alignment wrapText="1"/>
    </xf>
    <xf numFmtId="0" fontId="33" fillId="28" borderId="0" xfId="0" applyFont="1" applyFill="1" applyAlignment="1">
      <alignment horizontal="left" vertical="center"/>
    </xf>
    <xf numFmtId="0" fontId="219" fillId="28" borderId="3" xfId="0" applyFont="1" applyFill="1" applyBorder="1"/>
    <xf numFmtId="0" fontId="35" fillId="28" borderId="0" xfId="0" applyFont="1" applyFill="1" applyAlignment="1">
      <alignment horizontal="right" vertical="center"/>
    </xf>
    <xf numFmtId="0" fontId="90" fillId="28" borderId="3" xfId="0" applyFont="1" applyFill="1" applyBorder="1"/>
    <xf numFmtId="0" fontId="47" fillId="0" borderId="0" xfId="0" applyFont="1" applyAlignment="1">
      <alignment horizontal="right"/>
    </xf>
    <xf numFmtId="0" fontId="225" fillId="28" borderId="3" xfId="0" applyFont="1" applyFill="1" applyBorder="1"/>
    <xf numFmtId="0" fontId="37" fillId="28" borderId="0" xfId="0" applyFont="1" applyFill="1" applyAlignment="1" applyProtection="1">
      <alignment horizontal="right"/>
      <protection locked="0"/>
    </xf>
    <xf numFmtId="0" fontId="35" fillId="28" borderId="0" xfId="0" applyFont="1" applyFill="1" applyAlignment="1">
      <alignment horizontal="right" vertical="center" wrapText="1"/>
    </xf>
    <xf numFmtId="0" fontId="158" fillId="28" borderId="3" xfId="0" applyFont="1" applyFill="1" applyBorder="1"/>
    <xf numFmtId="0" fontId="45" fillId="28" borderId="0" xfId="4" applyFill="1" applyBorder="1"/>
    <xf numFmtId="0" fontId="161" fillId="0" borderId="0" xfId="4" applyFont="1" applyBorder="1"/>
    <xf numFmtId="0" fontId="164" fillId="28" borderId="3" xfId="0" applyFont="1" applyFill="1" applyBorder="1"/>
    <xf numFmtId="0" fontId="45" fillId="28" borderId="0" xfId="4" applyFill="1" applyBorder="1" applyAlignment="1" applyProtection="1">
      <alignment horizontal="left"/>
      <protection locked="0"/>
    </xf>
    <xf numFmtId="0" fontId="45" fillId="0" borderId="0" xfId="4" applyFill="1" applyBorder="1"/>
    <xf numFmtId="0" fontId="164" fillId="0" borderId="3" xfId="0" applyFont="1" applyBorder="1"/>
    <xf numFmtId="0" fontId="148" fillId="28" borderId="3" xfId="0" applyFont="1" applyFill="1" applyBorder="1"/>
    <xf numFmtId="0" fontId="45" fillId="28" borderId="0" xfId="4" applyFill="1" applyBorder="1" applyAlignment="1"/>
    <xf numFmtId="0" fontId="45" fillId="28" borderId="0" xfId="4" applyFill="1" applyBorder="1" applyAlignment="1">
      <alignment horizontal="left" vertical="center"/>
    </xf>
    <xf numFmtId="0" fontId="161" fillId="28" borderId="0" xfId="4" applyFont="1" applyFill="1" applyBorder="1" applyAlignment="1" applyProtection="1">
      <alignment horizontal="left"/>
      <protection locked="0"/>
    </xf>
    <xf numFmtId="0" fontId="45" fillId="28" borderId="0" xfId="4" applyFill="1" applyBorder="1" applyAlignment="1">
      <alignment horizontal="left" vertical="center" wrapText="1"/>
    </xf>
    <xf numFmtId="0" fontId="45" fillId="0" borderId="0" xfId="4" applyFill="1" applyBorder="1" applyAlignment="1">
      <alignment wrapText="1"/>
    </xf>
    <xf numFmtId="0" fontId="119" fillId="29" borderId="0" xfId="0" applyFont="1" applyFill="1"/>
    <xf numFmtId="0" fontId="27" fillId="0" borderId="0" xfId="0" applyFont="1"/>
    <xf numFmtId="0" fontId="35" fillId="28" borderId="3" xfId="0" applyFont="1" applyFill="1" applyBorder="1" applyAlignment="1">
      <alignment vertical="center" wrapText="1"/>
    </xf>
    <xf numFmtId="0" fontId="47" fillId="0" borderId="0" xfId="0" applyFont="1" applyAlignment="1">
      <alignment wrapText="1"/>
    </xf>
    <xf numFmtId="0" fontId="60" fillId="0" borderId="3" xfId="0" applyFont="1" applyBorder="1"/>
    <xf numFmtId="0" fontId="134" fillId="28" borderId="0" xfId="0" applyFont="1" applyFill="1"/>
    <xf numFmtId="0" fontId="170" fillId="0" borderId="0" xfId="0" applyFont="1"/>
    <xf numFmtId="0" fontId="165" fillId="0" borderId="0" xfId="0" applyFont="1"/>
    <xf numFmtId="0" fontId="144" fillId="28" borderId="3" xfId="0" applyFont="1" applyFill="1" applyBorder="1"/>
    <xf numFmtId="0" fontId="166" fillId="0" borderId="3" xfId="0" applyFont="1" applyBorder="1" applyAlignment="1">
      <alignment vertical="center"/>
    </xf>
    <xf numFmtId="0" fontId="27" fillId="29" borderId="0" xfId="0" applyFont="1" applyFill="1"/>
    <xf numFmtId="0" fontId="120" fillId="0" borderId="0" xfId="0" applyFont="1"/>
    <xf numFmtId="0" fontId="47" fillId="28" borderId="0" xfId="0" applyFont="1" applyFill="1" applyAlignment="1">
      <alignment wrapText="1"/>
    </xf>
    <xf numFmtId="0" fontId="81" fillId="0" borderId="0" xfId="0" applyFont="1" applyAlignment="1">
      <alignment wrapText="1"/>
    </xf>
    <xf numFmtId="0" fontId="37" fillId="0" borderId="0" xfId="0" applyFont="1" applyAlignment="1" applyProtection="1">
      <alignment horizontal="left"/>
      <protection locked="0"/>
    </xf>
    <xf numFmtId="0" fontId="27" fillId="28" borderId="0" xfId="0" applyFont="1" applyFill="1"/>
    <xf numFmtId="0" fontId="81" fillId="28" borderId="0" xfId="0" applyFont="1" applyFill="1" applyAlignment="1">
      <alignment wrapText="1"/>
    </xf>
    <xf numFmtId="0" fontId="171" fillId="0" borderId="0" xfId="0" applyFont="1"/>
    <xf numFmtId="0" fontId="70" fillId="28" borderId="0" xfId="0" applyFont="1" applyFill="1"/>
    <xf numFmtId="3" fontId="50" fillId="28" borderId="0" xfId="0" applyNumberFormat="1" applyFont="1" applyFill="1" applyAlignment="1">
      <alignment horizontal="right"/>
    </xf>
    <xf numFmtId="3" fontId="226" fillId="0" borderId="3" xfId="0" applyNumberFormat="1" applyFont="1" applyBorder="1"/>
    <xf numFmtId="0" fontId="167" fillId="0" borderId="0" xfId="0" applyFont="1"/>
    <xf numFmtId="0" fontId="34" fillId="0" borderId="0" xfId="0" applyFont="1" applyAlignment="1">
      <alignment horizontal="right" vertical="center"/>
    </xf>
    <xf numFmtId="3" fontId="0" fillId="0" borderId="3" xfId="0" applyNumberFormat="1" applyBorder="1"/>
    <xf numFmtId="4" fontId="27" fillId="29" borderId="0" xfId="0" applyNumberFormat="1" applyFont="1" applyFill="1" applyAlignment="1">
      <alignment horizontal="right"/>
    </xf>
    <xf numFmtId="2" fontId="34" fillId="28" borderId="0" xfId="0" applyNumberFormat="1" applyFont="1" applyFill="1" applyAlignment="1">
      <alignment horizontal="right" vertical="center"/>
    </xf>
    <xf numFmtId="0" fontId="50" fillId="28" borderId="0" xfId="0" applyFont="1" applyFill="1"/>
    <xf numFmtId="0" fontId="50" fillId="28" borderId="0" xfId="0" applyFont="1" applyFill="1" applyAlignment="1">
      <alignment horizontal="right"/>
    </xf>
    <xf numFmtId="165" fontId="37" fillId="0" borderId="0" xfId="0" applyNumberFormat="1" applyFont="1" applyAlignment="1" applyProtection="1">
      <alignment horizontal="right"/>
      <protection locked="0"/>
    </xf>
    <xf numFmtId="0" fontId="34" fillId="28" borderId="0" xfId="0" applyFont="1" applyFill="1" applyAlignment="1">
      <alignment horizontal="right" vertical="center"/>
    </xf>
    <xf numFmtId="4" fontId="60" fillId="28" borderId="3" xfId="0" applyNumberFormat="1" applyFont="1" applyFill="1" applyBorder="1"/>
    <xf numFmtId="0" fontId="199" fillId="0" borderId="3" xfId="0" applyFont="1" applyBorder="1"/>
    <xf numFmtId="0" fontId="47" fillId="28" borderId="0" xfId="0" applyFont="1" applyFill="1" applyAlignment="1">
      <alignment horizontal="right"/>
    </xf>
    <xf numFmtId="4" fontId="0" fillId="28" borderId="0" xfId="0" applyNumberFormat="1" applyFill="1" applyAlignment="1">
      <alignment horizontal="right"/>
    </xf>
    <xf numFmtId="0" fontId="34" fillId="0" borderId="0" xfId="0" applyFont="1" applyAlignment="1">
      <alignment horizontal="left" vertical="center"/>
    </xf>
    <xf numFmtId="165" fontId="37" fillId="0" borderId="45" xfId="0" applyNumberFormat="1" applyFont="1" applyBorder="1" applyAlignment="1" applyProtection="1">
      <alignment horizontal="left" vertical="center"/>
      <protection locked="0"/>
    </xf>
    <xf numFmtId="0" fontId="34" fillId="28" borderId="45" xfId="0" applyFont="1" applyFill="1" applyBorder="1" applyAlignment="1">
      <alignment horizontal="left" vertical="center"/>
    </xf>
    <xf numFmtId="0" fontId="35" fillId="0" borderId="45" xfId="0" applyFont="1" applyBorder="1" applyAlignment="1">
      <alignment horizontal="left" vertical="center"/>
    </xf>
    <xf numFmtId="9" fontId="37" fillId="0" borderId="40" xfId="2" applyFont="1" applyFill="1" applyBorder="1" applyAlignment="1" applyProtection="1">
      <alignment horizontal="right" vertical="center"/>
      <protection locked="0"/>
    </xf>
    <xf numFmtId="9" fontId="50" fillId="28" borderId="40" xfId="0" applyNumberFormat="1" applyFont="1" applyFill="1" applyBorder="1" applyAlignment="1">
      <alignment horizontal="right"/>
    </xf>
    <xf numFmtId="9" fontId="35" fillId="0" borderId="40" xfId="2" applyFont="1" applyBorder="1" applyAlignment="1">
      <alignment horizontal="right" vertical="center"/>
    </xf>
    <xf numFmtId="9" fontId="166" fillId="0" borderId="22" xfId="2" applyFont="1" applyFill="1" applyBorder="1" applyAlignment="1">
      <alignment horizontal="right" vertical="center"/>
    </xf>
    <xf numFmtId="9" fontId="34" fillId="28" borderId="7" xfId="2" applyFont="1" applyFill="1" applyBorder="1" applyAlignment="1">
      <alignment horizontal="left" vertical="center"/>
    </xf>
    <xf numFmtId="9" fontId="35" fillId="0" borderId="40" xfId="2" applyFont="1" applyFill="1" applyBorder="1" applyAlignment="1">
      <alignment horizontal="right" vertical="center"/>
    </xf>
    <xf numFmtId="0" fontId="92" fillId="28" borderId="3" xfId="0" applyFont="1" applyFill="1" applyBorder="1" applyAlignment="1">
      <alignment horizontal="left" vertical="center"/>
    </xf>
    <xf numFmtId="0" fontId="201" fillId="28" borderId="40" xfId="0" applyFont="1" applyFill="1" applyBorder="1" applyAlignment="1">
      <alignment horizontal="left"/>
    </xf>
    <xf numFmtId="0" fontId="50" fillId="28" borderId="0" xfId="0" applyFont="1" applyFill="1" applyAlignment="1">
      <alignment horizontal="left" wrapText="1"/>
    </xf>
    <xf numFmtId="0" fontId="60" fillId="28" borderId="3" xfId="0" applyFont="1" applyFill="1" applyBorder="1" applyAlignment="1">
      <alignment horizontal="left"/>
    </xf>
    <xf numFmtId="0" fontId="50" fillId="0" borderId="40" xfId="0" applyFont="1" applyBorder="1" applyAlignment="1">
      <alignment horizontal="left"/>
    </xf>
    <xf numFmtId="0" fontId="50" fillId="0" borderId="0" xfId="0" applyFont="1" applyAlignment="1">
      <alignment horizontal="left" wrapText="1"/>
    </xf>
    <xf numFmtId="14" fontId="37" fillId="0" borderId="40" xfId="0" applyNumberFormat="1" applyFont="1" applyBorder="1" applyAlignment="1" applyProtection="1">
      <alignment horizontal="left" vertical="center"/>
      <protection locked="0"/>
    </xf>
    <xf numFmtId="0" fontId="60" fillId="0" borderId="3" xfId="0" applyFont="1" applyBorder="1" applyAlignment="1">
      <alignment horizontal="left"/>
    </xf>
    <xf numFmtId="0" fontId="27" fillId="29" borderId="40" xfId="0" applyFont="1" applyFill="1" applyBorder="1" applyAlignment="1">
      <alignment horizontal="left"/>
    </xf>
    <xf numFmtId="0" fontId="0" fillId="28" borderId="0" xfId="0" applyFill="1" applyAlignment="1">
      <alignment horizontal="left" wrapText="1"/>
    </xf>
    <xf numFmtId="0" fontId="34" fillId="28" borderId="0" xfId="0" applyFont="1" applyFill="1" applyAlignment="1">
      <alignment horizontal="left" vertical="center"/>
    </xf>
    <xf numFmtId="14" fontId="37" fillId="0" borderId="40" xfId="0" applyNumberFormat="1" applyFont="1" applyBorder="1" applyAlignment="1" applyProtection="1">
      <alignment horizontal="left"/>
      <protection locked="0"/>
    </xf>
    <xf numFmtId="1" fontId="34" fillId="28" borderId="40" xfId="0" applyNumberFormat="1" applyFont="1" applyFill="1" applyBorder="1" applyAlignment="1">
      <alignment horizontal="left" vertical="center"/>
    </xf>
    <xf numFmtId="14" fontId="34" fillId="28" borderId="0" xfId="0" applyNumberFormat="1" applyFont="1" applyFill="1" applyAlignment="1">
      <alignment horizontal="left" vertical="center"/>
    </xf>
    <xf numFmtId="0" fontId="113" fillId="28" borderId="40" xfId="0" applyFont="1" applyFill="1" applyBorder="1" applyAlignment="1">
      <alignment horizontal="left"/>
    </xf>
    <xf numFmtId="0" fontId="50" fillId="0" borderId="0" xfId="0" applyFont="1" applyAlignment="1">
      <alignment horizontal="left"/>
    </xf>
    <xf numFmtId="0" fontId="165" fillId="0" borderId="0" xfId="0" applyFont="1" applyAlignment="1">
      <alignment horizontal="left"/>
    </xf>
    <xf numFmtId="0" fontId="92" fillId="28" borderId="40" xfId="0" applyFont="1" applyFill="1" applyBorder="1" applyAlignment="1">
      <alignment horizontal="left" vertical="center"/>
    </xf>
    <xf numFmtId="0" fontId="0" fillId="28" borderId="40" xfId="0" applyFill="1" applyBorder="1"/>
    <xf numFmtId="0" fontId="0" fillId="28" borderId="3" xfId="0" applyFill="1" applyBorder="1" applyAlignment="1">
      <alignment horizontal="left" wrapText="1"/>
    </xf>
    <xf numFmtId="0" fontId="77" fillId="28" borderId="3" xfId="0" applyFont="1" applyFill="1" applyBorder="1" applyAlignment="1">
      <alignment horizontal="left" vertical="center"/>
    </xf>
    <xf numFmtId="0" fontId="34" fillId="28" borderId="40" xfId="0" applyFont="1" applyFill="1" applyBorder="1" applyAlignment="1">
      <alignment horizontal="left" vertical="center" wrapText="1"/>
    </xf>
    <xf numFmtId="14" fontId="37" fillId="0" borderId="40" xfId="0" applyNumberFormat="1" applyFont="1" applyBorder="1" applyAlignment="1" applyProtection="1">
      <alignment vertical="center"/>
      <protection locked="0"/>
    </xf>
    <xf numFmtId="14" fontId="34" fillId="28" borderId="40" xfId="0" applyNumberFormat="1" applyFont="1" applyFill="1" applyBorder="1" applyAlignment="1">
      <alignment vertical="center" wrapText="1"/>
    </xf>
    <xf numFmtId="14" fontId="50" fillId="0" borderId="40" xfId="0" applyNumberFormat="1" applyFont="1" applyBorder="1" applyAlignment="1">
      <alignment wrapText="1"/>
    </xf>
    <xf numFmtId="14" fontId="34" fillId="28" borderId="0" xfId="0" applyNumberFormat="1" applyFont="1" applyFill="1" applyAlignment="1">
      <alignment vertical="center" wrapText="1"/>
    </xf>
    <xf numFmtId="14" fontId="166" fillId="0" borderId="22" xfId="0" applyNumberFormat="1" applyFont="1" applyBorder="1" applyAlignment="1">
      <alignment vertical="center" wrapText="1"/>
    </xf>
    <xf numFmtId="14" fontId="28" fillId="29" borderId="3" xfId="0" applyNumberFormat="1" applyFont="1" applyFill="1" applyBorder="1"/>
    <xf numFmtId="14" fontId="34" fillId="28" borderId="7" xfId="0" applyNumberFormat="1" applyFont="1" applyFill="1" applyBorder="1" applyAlignment="1">
      <alignment vertical="center" wrapText="1"/>
    </xf>
    <xf numFmtId="14" fontId="34" fillId="28" borderId="40" xfId="0" applyNumberFormat="1" applyFont="1" applyFill="1" applyBorder="1" applyAlignment="1">
      <alignment vertical="center"/>
    </xf>
    <xf numFmtId="14" fontId="34" fillId="28" borderId="0" xfId="0" applyNumberFormat="1" applyFont="1" applyFill="1" applyAlignment="1">
      <alignment vertical="center"/>
    </xf>
    <xf numFmtId="3" fontId="0" fillId="28" borderId="3" xfId="0" applyNumberFormat="1" applyFill="1" applyBorder="1"/>
    <xf numFmtId="4" fontId="34" fillId="28" borderId="0" xfId="0" applyNumberFormat="1" applyFont="1" applyFill="1" applyAlignment="1">
      <alignment horizontal="left" vertical="center"/>
    </xf>
    <xf numFmtId="0" fontId="50" fillId="0" borderId="0" xfId="0" applyFont="1"/>
    <xf numFmtId="165" fontId="37" fillId="0" borderId="40" xfId="0" applyNumberFormat="1" applyFont="1" applyBorder="1" applyAlignment="1" applyProtection="1">
      <alignment horizontal="left" vertical="center"/>
      <protection locked="0"/>
    </xf>
    <xf numFmtId="0" fontId="166" fillId="0" borderId="22" xfId="0" applyFont="1" applyBorder="1" applyAlignment="1">
      <alignment horizontal="left" vertical="center"/>
    </xf>
    <xf numFmtId="0" fontId="34" fillId="28" borderId="7" xfId="0" applyFont="1" applyFill="1" applyBorder="1" applyAlignment="1">
      <alignment horizontal="left" vertical="center"/>
    </xf>
    <xf numFmtId="0" fontId="50" fillId="0" borderId="40" xfId="0" applyFont="1" applyBorder="1" applyAlignment="1">
      <alignment wrapText="1"/>
    </xf>
    <xf numFmtId="0" fontId="37" fillId="0" borderId="6" xfId="0" applyFont="1" applyBorder="1" applyAlignment="1" applyProtection="1">
      <alignment horizontal="left" vertical="center"/>
      <protection locked="0"/>
    </xf>
    <xf numFmtId="14" fontId="50" fillId="29" borderId="6" xfId="0" applyNumberFormat="1" applyFont="1" applyFill="1" applyBorder="1"/>
    <xf numFmtId="0" fontId="50" fillId="0" borderId="6" xfId="0" applyFont="1" applyBorder="1"/>
    <xf numFmtId="0" fontId="113" fillId="0" borderId="3" xfId="0" applyFont="1" applyBorder="1"/>
    <xf numFmtId="14" fontId="50" fillId="29" borderId="0" xfId="0" applyNumberFormat="1" applyFont="1" applyFill="1"/>
    <xf numFmtId="0" fontId="34" fillId="28" borderId="6" xfId="0" applyFont="1" applyFill="1" applyBorder="1" applyAlignment="1">
      <alignment horizontal="left" vertical="center"/>
    </xf>
    <xf numFmtId="0" fontId="37" fillId="28" borderId="45" xfId="0" applyFont="1" applyFill="1" applyBorder="1" applyAlignment="1" applyProtection="1">
      <alignment horizontal="left" vertical="center"/>
      <protection locked="0"/>
    </xf>
    <xf numFmtId="14" fontId="34" fillId="28" borderId="45" xfId="0" applyNumberFormat="1" applyFont="1" applyFill="1" applyBorder="1" applyAlignment="1">
      <alignment horizontal="right" vertical="center" wrapText="1"/>
    </xf>
    <xf numFmtId="14" fontId="34" fillId="28" borderId="0" xfId="0" applyNumberFormat="1" applyFont="1" applyFill="1" applyAlignment="1">
      <alignment horizontal="left" vertical="center" wrapText="1"/>
    </xf>
    <xf numFmtId="0" fontId="50" fillId="0" borderId="0" xfId="0" applyFont="1" applyAlignment="1">
      <alignment horizontal="right" wrapText="1"/>
    </xf>
    <xf numFmtId="0" fontId="0" fillId="9" borderId="3" xfId="0" applyFill="1" applyBorder="1" applyAlignment="1">
      <alignment vertical="center"/>
    </xf>
    <xf numFmtId="0" fontId="0" fillId="9" borderId="3" xfId="0" applyFill="1" applyBorder="1" applyAlignment="1">
      <alignment horizontal="center" vertical="center"/>
    </xf>
    <xf numFmtId="0" fontId="45" fillId="9" borderId="15" xfId="4" applyFill="1" applyBorder="1" applyAlignment="1">
      <alignment wrapText="1"/>
    </xf>
    <xf numFmtId="0" fontId="48" fillId="9" borderId="46" xfId="0" applyFont="1" applyFill="1" applyBorder="1" applyAlignment="1">
      <alignment wrapText="1" readingOrder="1"/>
    </xf>
    <xf numFmtId="0" fontId="52" fillId="9" borderId="3" xfId="0" applyFont="1" applyFill="1" applyBorder="1"/>
    <xf numFmtId="0" fontId="52" fillId="9" borderId="7" xfId="0" applyFont="1" applyFill="1" applyBorder="1"/>
    <xf numFmtId="0" fontId="52" fillId="9" borderId="46" xfId="0" applyFont="1" applyFill="1" applyBorder="1" applyAlignment="1">
      <alignment wrapText="1"/>
    </xf>
    <xf numFmtId="169" fontId="0" fillId="0" borderId="0" xfId="0" applyNumberFormat="1"/>
    <xf numFmtId="0" fontId="5" fillId="3" borderId="26" xfId="0" applyFont="1" applyFill="1" applyBorder="1"/>
    <xf numFmtId="169" fontId="5" fillId="0" borderId="32" xfId="0" applyNumberFormat="1" applyFont="1" applyBorder="1"/>
    <xf numFmtId="0" fontId="40" fillId="0" borderId="8" xfId="0" applyFont="1" applyBorder="1" applyAlignment="1" applyProtection="1">
      <alignment vertical="center" wrapText="1"/>
      <protection locked="0"/>
    </xf>
    <xf numFmtId="14" fontId="37" fillId="28" borderId="3" xfId="0" applyNumberFormat="1" applyFont="1" applyFill="1" applyBorder="1" applyAlignment="1" applyProtection="1">
      <alignment vertical="center"/>
      <protection locked="0"/>
    </xf>
    <xf numFmtId="14" fontId="37" fillId="0" borderId="3" xfId="0" applyNumberFormat="1" applyFont="1" applyBorder="1" applyAlignment="1" applyProtection="1">
      <alignment vertical="center"/>
      <protection locked="0"/>
    </xf>
    <xf numFmtId="0" fontId="37" fillId="28" borderId="3" xfId="0" applyFont="1" applyFill="1" applyBorder="1" applyAlignment="1" applyProtection="1">
      <alignment vertical="center"/>
      <protection locked="0"/>
    </xf>
    <xf numFmtId="14" fontId="34" fillId="28" borderId="3" xfId="0" applyNumberFormat="1" applyFont="1" applyFill="1" applyBorder="1" applyAlignment="1">
      <alignment vertical="top"/>
    </xf>
    <xf numFmtId="14" fontId="77" fillId="28" borderId="3" xfId="0" applyNumberFormat="1" applyFont="1" applyFill="1" applyBorder="1" applyAlignment="1">
      <alignment vertical="center"/>
    </xf>
    <xf numFmtId="14" fontId="34" fillId="28" borderId="0" xfId="0" applyNumberFormat="1" applyFont="1" applyFill="1" applyAlignment="1">
      <alignment vertical="top"/>
    </xf>
    <xf numFmtId="14" fontId="50" fillId="0" borderId="0" xfId="0" applyNumberFormat="1" applyFont="1"/>
    <xf numFmtId="14" fontId="35" fillId="28" borderId="0" xfId="0" applyNumberFormat="1" applyFont="1" applyFill="1" applyAlignment="1" applyProtection="1">
      <alignment vertical="center"/>
      <protection locked="0"/>
    </xf>
    <xf numFmtId="14" fontId="92" fillId="28" borderId="3" xfId="0" applyNumberFormat="1" applyFont="1" applyFill="1" applyBorder="1" applyAlignment="1">
      <alignment vertical="center"/>
    </xf>
    <xf numFmtId="14" fontId="92" fillId="0" borderId="3" xfId="0" applyNumberFormat="1" applyFont="1" applyBorder="1" applyAlignment="1">
      <alignment vertical="center"/>
    </xf>
    <xf numFmtId="14" fontId="200" fillId="0" borderId="3" xfId="0" applyNumberFormat="1" applyFont="1" applyBorder="1"/>
    <xf numFmtId="0" fontId="10" fillId="0" borderId="3" xfId="0" applyFont="1" applyBorder="1" applyAlignment="1" applyProtection="1">
      <alignment vertical="center"/>
      <protection locked="0"/>
    </xf>
    <xf numFmtId="0" fontId="37" fillId="0" borderId="3" xfId="0" applyFont="1" applyBorder="1" applyAlignment="1" applyProtection="1">
      <alignment vertical="center"/>
      <protection locked="0"/>
    </xf>
    <xf numFmtId="0" fontId="37" fillId="0" borderId="22" xfId="0" applyFont="1" applyBorder="1" applyAlignment="1" applyProtection="1">
      <alignment vertical="center"/>
      <protection locked="0"/>
    </xf>
    <xf numFmtId="0" fontId="33" fillId="0" borderId="3" xfId="0" applyFont="1" applyBorder="1" applyAlignment="1">
      <alignment horizontal="left" vertical="top"/>
    </xf>
    <xf numFmtId="0" fontId="106" fillId="9" borderId="6" xfId="0" applyFont="1" applyFill="1" applyBorder="1" applyAlignment="1">
      <alignment horizontal="left" wrapText="1"/>
    </xf>
    <xf numFmtId="0" fontId="106" fillId="9" borderId="42" xfId="0" applyFont="1" applyFill="1" applyBorder="1" applyAlignment="1">
      <alignment wrapText="1"/>
    </xf>
    <xf numFmtId="0" fontId="242" fillId="9" borderId="92" xfId="0" applyFont="1" applyFill="1" applyBorder="1"/>
    <xf numFmtId="0" fontId="106" fillId="9" borderId="6" xfId="0" applyFont="1" applyFill="1" applyBorder="1" applyAlignment="1">
      <alignment horizontal="left" vertical="center" wrapText="1"/>
    </xf>
    <xf numFmtId="0" fontId="106" fillId="9" borderId="42" xfId="0" applyFont="1" applyFill="1" applyBorder="1" applyAlignment="1">
      <alignment horizontal="center" vertical="center" wrapText="1"/>
    </xf>
    <xf numFmtId="0" fontId="45" fillId="26" borderId="3" xfId="4" applyFill="1" applyBorder="1" applyAlignment="1">
      <alignment horizontal="center"/>
    </xf>
    <xf numFmtId="0" fontId="58" fillId="26" borderId="3" xfId="0" applyFont="1" applyFill="1" applyBorder="1" applyAlignment="1">
      <alignment horizontal="center"/>
    </xf>
    <xf numFmtId="14" fontId="34" fillId="26" borderId="3" xfId="0" applyNumberFormat="1" applyFont="1" applyFill="1" applyBorder="1" applyAlignment="1">
      <alignment horizontal="center" vertical="center"/>
    </xf>
    <xf numFmtId="14" fontId="34" fillId="26" borderId="3" xfId="0" applyNumberFormat="1" applyFont="1" applyFill="1" applyBorder="1" applyAlignment="1">
      <alignment horizontal="center" vertical="center" wrapText="1"/>
    </xf>
    <xf numFmtId="0" fontId="34" fillId="26" borderId="45" xfId="0" applyFont="1" applyFill="1" applyBorder="1" applyAlignment="1">
      <alignment horizontal="left" vertical="center"/>
    </xf>
    <xf numFmtId="0" fontId="34" fillId="26" borderId="45" xfId="0" applyFont="1" applyFill="1" applyBorder="1" applyAlignment="1">
      <alignment vertical="center" wrapText="1"/>
    </xf>
    <xf numFmtId="0" fontId="0" fillId="26" borderId="3" xfId="0" applyFill="1" applyBorder="1" applyAlignment="1">
      <alignment horizontal="center" vertical="center"/>
    </xf>
    <xf numFmtId="14" fontId="34" fillId="26" borderId="45" xfId="0" applyNumberFormat="1" applyFont="1" applyFill="1" applyBorder="1" applyAlignment="1">
      <alignment vertical="center" wrapText="1"/>
    </xf>
    <xf numFmtId="0" fontId="27" fillId="4" borderId="3" xfId="0" applyFont="1" applyFill="1" applyBorder="1" applyAlignment="1">
      <alignment horizontal="center"/>
    </xf>
    <xf numFmtId="0" fontId="45" fillId="4" borderId="3" xfId="4" applyFill="1" applyBorder="1" applyAlignment="1">
      <alignment horizontal="center"/>
    </xf>
    <xf numFmtId="0" fontId="45" fillId="16" borderId="3" xfId="4" applyFill="1" applyBorder="1" applyAlignment="1">
      <alignment horizontal="center" wrapText="1"/>
    </xf>
    <xf numFmtId="14" fontId="97" fillId="4" borderId="3" xfId="0" applyNumberFormat="1" applyFont="1" applyFill="1" applyBorder="1" applyAlignment="1">
      <alignment horizontal="center" vertical="center"/>
    </xf>
    <xf numFmtId="14" fontId="48" fillId="4" borderId="3" xfId="0" applyNumberFormat="1" applyFont="1" applyFill="1" applyBorder="1" applyAlignment="1">
      <alignment horizontal="center" wrapText="1"/>
    </xf>
    <xf numFmtId="9" fontId="27" fillId="4" borderId="3" xfId="0" applyNumberFormat="1" applyFont="1" applyFill="1" applyBorder="1" applyAlignment="1">
      <alignment horizontal="center"/>
    </xf>
    <xf numFmtId="0" fontId="27" fillId="4" borderId="3" xfId="0" applyFont="1" applyFill="1" applyBorder="1" applyAlignment="1">
      <alignment horizontal="center" wrapText="1"/>
    </xf>
    <xf numFmtId="14" fontId="27" fillId="4" borderId="3" xfId="0" applyNumberFormat="1" applyFont="1" applyFill="1" applyBorder="1" applyAlignment="1">
      <alignment horizontal="center" wrapText="1"/>
    </xf>
    <xf numFmtId="14" fontId="34" fillId="4" borderId="3" xfId="0" applyNumberFormat="1" applyFont="1" applyFill="1" applyBorder="1" applyAlignment="1">
      <alignment horizontal="left"/>
    </xf>
    <xf numFmtId="0" fontId="33" fillId="42" borderId="3" xfId="0" applyFont="1" applyFill="1" applyBorder="1" applyAlignment="1">
      <alignment horizontal="right" vertical="center"/>
    </xf>
    <xf numFmtId="0" fontId="45" fillId="42" borderId="3" xfId="4" applyFill="1" applyBorder="1" applyAlignment="1">
      <alignment horizontal="left" vertical="center"/>
    </xf>
    <xf numFmtId="0" fontId="55" fillId="42" borderId="3" xfId="0" applyFont="1" applyFill="1" applyBorder="1"/>
    <xf numFmtId="0" fontId="50" fillId="42" borderId="3" xfId="0" applyFont="1" applyFill="1" applyBorder="1"/>
    <xf numFmtId="0" fontId="45" fillId="42" borderId="3" xfId="4" applyFill="1" applyBorder="1" applyAlignment="1"/>
    <xf numFmtId="14" fontId="47" fillId="42" borderId="3" xfId="0" applyNumberFormat="1" applyFont="1" applyFill="1" applyBorder="1" applyAlignment="1">
      <alignment horizontal="left"/>
    </xf>
    <xf numFmtId="0" fontId="0" fillId="42" borderId="40" xfId="0" applyFill="1" applyBorder="1" applyAlignment="1">
      <alignment horizontal="left"/>
    </xf>
    <xf numFmtId="9" fontId="50" fillId="42" borderId="3" xfId="0" applyNumberFormat="1" applyFont="1" applyFill="1" applyBorder="1"/>
    <xf numFmtId="0" fontId="193" fillId="42" borderId="3" xfId="0" applyFont="1" applyFill="1" applyBorder="1"/>
    <xf numFmtId="0" fontId="28" fillId="42" borderId="46" xfId="0" applyFont="1" applyFill="1" applyBorder="1"/>
    <xf numFmtId="0" fontId="48" fillId="42" borderId="46" xfId="0" applyFont="1" applyFill="1" applyBorder="1"/>
    <xf numFmtId="0" fontId="50" fillId="42" borderId="45" xfId="0" applyFont="1" applyFill="1" applyBorder="1"/>
    <xf numFmtId="0" fontId="55" fillId="42" borderId="40" xfId="0" applyFont="1" applyFill="1" applyBorder="1"/>
    <xf numFmtId="0" fontId="47" fillId="42" borderId="40" xfId="0" applyFont="1" applyFill="1" applyBorder="1"/>
    <xf numFmtId="0" fontId="45" fillId="42" borderId="40" xfId="4" applyFill="1" applyBorder="1" applyAlignment="1"/>
    <xf numFmtId="0" fontId="50" fillId="42" borderId="44" xfId="0" applyFont="1" applyFill="1" applyBorder="1"/>
    <xf numFmtId="0" fontId="50" fillId="42" borderId="44" xfId="0" applyFont="1" applyFill="1" applyBorder="1" applyAlignment="1">
      <alignment horizontal="left"/>
    </xf>
    <xf numFmtId="0" fontId="50" fillId="42" borderId="40" xfId="0" applyFont="1" applyFill="1" applyBorder="1"/>
    <xf numFmtId="0" fontId="50" fillId="42" borderId="6" xfId="0" applyFont="1" applyFill="1" applyBorder="1"/>
    <xf numFmtId="0" fontId="187" fillId="42" borderId="46" xfId="0" applyFont="1" applyFill="1" applyBorder="1"/>
    <xf numFmtId="0" fontId="48" fillId="42" borderId="53" xfId="0" applyFont="1" applyFill="1" applyBorder="1"/>
    <xf numFmtId="0" fontId="50" fillId="42" borderId="40" xfId="0" applyFont="1" applyFill="1" applyBorder="1" applyAlignment="1">
      <alignment horizontal="left"/>
    </xf>
    <xf numFmtId="0" fontId="188" fillId="42" borderId="43" xfId="0" applyFont="1" applyFill="1" applyBorder="1"/>
    <xf numFmtId="0" fontId="45" fillId="42" borderId="43" xfId="4" applyFill="1" applyBorder="1"/>
    <xf numFmtId="0" fontId="55" fillId="42" borderId="49" xfId="0" applyFont="1" applyFill="1" applyBorder="1"/>
    <xf numFmtId="0" fontId="47" fillId="42" borderId="22" xfId="0" applyFont="1" applyFill="1" applyBorder="1" applyAlignment="1">
      <alignment wrapText="1"/>
    </xf>
    <xf numFmtId="0" fontId="47" fillId="42" borderId="48" xfId="0" applyFont="1" applyFill="1" applyBorder="1" applyAlignment="1">
      <alignment wrapText="1"/>
    </xf>
    <xf numFmtId="14" fontId="50" fillId="42" borderId="42" xfId="0" applyNumberFormat="1" applyFont="1" applyFill="1" applyBorder="1" applyAlignment="1">
      <alignment horizontal="left"/>
    </xf>
    <xf numFmtId="0" fontId="50" fillId="42" borderId="49" xfId="0" applyFont="1" applyFill="1" applyBorder="1"/>
    <xf numFmtId="0" fontId="50" fillId="42" borderId="3" xfId="0" applyFont="1" applyFill="1" applyBorder="1" applyAlignment="1">
      <alignment wrapText="1"/>
    </xf>
    <xf numFmtId="0" fontId="187" fillId="42" borderId="7" xfId="0" applyFont="1" applyFill="1" applyBorder="1"/>
    <xf numFmtId="0" fontId="55" fillId="42" borderId="43" xfId="0" applyFont="1" applyFill="1" applyBorder="1"/>
    <xf numFmtId="0" fontId="47" fillId="42" borderId="43" xfId="0" applyFont="1" applyFill="1" applyBorder="1"/>
    <xf numFmtId="0" fontId="47" fillId="42" borderId="40" xfId="0" applyFont="1" applyFill="1" applyBorder="1" applyAlignment="1">
      <alignment wrapText="1"/>
    </xf>
    <xf numFmtId="0" fontId="50" fillId="42" borderId="43" xfId="0" applyFont="1" applyFill="1" applyBorder="1"/>
    <xf numFmtId="14" fontId="50" fillId="42" borderId="43" xfId="0" applyNumberFormat="1" applyFont="1" applyFill="1" applyBorder="1" applyAlignment="1">
      <alignment horizontal="left"/>
    </xf>
    <xf numFmtId="0" fontId="45" fillId="42" borderId="40" xfId="4" applyFill="1" applyBorder="1"/>
    <xf numFmtId="0" fontId="47" fillId="42" borderId="42" xfId="0" applyFont="1" applyFill="1" applyBorder="1" applyAlignment="1">
      <alignment wrapText="1"/>
    </xf>
    <xf numFmtId="0" fontId="47" fillId="42" borderId="41" xfId="0" applyFont="1" applyFill="1" applyBorder="1" applyAlignment="1">
      <alignment wrapText="1"/>
    </xf>
    <xf numFmtId="0" fontId="50" fillId="42" borderId="43" xfId="0" applyFont="1" applyFill="1" applyBorder="1" applyAlignment="1">
      <alignment horizontal="left"/>
    </xf>
    <xf numFmtId="0" fontId="50" fillId="42" borderId="42" xfId="0" applyFont="1" applyFill="1" applyBorder="1"/>
    <xf numFmtId="0" fontId="50" fillId="42" borderId="7" xfId="0" applyFont="1" applyFill="1" applyBorder="1" applyAlignment="1">
      <alignment wrapText="1"/>
    </xf>
    <xf numFmtId="0" fontId="50" fillId="42" borderId="7" xfId="0" applyFont="1" applyFill="1" applyBorder="1"/>
    <xf numFmtId="0" fontId="47" fillId="42" borderId="46" xfId="0" applyFont="1" applyFill="1" applyBorder="1" applyAlignment="1">
      <alignment wrapText="1"/>
    </xf>
    <xf numFmtId="0" fontId="47" fillId="42" borderId="7" xfId="0" applyFont="1" applyFill="1" applyBorder="1" applyAlignment="1">
      <alignment wrapText="1"/>
    </xf>
    <xf numFmtId="0" fontId="47" fillId="42" borderId="10" xfId="0" applyFont="1" applyFill="1" applyBorder="1" applyAlignment="1">
      <alignment wrapText="1"/>
    </xf>
    <xf numFmtId="0" fontId="28" fillId="42" borderId="53" xfId="0" applyFont="1" applyFill="1" applyBorder="1"/>
    <xf numFmtId="0" fontId="55" fillId="42" borderId="6" xfId="0" applyFont="1" applyFill="1" applyBorder="1"/>
    <xf numFmtId="0" fontId="47" fillId="42" borderId="3" xfId="0" applyFont="1" applyFill="1" applyBorder="1" applyAlignment="1">
      <alignment wrapText="1"/>
    </xf>
    <xf numFmtId="0" fontId="47" fillId="42" borderId="45" xfId="0" applyFont="1" applyFill="1" applyBorder="1" applyAlignment="1">
      <alignment wrapText="1"/>
    </xf>
    <xf numFmtId="0" fontId="50" fillId="42" borderId="46" xfId="0" applyFont="1" applyFill="1" applyBorder="1"/>
    <xf numFmtId="0" fontId="45" fillId="28" borderId="3" xfId="4" applyFill="1" applyBorder="1" applyAlignment="1"/>
    <xf numFmtId="0" fontId="33" fillId="42" borderId="3" xfId="0" applyFont="1" applyFill="1" applyBorder="1" applyAlignment="1">
      <alignment horizontal="left"/>
    </xf>
    <xf numFmtId="14" fontId="37" fillId="4" borderId="3" xfId="0" applyNumberFormat="1" applyFont="1" applyFill="1" applyBorder="1" applyAlignment="1">
      <alignment horizontal="left" vertical="center"/>
    </xf>
    <xf numFmtId="0" fontId="53" fillId="9" borderId="6" xfId="0" applyFont="1" applyFill="1" applyBorder="1" applyAlignment="1">
      <alignment readingOrder="1"/>
    </xf>
    <xf numFmtId="0" fontId="49" fillId="9" borderId="15" xfId="0" applyFont="1" applyFill="1" applyBorder="1" applyAlignment="1">
      <alignment wrapText="1"/>
    </xf>
    <xf numFmtId="0" fontId="52" fillId="9" borderId="7" xfId="0" applyFont="1" applyFill="1" applyBorder="1" applyAlignment="1">
      <alignment wrapText="1"/>
    </xf>
    <xf numFmtId="0" fontId="45" fillId="0" borderId="46" xfId="4" applyBorder="1" applyAlignment="1">
      <alignment wrapText="1"/>
    </xf>
    <xf numFmtId="0" fontId="36" fillId="0" borderId="3" xfId="0" applyFont="1" applyBorder="1" applyAlignment="1">
      <alignment horizontal="left" vertical="center" wrapText="1"/>
    </xf>
    <xf numFmtId="0" fontId="38" fillId="9" borderId="3" xfId="0" applyFont="1" applyFill="1" applyBorder="1" applyAlignment="1">
      <alignment horizontal="left" vertical="center"/>
    </xf>
    <xf numFmtId="173" fontId="106" fillId="9" borderId="40" xfId="0" applyNumberFormat="1" applyFont="1" applyFill="1" applyBorder="1" applyAlignment="1">
      <alignment horizontal="left" wrapText="1"/>
    </xf>
    <xf numFmtId="0" fontId="48" fillId="26" borderId="3" xfId="0" applyFont="1" applyFill="1" applyBorder="1" applyAlignment="1">
      <alignment horizontal="center" vertical="center" wrapText="1"/>
    </xf>
    <xf numFmtId="0" fontId="45" fillId="26" borderId="3" xfId="4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 wrapText="1"/>
    </xf>
    <xf numFmtId="0" fontId="90" fillId="26" borderId="40" xfId="0" applyFont="1" applyFill="1" applyBorder="1" applyAlignment="1">
      <alignment horizontal="center"/>
    </xf>
    <xf numFmtId="0" fontId="45" fillId="16" borderId="3" xfId="4" applyFill="1" applyBorder="1" applyAlignment="1">
      <alignment horizontal="center"/>
    </xf>
    <xf numFmtId="9" fontId="106" fillId="9" borderId="41" xfId="2" applyFont="1" applyFill="1" applyBorder="1" applyAlignment="1">
      <alignment horizontal="center" vertical="center"/>
    </xf>
    <xf numFmtId="170" fontId="106" fillId="9" borderId="42" xfId="0" applyNumberFormat="1" applyFont="1" applyFill="1" applyBorder="1" applyAlignment="1">
      <alignment horizontal="left" vertical="center"/>
    </xf>
    <xf numFmtId="0" fontId="235" fillId="28" borderId="7" xfId="0" applyFont="1" applyFill="1" applyBorder="1" applyAlignment="1" applyProtection="1">
      <alignment horizontal="center" vertical="center"/>
      <protection locked="0"/>
    </xf>
    <xf numFmtId="0" fontId="48" fillId="44" borderId="3" xfId="0" applyFont="1" applyFill="1" applyBorder="1" applyAlignment="1">
      <alignment wrapText="1"/>
    </xf>
    <xf numFmtId="0" fontId="48" fillId="44" borderId="3" xfId="0" applyFont="1" applyFill="1" applyBorder="1" applyAlignment="1">
      <alignment horizontal="center" wrapText="1"/>
    </xf>
    <xf numFmtId="0" fontId="45" fillId="44" borderId="3" xfId="4" applyFill="1" applyBorder="1" applyAlignment="1">
      <alignment horizontal="center" wrapText="1"/>
    </xf>
    <xf numFmtId="172" fontId="33" fillId="26" borderId="3" xfId="0" applyNumberFormat="1" applyFont="1" applyFill="1" applyBorder="1" applyAlignment="1">
      <alignment horizontal="left" vertical="center"/>
    </xf>
    <xf numFmtId="172" fontId="34" fillId="26" borderId="3" xfId="0" applyNumberFormat="1" applyFont="1" applyFill="1" applyBorder="1" applyAlignment="1">
      <alignment horizontal="left" vertical="center"/>
    </xf>
    <xf numFmtId="0" fontId="50" fillId="26" borderId="3" xfId="0" applyFont="1" applyFill="1" applyBorder="1" applyAlignment="1">
      <alignment horizontal="left"/>
    </xf>
    <xf numFmtId="0" fontId="37" fillId="26" borderId="0" xfId="0" applyFont="1" applyFill="1"/>
    <xf numFmtId="14" fontId="34" fillId="0" borderId="3" xfId="0" applyNumberFormat="1" applyFont="1" applyBorder="1" applyAlignment="1">
      <alignment horizontal="left" vertical="top"/>
    </xf>
    <xf numFmtId="0" fontId="76" fillId="0" borderId="45" xfId="0" applyFont="1" applyBorder="1" applyAlignment="1" applyProtection="1">
      <alignment horizontal="left" vertical="top"/>
      <protection locked="0"/>
    </xf>
    <xf numFmtId="14" fontId="60" fillId="0" borderId="40" xfId="0" applyNumberFormat="1" applyFont="1" applyBorder="1" applyAlignment="1">
      <alignment horizontal="center" vertical="center" wrapText="1"/>
    </xf>
    <xf numFmtId="0" fontId="97" fillId="0" borderId="40" xfId="0" applyFont="1" applyBorder="1" applyAlignment="1">
      <alignment horizontal="center" vertical="center"/>
    </xf>
    <xf numFmtId="9" fontId="97" fillId="0" borderId="40" xfId="2" applyFont="1" applyFill="1" applyBorder="1" applyAlignment="1">
      <alignment horizontal="center" vertical="center"/>
    </xf>
    <xf numFmtId="0" fontId="99" fillId="4" borderId="40" xfId="0" applyFont="1" applyFill="1" applyBorder="1" applyAlignment="1">
      <alignment horizontal="left"/>
    </xf>
    <xf numFmtId="0" fontId="99" fillId="16" borderId="40" xfId="0" applyFont="1" applyFill="1" applyBorder="1" applyAlignment="1">
      <alignment horizontal="left"/>
    </xf>
    <xf numFmtId="0" fontId="182" fillId="4" borderId="40" xfId="0" applyFont="1" applyFill="1" applyBorder="1"/>
    <xf numFmtId="0" fontId="174" fillId="0" borderId="40" xfId="0" applyFont="1" applyBorder="1"/>
    <xf numFmtId="0" fontId="174" fillId="0" borderId="3" xfId="0" applyFont="1" applyBorder="1"/>
    <xf numFmtId="0" fontId="150" fillId="4" borderId="40" xfId="0" applyFont="1" applyFill="1" applyBorder="1"/>
    <xf numFmtId="0" fontId="174" fillId="0" borderId="90" xfId="0" applyFont="1" applyBorder="1"/>
    <xf numFmtId="0" fontId="116" fillId="4" borderId="40" xfId="0" applyFont="1" applyFill="1" applyBorder="1"/>
    <xf numFmtId="0" fontId="45" fillId="0" borderId="0" xfId="4" applyBorder="1"/>
    <xf numFmtId="0" fontId="123" fillId="0" borderId="40" xfId="0" applyFont="1" applyBorder="1"/>
    <xf numFmtId="0" fontId="174" fillId="9" borderId="40" xfId="0" applyFont="1" applyFill="1" applyBorder="1"/>
    <xf numFmtId="0" fontId="204" fillId="0" borderId="92" xfId="0" applyFont="1" applyBorder="1"/>
    <xf numFmtId="0" fontId="130" fillId="0" borderId="40" xfId="0" applyFont="1" applyBorder="1"/>
    <xf numFmtId="3" fontId="106" fillId="0" borderId="3" xfId="0" applyNumberFormat="1" applyFont="1" applyBorder="1" applyAlignment="1">
      <alignment horizontal="center" vertical="center"/>
    </xf>
    <xf numFmtId="0" fontId="76" fillId="0" borderId="3" xfId="0" applyFont="1" applyBorder="1" applyAlignment="1" applyProtection="1">
      <alignment horizontal="left"/>
      <protection locked="0"/>
    </xf>
    <xf numFmtId="0" fontId="229" fillId="0" borderId="3" xfId="0" applyFont="1" applyBorder="1" applyAlignment="1">
      <alignment vertical="center"/>
    </xf>
    <xf numFmtId="0" fontId="163" fillId="0" borderId="3" xfId="0" applyFont="1" applyBorder="1" applyAlignment="1" applyProtection="1">
      <alignment horizontal="left" wrapText="1"/>
      <protection locked="0"/>
    </xf>
    <xf numFmtId="0" fontId="49" fillId="9" borderId="0" xfId="0" applyFont="1" applyFill="1"/>
    <xf numFmtId="0" fontId="34" fillId="4" borderId="3" xfId="0" applyFont="1" applyFill="1" applyBorder="1" applyAlignment="1">
      <alignment horizontal="left"/>
    </xf>
    <xf numFmtId="14" fontId="58" fillId="28" borderId="3" xfId="0" applyNumberFormat="1" applyFont="1" applyFill="1" applyBorder="1" applyAlignment="1">
      <alignment horizontal="center"/>
    </xf>
    <xf numFmtId="14" fontId="97" fillId="0" borderId="3" xfId="0" applyNumberFormat="1" applyFont="1" applyBorder="1" applyAlignment="1">
      <alignment horizontal="center"/>
    </xf>
    <xf numFmtId="0" fontId="100" fillId="26" borderId="3" xfId="0" applyFont="1" applyFill="1" applyBorder="1" applyAlignment="1" applyProtection="1">
      <alignment horizontal="center" vertical="center"/>
      <protection locked="0"/>
    </xf>
    <xf numFmtId="0" fontId="60" fillId="26" borderId="22" xfId="0" applyFont="1" applyFill="1" applyBorder="1" applyAlignment="1">
      <alignment horizontal="center" vertical="center" wrapText="1"/>
    </xf>
    <xf numFmtId="0" fontId="48" fillId="26" borderId="3" xfId="0" applyFont="1" applyFill="1" applyBorder="1" applyAlignment="1">
      <alignment horizontal="center"/>
    </xf>
    <xf numFmtId="0" fontId="48" fillId="26" borderId="46" xfId="0" applyFont="1" applyFill="1" applyBorder="1" applyAlignment="1">
      <alignment horizontal="center" wrapText="1"/>
    </xf>
    <xf numFmtId="0" fontId="48" fillId="26" borderId="40" xfId="0" applyFont="1" applyFill="1" applyBorder="1" applyAlignment="1">
      <alignment horizontal="center" wrapText="1"/>
    </xf>
    <xf numFmtId="0" fontId="48" fillId="0" borderId="40" xfId="0" applyFont="1" applyBorder="1" applyAlignment="1">
      <alignment horizontal="center" wrapText="1"/>
    </xf>
    <xf numFmtId="0" fontId="213" fillId="28" borderId="3" xfId="4" applyFont="1" applyFill="1" applyBorder="1" applyAlignment="1">
      <alignment horizontal="center" wrapText="1"/>
    </xf>
    <xf numFmtId="0" fontId="45" fillId="26" borderId="3" xfId="4" applyFill="1" applyBorder="1" applyAlignment="1" applyProtection="1">
      <alignment horizontal="center" vertical="center"/>
      <protection locked="0"/>
    </xf>
    <xf numFmtId="14" fontId="58" fillId="28" borderId="3" xfId="0" applyNumberFormat="1" applyFont="1" applyFill="1" applyBorder="1" applyAlignment="1">
      <alignment horizontal="center" wrapText="1"/>
    </xf>
    <xf numFmtId="14" fontId="60" fillId="0" borderId="3" xfId="0" applyNumberFormat="1" applyFont="1" applyBorder="1" applyAlignment="1">
      <alignment horizontal="center" wrapText="1"/>
    </xf>
    <xf numFmtId="0" fontId="97" fillId="26" borderId="7" xfId="0" applyFont="1" applyFill="1" applyBorder="1" applyAlignment="1">
      <alignment horizontal="center" vertical="center"/>
    </xf>
    <xf numFmtId="0" fontId="48" fillId="0" borderId="46" xfId="0" applyFont="1" applyBorder="1" applyAlignment="1">
      <alignment horizontal="center"/>
    </xf>
    <xf numFmtId="9" fontId="58" fillId="28" borderId="3" xfId="0" applyNumberFormat="1" applyFont="1" applyFill="1" applyBorder="1" applyAlignment="1">
      <alignment horizontal="center"/>
    </xf>
    <xf numFmtId="9" fontId="97" fillId="0" borderId="3" xfId="2" applyFont="1" applyFill="1" applyBorder="1" applyAlignment="1">
      <alignment horizontal="center"/>
    </xf>
    <xf numFmtId="0" fontId="97" fillId="0" borderId="3" xfId="0" applyFont="1" applyBorder="1" applyAlignment="1">
      <alignment horizontal="center" wrapText="1"/>
    </xf>
    <xf numFmtId="0" fontId="60" fillId="26" borderId="3" xfId="0" applyFont="1" applyFill="1" applyBorder="1" applyAlignment="1">
      <alignment horizontal="center"/>
    </xf>
    <xf numFmtId="0" fontId="97" fillId="26" borderId="22" xfId="0" applyFont="1" applyFill="1" applyBorder="1" applyAlignment="1">
      <alignment horizontal="center" vertical="center"/>
    </xf>
    <xf numFmtId="14" fontId="27" fillId="28" borderId="45" xfId="0" applyNumberFormat="1" applyFont="1" applyFill="1" applyBorder="1" applyAlignment="1">
      <alignment horizontal="center"/>
    </xf>
    <xf numFmtId="14" fontId="58" fillId="28" borderId="45" xfId="0" applyNumberFormat="1" applyFont="1" applyFill="1" applyBorder="1" applyAlignment="1">
      <alignment horizontal="center"/>
    </xf>
    <xf numFmtId="14" fontId="10" fillId="28" borderId="3" xfId="0" applyNumberFormat="1" applyFont="1" applyFill="1" applyBorder="1" applyAlignment="1" applyProtection="1">
      <alignment horizontal="center"/>
      <protection locked="0"/>
    </xf>
    <xf numFmtId="14" fontId="27" fillId="0" borderId="45" xfId="0" applyNumberFormat="1" applyFont="1" applyBorder="1" applyAlignment="1">
      <alignment horizontal="center"/>
    </xf>
    <xf numFmtId="14" fontId="216" fillId="28" borderId="3" xfId="0" applyNumberFormat="1" applyFont="1" applyFill="1" applyBorder="1" applyAlignment="1">
      <alignment horizontal="center"/>
    </xf>
    <xf numFmtId="0" fontId="100" fillId="26" borderId="22" xfId="0" applyFont="1" applyFill="1" applyBorder="1" applyAlignment="1" applyProtection="1">
      <alignment horizontal="center"/>
      <protection locked="0"/>
    </xf>
    <xf numFmtId="0" fontId="35" fillId="26" borderId="22" xfId="0" applyFont="1" applyFill="1" applyBorder="1" applyAlignment="1">
      <alignment horizontal="center" vertical="center" wrapText="1"/>
    </xf>
    <xf numFmtId="0" fontId="90" fillId="26" borderId="3" xfId="0" applyFont="1" applyFill="1" applyBorder="1" applyAlignment="1">
      <alignment horizontal="center" vertical="center"/>
    </xf>
    <xf numFmtId="0" fontId="45" fillId="26" borderId="22" xfId="4" applyFill="1" applyBorder="1" applyAlignment="1">
      <alignment horizontal="center" vertical="center" wrapText="1"/>
    </xf>
    <xf numFmtId="0" fontId="213" fillId="28" borderId="40" xfId="4" applyFont="1" applyFill="1" applyBorder="1" applyAlignment="1">
      <alignment horizontal="center" wrapText="1"/>
    </xf>
    <xf numFmtId="0" fontId="45" fillId="0" borderId="40" xfId="4" applyFill="1" applyBorder="1" applyAlignment="1">
      <alignment horizontal="center" wrapText="1"/>
    </xf>
    <xf numFmtId="0" fontId="0" fillId="28" borderId="22" xfId="0" applyFill="1" applyBorder="1" applyAlignment="1" applyProtection="1">
      <alignment horizontal="center"/>
      <protection locked="0"/>
    </xf>
    <xf numFmtId="0" fontId="100" fillId="4" borderId="3" xfId="0" applyFont="1" applyFill="1" applyBorder="1" applyAlignment="1">
      <alignment horizontal="center" vertical="center" wrapText="1"/>
    </xf>
    <xf numFmtId="0" fontId="58" fillId="28" borderId="40" xfId="0" applyFont="1" applyFill="1" applyBorder="1" applyAlignment="1">
      <alignment horizontal="center"/>
    </xf>
    <xf numFmtId="14" fontId="58" fillId="28" borderId="40" xfId="0" applyNumberFormat="1" applyFont="1" applyFill="1" applyBorder="1" applyAlignment="1">
      <alignment horizontal="center" wrapText="1"/>
    </xf>
    <xf numFmtId="14" fontId="48" fillId="0" borderId="40" xfId="0" applyNumberFormat="1" applyFont="1" applyBorder="1" applyAlignment="1">
      <alignment horizontal="center" wrapText="1"/>
    </xf>
    <xf numFmtId="0" fontId="53" fillId="28" borderId="7" xfId="0" applyFont="1" applyFill="1" applyBorder="1" applyAlignment="1">
      <alignment horizontal="center"/>
    </xf>
    <xf numFmtId="0" fontId="27" fillId="0" borderId="40" xfId="0" applyFont="1" applyBorder="1" applyAlignment="1">
      <alignment horizontal="center"/>
    </xf>
    <xf numFmtId="9" fontId="53" fillId="28" borderId="7" xfId="0" applyNumberFormat="1" applyFont="1" applyFill="1" applyBorder="1" applyAlignment="1">
      <alignment horizontal="center"/>
    </xf>
    <xf numFmtId="9" fontId="58" fillId="28" borderId="40" xfId="0" applyNumberFormat="1" applyFont="1" applyFill="1" applyBorder="1" applyAlignment="1">
      <alignment horizontal="center"/>
    </xf>
    <xf numFmtId="9" fontId="27" fillId="0" borderId="40" xfId="0" applyNumberFormat="1" applyFont="1" applyBorder="1" applyAlignment="1">
      <alignment horizontal="center"/>
    </xf>
    <xf numFmtId="0" fontId="68" fillId="0" borderId="40" xfId="0" applyFont="1" applyBorder="1" applyAlignment="1">
      <alignment horizontal="left" vertical="center" wrapText="1"/>
    </xf>
    <xf numFmtId="0" fontId="53" fillId="28" borderId="7" xfId="0" applyFont="1" applyFill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102" fillId="26" borderId="0" xfId="0" applyFont="1" applyFill="1" applyAlignment="1">
      <alignment horizontal="center"/>
    </xf>
    <xf numFmtId="0" fontId="97" fillId="26" borderId="0" xfId="0" applyFont="1" applyFill="1" applyAlignment="1">
      <alignment horizontal="center" vertical="center" wrapText="1"/>
    </xf>
    <xf numFmtId="14" fontId="68" fillId="0" borderId="6" xfId="0" applyNumberFormat="1" applyFont="1" applyBorder="1" applyAlignment="1">
      <alignment horizontal="left" vertical="center" wrapText="1"/>
    </xf>
    <xf numFmtId="14" fontId="58" fillId="28" borderId="6" xfId="0" applyNumberFormat="1" applyFont="1" applyFill="1" applyBorder="1" applyAlignment="1">
      <alignment horizontal="center" wrapText="1"/>
    </xf>
    <xf numFmtId="14" fontId="27" fillId="0" borderId="6" xfId="0" applyNumberFormat="1" applyFont="1" applyBorder="1" applyAlignment="1">
      <alignment horizontal="center" wrapText="1"/>
    </xf>
    <xf numFmtId="14" fontId="97" fillId="26" borderId="22" xfId="0" applyNumberFormat="1" applyFont="1" applyFill="1" applyBorder="1" applyAlignment="1">
      <alignment horizontal="center" vertical="center" wrapText="1"/>
    </xf>
    <xf numFmtId="0" fontId="154" fillId="28" borderId="7" xfId="0" applyFont="1" applyFill="1" applyBorder="1" applyAlignment="1" applyProtection="1">
      <alignment horizontal="center" vertical="center"/>
      <protection locked="0"/>
    </xf>
    <xf numFmtId="0" fontId="22" fillId="28" borderId="7" xfId="0" applyFont="1" applyFill="1" applyBorder="1" applyAlignment="1" applyProtection="1">
      <alignment horizontal="center" vertical="center"/>
      <protection locked="0"/>
    </xf>
    <xf numFmtId="0" fontId="68" fillId="28" borderId="3" xfId="0" applyFont="1" applyFill="1" applyBorder="1" applyAlignment="1">
      <alignment horizontal="center" vertical="center"/>
    </xf>
    <xf numFmtId="0" fontId="68" fillId="4" borderId="3" xfId="0" applyFont="1" applyFill="1" applyBorder="1" applyAlignment="1">
      <alignment horizontal="center" vertical="center"/>
    </xf>
    <xf numFmtId="0" fontId="216" fillId="28" borderId="45" xfId="0" applyFont="1" applyFill="1" applyBorder="1" applyAlignment="1">
      <alignment horizontal="left"/>
    </xf>
    <xf numFmtId="0" fontId="68" fillId="28" borderId="45" xfId="0" applyFont="1" applyFill="1" applyBorder="1" applyAlignment="1">
      <alignment horizontal="left" vertical="center"/>
    </xf>
    <xf numFmtId="0" fontId="97" fillId="28" borderId="45" xfId="0" applyFont="1" applyFill="1" applyBorder="1" applyAlignment="1">
      <alignment horizontal="left" vertical="center"/>
    </xf>
    <xf numFmtId="0" fontId="68" fillId="4" borderId="45" xfId="0" applyFont="1" applyFill="1" applyBorder="1" applyAlignment="1">
      <alignment horizontal="left" vertical="center"/>
    </xf>
    <xf numFmtId="14" fontId="10" fillId="28" borderId="22" xfId="0" applyNumberFormat="1" applyFont="1" applyFill="1" applyBorder="1" applyProtection="1">
      <protection locked="0"/>
    </xf>
    <xf numFmtId="0" fontId="216" fillId="28" borderId="45" xfId="0" applyFont="1" applyFill="1" applyBorder="1" applyAlignment="1">
      <alignment wrapText="1"/>
    </xf>
    <xf numFmtId="14" fontId="10" fillId="28" borderId="45" xfId="0" applyNumberFormat="1" applyFont="1" applyFill="1" applyBorder="1" applyAlignment="1" applyProtection="1">
      <alignment wrapText="1"/>
      <protection locked="0"/>
    </xf>
    <xf numFmtId="0" fontId="27" fillId="0" borderId="3" xfId="0" applyFont="1" applyBorder="1" applyAlignment="1">
      <alignment wrapText="1"/>
    </xf>
    <xf numFmtId="0" fontId="27" fillId="4" borderId="45" xfId="0" applyFont="1" applyFill="1" applyBorder="1" applyAlignment="1">
      <alignment wrapText="1"/>
    </xf>
    <xf numFmtId="0" fontId="100" fillId="26" borderId="22" xfId="0" applyFont="1" applyFill="1" applyBorder="1" applyAlignment="1" applyProtection="1">
      <alignment horizontal="center" vertical="center"/>
      <protection locked="0"/>
    </xf>
    <xf numFmtId="0" fontId="27" fillId="26" borderId="40" xfId="0" applyFont="1" applyFill="1" applyBorder="1" applyAlignment="1">
      <alignment horizontal="center" vertical="center"/>
    </xf>
    <xf numFmtId="0" fontId="45" fillId="26" borderId="22" xfId="4" applyFill="1" applyBorder="1" applyAlignment="1" applyProtection="1">
      <alignment horizontal="center" vertical="center"/>
      <protection locked="0"/>
    </xf>
    <xf numFmtId="0" fontId="0" fillId="26" borderId="3" xfId="0" applyFill="1" applyBorder="1" applyAlignment="1" applyProtection="1">
      <alignment horizontal="center"/>
      <protection locked="0"/>
    </xf>
    <xf numFmtId="0" fontId="10" fillId="26" borderId="3" xfId="0" applyFont="1" applyFill="1" applyBorder="1" applyAlignment="1" applyProtection="1">
      <alignment horizontal="center"/>
      <protection locked="0"/>
    </xf>
    <xf numFmtId="0" fontId="248" fillId="26" borderId="0" xfId="0" applyFont="1" applyFill="1" applyAlignment="1">
      <alignment horizontal="center"/>
    </xf>
    <xf numFmtId="14" fontId="97" fillId="26" borderId="3" xfId="0" applyNumberFormat="1" applyFont="1" applyFill="1" applyBorder="1" applyAlignment="1">
      <alignment horizontal="left" vertical="center"/>
    </xf>
    <xf numFmtId="14" fontId="97" fillId="26" borderId="7" xfId="0" applyNumberFormat="1" applyFont="1" applyFill="1" applyBorder="1" applyAlignment="1">
      <alignment horizontal="center" vertical="center" wrapText="1"/>
    </xf>
    <xf numFmtId="0" fontId="27" fillId="26" borderId="46" xfId="0" applyFont="1" applyFill="1" applyBorder="1" applyAlignment="1">
      <alignment horizontal="center"/>
    </xf>
    <xf numFmtId="14" fontId="37" fillId="28" borderId="3" xfId="0" applyNumberFormat="1" applyFont="1" applyFill="1" applyBorder="1" applyAlignment="1">
      <alignment horizontal="left" vertical="center"/>
    </xf>
    <xf numFmtId="14" fontId="50" fillId="38" borderId="3" xfId="0" applyNumberFormat="1" applyFont="1" applyFill="1" applyBorder="1" applyAlignment="1">
      <alignment horizontal="right"/>
    </xf>
    <xf numFmtId="0" fontId="45" fillId="9" borderId="6" xfId="4" applyFill="1" applyBorder="1" applyAlignment="1">
      <alignment wrapText="1"/>
    </xf>
    <xf numFmtId="0" fontId="48" fillId="0" borderId="46" xfId="0" applyFont="1" applyBorder="1" applyAlignment="1">
      <alignment readingOrder="1"/>
    </xf>
    <xf numFmtId="0" fontId="45" fillId="0" borderId="7" xfId="4" applyFill="1" applyBorder="1" applyAlignment="1"/>
    <xf numFmtId="172" fontId="35" fillId="26" borderId="3" xfId="0" applyNumberFormat="1" applyFont="1" applyFill="1" applyBorder="1" applyAlignment="1">
      <alignment horizontal="center" vertical="center" wrapText="1"/>
    </xf>
    <xf numFmtId="172" fontId="27" fillId="26" borderId="3" xfId="0" applyNumberFormat="1" applyFont="1" applyFill="1" applyBorder="1" applyAlignment="1">
      <alignment horizontal="center" wrapText="1"/>
    </xf>
    <xf numFmtId="0" fontId="76" fillId="26" borderId="45" xfId="0" applyFont="1" applyFill="1" applyBorder="1" applyAlignment="1" applyProtection="1">
      <alignment horizontal="left" vertical="top"/>
      <protection locked="0"/>
    </xf>
    <xf numFmtId="14" fontId="76" fillId="26" borderId="45" xfId="0" applyNumberFormat="1" applyFont="1" applyFill="1" applyBorder="1" applyAlignment="1" applyProtection="1">
      <alignment horizontal="left" vertical="center" wrapText="1"/>
      <protection locked="0"/>
    </xf>
    <xf numFmtId="0" fontId="106" fillId="9" borderId="3" xfId="0" applyFont="1" applyFill="1" applyBorder="1" applyAlignment="1">
      <alignment horizontal="center" vertical="center"/>
    </xf>
    <xf numFmtId="0" fontId="106" fillId="0" borderId="3" xfId="0" applyFont="1" applyBorder="1" applyAlignment="1">
      <alignment horizontal="center"/>
    </xf>
    <xf numFmtId="0" fontId="99" fillId="28" borderId="0" xfId="0" applyFont="1" applyFill="1" applyAlignment="1">
      <alignment horizontal="left"/>
    </xf>
    <xf numFmtId="0" fontId="106" fillId="9" borderId="3" xfId="0" applyFont="1" applyFill="1" applyBorder="1" applyAlignment="1">
      <alignment wrapText="1"/>
    </xf>
    <xf numFmtId="0" fontId="47" fillId="29" borderId="0" xfId="0" applyFont="1" applyFill="1" applyAlignment="1">
      <alignment wrapText="1"/>
    </xf>
    <xf numFmtId="0" fontId="99" fillId="29" borderId="40" xfId="0" applyFont="1" applyFill="1" applyBorder="1" applyAlignment="1">
      <alignment horizontal="left"/>
    </xf>
    <xf numFmtId="0" fontId="106" fillId="9" borderId="0" xfId="0" applyFont="1" applyFill="1" applyAlignment="1">
      <alignment wrapText="1"/>
    </xf>
    <xf numFmtId="0" fontId="99" fillId="29" borderId="0" xfId="0" applyFont="1" applyFill="1" applyAlignment="1">
      <alignment horizontal="left"/>
    </xf>
    <xf numFmtId="0" fontId="55" fillId="29" borderId="0" xfId="0" applyFont="1" applyFill="1"/>
    <xf numFmtId="0" fontId="208" fillId="9" borderId="40" xfId="0" applyFont="1" applyFill="1" applyBorder="1"/>
    <xf numFmtId="0" fontId="55" fillId="9" borderId="0" xfId="0" applyFont="1" applyFill="1"/>
    <xf numFmtId="0" fontId="99" fillId="9" borderId="40" xfId="0" applyFont="1" applyFill="1" applyBorder="1" applyAlignment="1">
      <alignment horizontal="left" wrapText="1"/>
    </xf>
    <xf numFmtId="0" fontId="106" fillId="9" borderId="43" xfId="0" applyFont="1" applyFill="1" applyBorder="1"/>
    <xf numFmtId="0" fontId="99" fillId="29" borderId="40" xfId="0" applyFont="1" applyFill="1" applyBorder="1" applyAlignment="1">
      <alignment horizontal="left" wrapText="1"/>
    </xf>
    <xf numFmtId="0" fontId="99" fillId="28" borderId="41" xfId="0" applyFont="1" applyFill="1" applyBorder="1" applyAlignment="1">
      <alignment horizontal="left"/>
    </xf>
    <xf numFmtId="0" fontId="99" fillId="29" borderId="41" xfId="0" applyFont="1" applyFill="1" applyBorder="1" applyAlignment="1">
      <alignment horizontal="left"/>
    </xf>
    <xf numFmtId="0" fontId="99" fillId="9" borderId="40" xfId="0" applyFont="1" applyFill="1" applyBorder="1" applyAlignment="1">
      <alignment horizontal="left"/>
    </xf>
    <xf numFmtId="0" fontId="47" fillId="30" borderId="41" xfId="0" applyFont="1" applyFill="1" applyBorder="1"/>
    <xf numFmtId="0" fontId="47" fillId="30" borderId="3" xfId="0" applyFont="1" applyFill="1" applyBorder="1" applyAlignment="1">
      <alignment wrapText="1"/>
    </xf>
    <xf numFmtId="0" fontId="99" fillId="28" borderId="41" xfId="0" applyFont="1" applyFill="1" applyBorder="1"/>
    <xf numFmtId="0" fontId="55" fillId="30" borderId="3" xfId="0" applyFont="1" applyFill="1" applyBorder="1"/>
    <xf numFmtId="0" fontId="47" fillId="30" borderId="3" xfId="0" applyFont="1" applyFill="1" applyBorder="1"/>
    <xf numFmtId="0" fontId="99" fillId="28" borderId="0" xfId="0" applyFont="1" applyFill="1"/>
    <xf numFmtId="0" fontId="111" fillId="9" borderId="0" xfId="0" applyFont="1" applyFill="1"/>
    <xf numFmtId="0" fontId="99" fillId="9" borderId="0" xfId="0" applyFont="1" applyFill="1"/>
    <xf numFmtId="0" fontId="209" fillId="9" borderId="3" xfId="0" applyFont="1" applyFill="1" applyBorder="1"/>
    <xf numFmtId="0" fontId="106" fillId="9" borderId="41" xfId="0" applyFont="1" applyFill="1" applyBorder="1" applyAlignment="1">
      <alignment horizontal="left"/>
    </xf>
    <xf numFmtId="0" fontId="175" fillId="9" borderId="40" xfId="0" applyFont="1" applyFill="1" applyBorder="1"/>
    <xf numFmtId="0" fontId="221" fillId="9" borderId="40" xfId="0" applyFont="1" applyFill="1" applyBorder="1"/>
    <xf numFmtId="0" fontId="130" fillId="9" borderId="3" xfId="0" applyFont="1" applyFill="1" applyBorder="1"/>
    <xf numFmtId="0" fontId="99" fillId="29" borderId="0" xfId="0" applyFont="1" applyFill="1"/>
    <xf numFmtId="0" fontId="209" fillId="9" borderId="40" xfId="0" applyFont="1" applyFill="1" applyBorder="1"/>
    <xf numFmtId="0" fontId="130" fillId="9" borderId="40" xfId="0" applyFont="1" applyFill="1" applyBorder="1"/>
    <xf numFmtId="0" fontId="106" fillId="9" borderId="0" xfId="0" applyFont="1" applyFill="1" applyAlignment="1">
      <alignment horizontal="left"/>
    </xf>
    <xf numFmtId="0" fontId="111" fillId="9" borderId="3" xfId="0" applyFont="1" applyFill="1" applyBorder="1"/>
    <xf numFmtId="0" fontId="184" fillId="9" borderId="40" xfId="0" applyFont="1" applyFill="1" applyBorder="1"/>
    <xf numFmtId="0" fontId="47" fillId="28" borderId="43" xfId="0" applyFont="1" applyFill="1" applyBorder="1" applyAlignment="1">
      <alignment wrapText="1"/>
    </xf>
    <xf numFmtId="0" fontId="106" fillId="9" borderId="0" xfId="0" applyFont="1" applyFill="1"/>
    <xf numFmtId="0" fontId="116" fillId="9" borderId="40" xfId="0" applyFont="1" applyFill="1" applyBorder="1"/>
    <xf numFmtId="0" fontId="99" fillId="28" borderId="40" xfId="0" quotePrefix="1" applyFont="1" applyFill="1" applyBorder="1" applyAlignment="1">
      <alignment horizontal="left"/>
    </xf>
    <xf numFmtId="0" fontId="113" fillId="9" borderId="40" xfId="0" applyFont="1" applyFill="1" applyBorder="1"/>
    <xf numFmtId="0" fontId="99" fillId="9" borderId="40" xfId="0" quotePrefix="1" applyFont="1" applyFill="1" applyBorder="1"/>
    <xf numFmtId="0" fontId="55" fillId="28" borderId="0" xfId="0" applyFont="1" applyFill="1"/>
    <xf numFmtId="0" fontId="99" fillId="9" borderId="0" xfId="0" quotePrefix="1" applyFont="1" applyFill="1"/>
    <xf numFmtId="0" fontId="206" fillId="9" borderId="40" xfId="0" applyFont="1" applyFill="1" applyBorder="1"/>
    <xf numFmtId="0" fontId="50" fillId="4" borderId="0" xfId="0" applyFont="1" applyFill="1"/>
    <xf numFmtId="0" fontId="99" fillId="29" borderId="40" xfId="0" quotePrefix="1" applyFont="1" applyFill="1" applyBorder="1" applyAlignment="1">
      <alignment horizontal="left"/>
    </xf>
    <xf numFmtId="0" fontId="185" fillId="9" borderId="40" xfId="0" applyFont="1" applyFill="1" applyBorder="1"/>
    <xf numFmtId="0" fontId="47" fillId="29" borderId="0" xfId="0" applyFont="1" applyFill="1"/>
    <xf numFmtId="0" fontId="49" fillId="28" borderId="3" xfId="0" applyFont="1" applyFill="1" applyBorder="1"/>
    <xf numFmtId="0" fontId="45" fillId="9" borderId="0" xfId="4" applyFill="1" applyBorder="1"/>
    <xf numFmtId="0" fontId="49" fillId="29" borderId="3" xfId="0" applyFont="1" applyFill="1" applyBorder="1"/>
    <xf numFmtId="0" fontId="49" fillId="28" borderId="0" xfId="0" applyFont="1" applyFill="1"/>
    <xf numFmtId="0" fontId="136" fillId="28" borderId="40" xfId="0" applyFont="1" applyFill="1" applyBorder="1" applyAlignment="1">
      <alignment horizontal="left"/>
    </xf>
    <xf numFmtId="0" fontId="138" fillId="9" borderId="0" xfId="0" applyFont="1" applyFill="1"/>
    <xf numFmtId="0" fontId="123" fillId="9" borderId="3" xfId="0" applyFont="1" applyFill="1" applyBorder="1"/>
    <xf numFmtId="0" fontId="49" fillId="29" borderId="0" xfId="0" applyFont="1" applyFill="1"/>
    <xf numFmtId="0" fontId="136" fillId="28" borderId="40" xfId="4" applyFont="1" applyFill="1" applyBorder="1" applyAlignment="1">
      <alignment horizontal="left"/>
    </xf>
    <xf numFmtId="0" fontId="136" fillId="9" borderId="40" xfId="4" applyFont="1" applyFill="1" applyBorder="1" applyAlignment="1">
      <alignment horizontal="left"/>
    </xf>
    <xf numFmtId="0" fontId="138" fillId="9" borderId="40" xfId="4" applyFont="1" applyFill="1" applyBorder="1"/>
    <xf numFmtId="0" fontId="123" fillId="9" borderId="40" xfId="0" applyFont="1" applyFill="1" applyBorder="1"/>
    <xf numFmtId="0" fontId="45" fillId="4" borderId="0" xfId="4" applyFill="1" applyBorder="1" applyAlignment="1"/>
    <xf numFmtId="0" fontId="45" fillId="9" borderId="43" xfId="4" applyFill="1" applyBorder="1"/>
    <xf numFmtId="0" fontId="136" fillId="29" borderId="40" xfId="0" applyFont="1" applyFill="1" applyBorder="1" applyAlignment="1">
      <alignment horizontal="left"/>
    </xf>
    <xf numFmtId="0" fontId="186" fillId="9" borderId="40" xfId="0" applyFont="1" applyFill="1" applyBorder="1"/>
    <xf numFmtId="0" fontId="49" fillId="28" borderId="43" xfId="0" applyFont="1" applyFill="1" applyBorder="1"/>
    <xf numFmtId="0" fontId="49" fillId="29" borderId="90" xfId="0" applyFont="1" applyFill="1" applyBorder="1"/>
    <xf numFmtId="0" fontId="54" fillId="9" borderId="0" xfId="0" applyFont="1" applyFill="1"/>
    <xf numFmtId="0" fontId="203" fillId="0" borderId="40" xfId="0" applyFont="1" applyBorder="1"/>
    <xf numFmtId="0" fontId="139" fillId="29" borderId="0" xfId="0" applyFont="1" applyFill="1"/>
    <xf numFmtId="0" fontId="142" fillId="29" borderId="0" xfId="0" applyFont="1" applyFill="1"/>
    <xf numFmtId="0" fontId="203" fillId="9" borderId="0" xfId="0" applyFont="1" applyFill="1"/>
    <xf numFmtId="0" fontId="54" fillId="9" borderId="92" xfId="0" applyFont="1" applyFill="1" applyBorder="1"/>
    <xf numFmtId="0" fontId="130" fillId="0" borderId="0" xfId="0" applyFont="1"/>
    <xf numFmtId="0" fontId="99" fillId="28" borderId="92" xfId="0" applyFont="1" applyFill="1" applyBorder="1" applyAlignment="1">
      <alignment horizontal="left"/>
    </xf>
    <xf numFmtId="0" fontId="244" fillId="0" borderId="3" xfId="0" applyFont="1" applyBorder="1"/>
    <xf numFmtId="0" fontId="123" fillId="0" borderId="0" xfId="0" applyFont="1"/>
    <xf numFmtId="0" fontId="142" fillId="29" borderId="3" xfId="0" applyFont="1" applyFill="1" applyBorder="1"/>
    <xf numFmtId="0" fontId="204" fillId="35" borderId="92" xfId="0" applyFont="1" applyFill="1" applyBorder="1"/>
    <xf numFmtId="0" fontId="99" fillId="28" borderId="42" xfId="0" applyFont="1" applyFill="1" applyBorder="1" applyAlignment="1">
      <alignment horizontal="left" wrapText="1"/>
    </xf>
    <xf numFmtId="0" fontId="47" fillId="29" borderId="42" xfId="0" applyFont="1" applyFill="1" applyBorder="1" applyAlignment="1">
      <alignment wrapText="1"/>
    </xf>
    <xf numFmtId="0" fontId="106" fillId="9" borderId="40" xfId="0" applyFont="1" applyFill="1" applyBorder="1" applyAlignment="1">
      <alignment horizontal="left" vertical="center" wrapText="1"/>
    </xf>
    <xf numFmtId="0" fontId="99" fillId="28" borderId="40" xfId="0" applyFont="1" applyFill="1" applyBorder="1" applyAlignment="1">
      <alignment horizontal="left" wrapText="1"/>
    </xf>
    <xf numFmtId="0" fontId="106" fillId="9" borderId="6" xfId="0" applyFont="1" applyFill="1" applyBorder="1" applyAlignment="1">
      <alignment wrapText="1"/>
    </xf>
    <xf numFmtId="0" fontId="99" fillId="29" borderId="42" xfId="0" applyFont="1" applyFill="1" applyBorder="1" applyAlignment="1">
      <alignment horizontal="left" wrapText="1"/>
    </xf>
    <xf numFmtId="0" fontId="106" fillId="9" borderId="42" xfId="0" applyFont="1" applyFill="1" applyBorder="1" applyAlignment="1">
      <alignment horizontal="left" wrapText="1"/>
    </xf>
    <xf numFmtId="0" fontId="47" fillId="30" borderId="42" xfId="0" applyFont="1" applyFill="1" applyBorder="1" applyAlignment="1">
      <alignment wrapText="1"/>
    </xf>
    <xf numFmtId="0" fontId="115" fillId="29" borderId="0" xfId="0" applyFont="1" applyFill="1"/>
    <xf numFmtId="0" fontId="220" fillId="9" borderId="40" xfId="0" applyFont="1" applyFill="1" applyBorder="1"/>
    <xf numFmtId="0" fontId="115" fillId="28" borderId="0" xfId="0" applyFont="1" applyFill="1"/>
    <xf numFmtId="14" fontId="99" fillId="29" borderId="42" xfId="0" applyNumberFormat="1" applyFont="1" applyFill="1" applyBorder="1" applyAlignment="1">
      <alignment horizontal="left"/>
    </xf>
    <xf numFmtId="170" fontId="106" fillId="0" borderId="3" xfId="0" applyNumberFormat="1" applyFont="1" applyBorder="1" applyAlignment="1">
      <alignment horizontal="left" wrapText="1"/>
    </xf>
    <xf numFmtId="14" fontId="99" fillId="28" borderId="42" xfId="0" applyNumberFormat="1" applyFont="1" applyFill="1" applyBorder="1" applyAlignment="1">
      <alignment horizontal="left"/>
    </xf>
    <xf numFmtId="3" fontId="106" fillId="9" borderId="3" xfId="0" applyNumberFormat="1" applyFont="1" applyFill="1" applyBorder="1" applyAlignment="1">
      <alignment horizontal="left"/>
    </xf>
    <xf numFmtId="3" fontId="106" fillId="0" borderId="3" xfId="0" applyNumberFormat="1" applyFont="1" applyBorder="1" applyAlignment="1">
      <alignment horizontal="left"/>
    </xf>
    <xf numFmtId="3" fontId="106" fillId="9" borderId="0" xfId="0" applyNumberFormat="1" applyFont="1" applyFill="1" applyAlignment="1">
      <alignment horizontal="left"/>
    </xf>
    <xf numFmtId="3" fontId="99" fillId="28" borderId="40" xfId="0" applyNumberFormat="1" applyFont="1" applyFill="1" applyBorder="1" applyAlignment="1">
      <alignment horizontal="left"/>
    </xf>
    <xf numFmtId="0" fontId="137" fillId="28" borderId="40" xfId="0" applyFont="1" applyFill="1" applyBorder="1" applyAlignment="1">
      <alignment horizontal="left" vertical="center"/>
    </xf>
    <xf numFmtId="9" fontId="99" fillId="28" borderId="40" xfId="0" applyNumberFormat="1" applyFont="1" applyFill="1" applyBorder="1" applyAlignment="1">
      <alignment horizontal="left"/>
    </xf>
    <xf numFmtId="9" fontId="106" fillId="9" borderId="3" xfId="0" applyNumberFormat="1" applyFont="1" applyFill="1" applyBorder="1" applyAlignment="1">
      <alignment horizontal="center"/>
    </xf>
    <xf numFmtId="9" fontId="99" fillId="29" borderId="41" xfId="0" applyNumberFormat="1" applyFont="1" applyFill="1" applyBorder="1" applyAlignment="1">
      <alignment horizontal="left"/>
    </xf>
    <xf numFmtId="9" fontId="99" fillId="29" borderId="40" xfId="0" applyNumberFormat="1" applyFont="1" applyFill="1" applyBorder="1" applyAlignment="1">
      <alignment horizontal="left"/>
    </xf>
    <xf numFmtId="9" fontId="50" fillId="30" borderId="41" xfId="0" applyNumberFormat="1" applyFont="1" applyFill="1" applyBorder="1"/>
    <xf numFmtId="9" fontId="50" fillId="29" borderId="41" xfId="0" applyNumberFormat="1" applyFont="1" applyFill="1" applyBorder="1"/>
    <xf numFmtId="9" fontId="99" fillId="28" borderId="41" xfId="0" applyNumberFormat="1" applyFont="1" applyFill="1" applyBorder="1" applyAlignment="1">
      <alignment horizontal="left"/>
    </xf>
    <xf numFmtId="0" fontId="27" fillId="29" borderId="40" xfId="0" applyFont="1" applyFill="1" applyBorder="1"/>
    <xf numFmtId="0" fontId="106" fillId="9" borderId="40" xfId="0" quotePrefix="1" applyFont="1" applyFill="1" applyBorder="1" applyAlignment="1">
      <alignment horizontal="left"/>
    </xf>
    <xf numFmtId="0" fontId="113" fillId="9" borderId="3" xfId="0" applyFont="1" applyFill="1" applyBorder="1"/>
    <xf numFmtId="0" fontId="106" fillId="9" borderId="47" xfId="0" quotePrefix="1" applyFont="1" applyFill="1" applyBorder="1" applyAlignment="1">
      <alignment horizontal="left"/>
    </xf>
    <xf numFmtId="170" fontId="106" fillId="9" borderId="42" xfId="0" applyNumberFormat="1" applyFont="1" applyFill="1" applyBorder="1" applyAlignment="1" applyProtection="1">
      <alignment horizontal="left" vertical="center"/>
      <protection locked="0"/>
    </xf>
    <xf numFmtId="0" fontId="50" fillId="29" borderId="40" xfId="0" applyFont="1" applyFill="1" applyBorder="1" applyAlignment="1">
      <alignment wrapText="1"/>
    </xf>
    <xf numFmtId="0" fontId="99" fillId="28" borderId="42" xfId="0" applyFont="1" applyFill="1" applyBorder="1" applyAlignment="1">
      <alignment horizontal="left"/>
    </xf>
    <xf numFmtId="0" fontId="113" fillId="28" borderId="42" xfId="0" applyFont="1" applyFill="1" applyBorder="1"/>
    <xf numFmtId="170" fontId="99" fillId="28" borderId="40" xfId="0" applyNumberFormat="1" applyFont="1" applyFill="1" applyBorder="1" applyAlignment="1">
      <alignment horizontal="left" wrapText="1"/>
    </xf>
    <xf numFmtId="0" fontId="106" fillId="29" borderId="40" xfId="0" applyFont="1" applyFill="1" applyBorder="1" applyAlignment="1">
      <alignment horizontal="left"/>
    </xf>
    <xf numFmtId="0" fontId="119" fillId="9" borderId="40" xfId="0" applyFont="1" applyFill="1" applyBorder="1"/>
    <xf numFmtId="0" fontId="107" fillId="28" borderId="40" xfId="0" applyFont="1" applyFill="1" applyBorder="1" applyAlignment="1" applyProtection="1">
      <alignment horizontal="left"/>
      <protection locked="0"/>
    </xf>
    <xf numFmtId="0" fontId="107" fillId="9" borderId="40" xfId="0" applyFont="1" applyFill="1" applyBorder="1" applyAlignment="1" applyProtection="1">
      <alignment horizontal="left"/>
      <protection locked="0"/>
    </xf>
    <xf numFmtId="3" fontId="106" fillId="9" borderId="3" xfId="0" applyNumberFormat="1" applyFont="1" applyFill="1" applyBorder="1" applyAlignment="1">
      <alignment horizontal="center" vertical="center"/>
    </xf>
    <xf numFmtId="0" fontId="99" fillId="28" borderId="3" xfId="0" applyFont="1" applyFill="1" applyBorder="1"/>
    <xf numFmtId="0" fontId="107" fillId="28" borderId="40" xfId="0" applyFont="1" applyFill="1" applyBorder="1" applyAlignment="1">
      <alignment horizontal="left"/>
    </xf>
    <xf numFmtId="0" fontId="99" fillId="29" borderId="44" xfId="0" applyFont="1" applyFill="1" applyBorder="1" applyAlignment="1">
      <alignment horizontal="left"/>
    </xf>
    <xf numFmtId="0" fontId="106" fillId="0" borderId="0" xfId="0" applyFont="1" applyAlignment="1">
      <alignment wrapText="1"/>
    </xf>
    <xf numFmtId="0" fontId="99" fillId="29" borderId="41" xfId="0" applyFont="1" applyFill="1" applyBorder="1" applyAlignment="1">
      <alignment wrapText="1"/>
    </xf>
    <xf numFmtId="0" fontId="99" fillId="28" borderId="41" xfId="0" applyFont="1" applyFill="1" applyBorder="1" applyAlignment="1">
      <alignment wrapText="1"/>
    </xf>
    <xf numFmtId="0" fontId="137" fillId="29" borderId="3" xfId="0" applyFont="1" applyFill="1" applyBorder="1"/>
    <xf numFmtId="0" fontId="137" fillId="28" borderId="3" xfId="0" applyFont="1" applyFill="1" applyBorder="1"/>
    <xf numFmtId="0" fontId="99" fillId="29" borderId="41" xfId="0" applyFont="1" applyFill="1" applyBorder="1"/>
    <xf numFmtId="0" fontId="47" fillId="29" borderId="41" xfId="0" applyFont="1" applyFill="1" applyBorder="1"/>
    <xf numFmtId="0" fontId="106" fillId="9" borderId="41" xfId="0" applyFont="1" applyFill="1" applyBorder="1" applyAlignment="1">
      <alignment horizontal="left" wrapText="1"/>
    </xf>
    <xf numFmtId="0" fontId="70" fillId="30" borderId="3" xfId="0" applyFont="1" applyFill="1" applyBorder="1"/>
    <xf numFmtId="0" fontId="174" fillId="9" borderId="0" xfId="0" applyFont="1" applyFill="1"/>
    <xf numFmtId="0" fontId="137" fillId="29" borderId="0" xfId="0" applyFont="1" applyFill="1"/>
    <xf numFmtId="0" fontId="209" fillId="9" borderId="0" xfId="0" applyFont="1" applyFill="1"/>
    <xf numFmtId="0" fontId="99" fillId="29" borderId="3" xfId="0" applyFont="1" applyFill="1" applyBorder="1"/>
    <xf numFmtId="0" fontId="241" fillId="9" borderId="0" xfId="0" applyFont="1" applyFill="1"/>
    <xf numFmtId="0" fontId="175" fillId="9" borderId="0" xfId="0" applyFont="1" applyFill="1"/>
    <xf numFmtId="0" fontId="116" fillId="9" borderId="0" xfId="0" applyFont="1" applyFill="1"/>
    <xf numFmtId="0" fontId="99" fillId="29" borderId="0" xfId="0" applyFont="1" applyFill="1" applyAlignment="1">
      <alignment wrapText="1"/>
    </xf>
    <xf numFmtId="0" fontId="99" fillId="28" borderId="0" xfId="0" applyFont="1" applyFill="1" applyAlignment="1">
      <alignment wrapText="1"/>
    </xf>
    <xf numFmtId="0" fontId="206" fillId="9" borderId="0" xfId="0" applyFont="1" applyFill="1"/>
    <xf numFmtId="0" fontId="45" fillId="9" borderId="0" xfId="4" applyFill="1" applyBorder="1" applyAlignment="1">
      <alignment horizontal="left"/>
    </xf>
    <xf numFmtId="0" fontId="71" fillId="29" borderId="3" xfId="0" applyFont="1" applyFill="1" applyBorder="1" applyAlignment="1">
      <alignment wrapText="1"/>
    </xf>
    <xf numFmtId="0" fontId="71" fillId="28" borderId="3" xfId="0" applyFont="1" applyFill="1" applyBorder="1" applyAlignment="1">
      <alignment wrapText="1"/>
    </xf>
    <xf numFmtId="0" fontId="45" fillId="28" borderId="40" xfId="4" applyFill="1" applyBorder="1" applyAlignment="1">
      <alignment wrapText="1"/>
    </xf>
    <xf numFmtId="0" fontId="138" fillId="29" borderId="0" xfId="0" applyFont="1" applyFill="1"/>
    <xf numFmtId="0" fontId="138" fillId="28" borderId="0" xfId="0" applyFont="1" applyFill="1"/>
    <xf numFmtId="0" fontId="204" fillId="9" borderId="0" xfId="0" applyFont="1" applyFill="1"/>
    <xf numFmtId="0" fontId="99" fillId="9" borderId="0" xfId="0" applyFont="1" applyFill="1" applyAlignment="1">
      <alignment horizontal="left" wrapText="1"/>
    </xf>
    <xf numFmtId="0" fontId="99" fillId="4" borderId="0" xfId="0" applyFont="1" applyFill="1" applyAlignment="1">
      <alignment horizontal="left" readingOrder="1"/>
    </xf>
    <xf numFmtId="0" fontId="139" fillId="28" borderId="0" xfId="0" applyFont="1" applyFill="1"/>
    <xf numFmtId="0" fontId="207" fillId="9" borderId="0" xfId="0" applyFont="1" applyFill="1"/>
    <xf numFmtId="0" fontId="210" fillId="9" borderId="0" xfId="0" applyFont="1" applyFill="1"/>
    <xf numFmtId="0" fontId="141" fillId="29" borderId="3" xfId="0" applyFont="1" applyFill="1" applyBorder="1"/>
    <xf numFmtId="0" fontId="99" fillId="29" borderId="44" xfId="0" applyFont="1" applyFill="1" applyBorder="1" applyAlignment="1">
      <alignment horizontal="left" wrapText="1"/>
    </xf>
    <xf numFmtId="0" fontId="55" fillId="29" borderId="42" xfId="0" applyFont="1" applyFill="1" applyBorder="1" applyAlignment="1">
      <alignment wrapText="1"/>
    </xf>
    <xf numFmtId="0" fontId="99" fillId="30" borderId="0" xfId="0" applyFont="1" applyFill="1"/>
    <xf numFmtId="9" fontId="50" fillId="28" borderId="41" xfId="0" applyNumberFormat="1" applyFont="1" applyFill="1" applyBorder="1"/>
    <xf numFmtId="0" fontId="113" fillId="28" borderId="40" xfId="0" applyFont="1" applyFill="1" applyBorder="1"/>
    <xf numFmtId="0" fontId="176" fillId="9" borderId="40" xfId="0" applyFont="1" applyFill="1" applyBorder="1" applyAlignment="1">
      <alignment horizontal="center" vertical="center"/>
    </xf>
    <xf numFmtId="170" fontId="99" fillId="9" borderId="40" xfId="0" applyNumberFormat="1" applyFont="1" applyFill="1" applyBorder="1" applyAlignment="1">
      <alignment horizontal="left" wrapText="1"/>
    </xf>
    <xf numFmtId="0" fontId="106" fillId="9" borderId="45" xfId="0" applyFont="1" applyFill="1" applyBorder="1"/>
    <xf numFmtId="0" fontId="174" fillId="0" borderId="41" xfId="0" applyFont="1" applyBorder="1"/>
    <xf numFmtId="0" fontId="47" fillId="30" borderId="0" xfId="0" applyFont="1" applyFill="1"/>
    <xf numFmtId="0" fontId="118" fillId="29" borderId="41" xfId="0" applyFont="1" applyFill="1" applyBorder="1"/>
    <xf numFmtId="0" fontId="137" fillId="28" borderId="0" xfId="0" applyFont="1" applyFill="1"/>
    <xf numFmtId="0" fontId="182" fillId="9" borderId="40" xfId="0" applyFont="1" applyFill="1" applyBorder="1"/>
    <xf numFmtId="0" fontId="47" fillId="29" borderId="90" xfId="0" applyFont="1" applyFill="1" applyBorder="1" applyAlignment="1">
      <alignment wrapText="1"/>
    </xf>
    <xf numFmtId="0" fontId="106" fillId="0" borderId="0" xfId="0" applyFont="1" applyAlignment="1" applyProtection="1">
      <alignment horizontal="left" vertical="center"/>
      <protection locked="0"/>
    </xf>
    <xf numFmtId="0" fontId="150" fillId="0" borderId="40" xfId="0" applyFont="1" applyBorder="1"/>
    <xf numFmtId="0" fontId="55" fillId="28" borderId="90" xfId="0" applyFont="1" applyFill="1" applyBorder="1"/>
    <xf numFmtId="0" fontId="55" fillId="29" borderId="90" xfId="0" applyFont="1" applyFill="1" applyBorder="1"/>
    <xf numFmtId="0" fontId="150" fillId="9" borderId="40" xfId="0" applyFont="1" applyFill="1" applyBorder="1"/>
    <xf numFmtId="0" fontId="159" fillId="9" borderId="40" xfId="0" applyFont="1" applyFill="1" applyBorder="1"/>
    <xf numFmtId="0" fontId="45" fillId="0" borderId="40" xfId="4" applyBorder="1" applyAlignment="1">
      <alignment wrapText="1"/>
    </xf>
    <xf numFmtId="0" fontId="108" fillId="9" borderId="40" xfId="4" applyFont="1" applyFill="1" applyBorder="1" applyAlignment="1"/>
    <xf numFmtId="0" fontId="140" fillId="28" borderId="0" xfId="0" applyFont="1" applyFill="1"/>
    <xf numFmtId="0" fontId="141" fillId="29" borderId="0" xfId="0" applyFont="1" applyFill="1"/>
    <xf numFmtId="0" fontId="141" fillId="29" borderId="92" xfId="0" applyFont="1" applyFill="1" applyBorder="1"/>
    <xf numFmtId="0" fontId="140" fillId="29" borderId="0" xfId="0" applyFont="1" applyFill="1"/>
    <xf numFmtId="0" fontId="117" fillId="9" borderId="40" xfId="0" applyFont="1" applyFill="1" applyBorder="1"/>
    <xf numFmtId="0" fontId="99" fillId="9" borderId="92" xfId="0" applyFont="1" applyFill="1" applyBorder="1"/>
    <xf numFmtId="0" fontId="99" fillId="30" borderId="40" xfId="0" applyFont="1" applyFill="1" applyBorder="1" applyAlignment="1">
      <alignment horizontal="left" readingOrder="1"/>
    </xf>
    <xf numFmtId="0" fontId="55" fillId="28" borderId="42" xfId="0" applyFont="1" applyFill="1" applyBorder="1" applyAlignment="1">
      <alignment wrapText="1"/>
    </xf>
    <xf numFmtId="0" fontId="99" fillId="28" borderId="6" xfId="0" applyFont="1" applyFill="1" applyBorder="1" applyAlignment="1">
      <alignment wrapText="1"/>
    </xf>
    <xf numFmtId="0" fontId="106" fillId="0" borderId="6" xfId="0" applyFont="1" applyBorder="1" applyAlignment="1">
      <alignment horizontal="left" wrapText="1"/>
    </xf>
    <xf numFmtId="0" fontId="99" fillId="9" borderId="6" xfId="0" applyFont="1" applyFill="1" applyBorder="1" applyAlignment="1">
      <alignment wrapText="1"/>
    </xf>
    <xf numFmtId="0" fontId="99" fillId="29" borderId="6" xfId="0" applyFont="1" applyFill="1" applyBorder="1" applyAlignment="1">
      <alignment wrapText="1"/>
    </xf>
    <xf numFmtId="0" fontId="47" fillId="30" borderId="44" xfId="0" applyFont="1" applyFill="1" applyBorder="1" applyAlignment="1">
      <alignment wrapText="1"/>
    </xf>
    <xf numFmtId="14" fontId="50" fillId="4" borderId="42" xfId="0" applyNumberFormat="1" applyFont="1" applyFill="1" applyBorder="1"/>
    <xf numFmtId="3" fontId="50" fillId="28" borderId="0" xfId="0" applyNumberFormat="1" applyFont="1" applyFill="1"/>
    <xf numFmtId="0" fontId="130" fillId="9" borderId="0" xfId="0" applyFont="1" applyFill="1"/>
    <xf numFmtId="3" fontId="50" fillId="29" borderId="0" xfId="0" applyNumberFormat="1" applyFont="1" applyFill="1"/>
    <xf numFmtId="0" fontId="106" fillId="9" borderId="44" xfId="0" applyFont="1" applyFill="1" applyBorder="1" applyAlignment="1">
      <alignment horizontal="left" vertical="center"/>
    </xf>
    <xf numFmtId="9" fontId="106" fillId="9" borderId="44" xfId="2" applyFont="1" applyFill="1" applyBorder="1" applyAlignment="1">
      <alignment horizontal="center" vertical="center"/>
    </xf>
    <xf numFmtId="9" fontId="99" fillId="28" borderId="41" xfId="0" applyNumberFormat="1" applyFont="1" applyFill="1" applyBorder="1"/>
    <xf numFmtId="0" fontId="106" fillId="4" borderId="0" xfId="0" applyFont="1" applyFill="1" applyAlignment="1">
      <alignment horizontal="left"/>
    </xf>
    <xf numFmtId="0" fontId="99" fillId="29" borderId="42" xfId="0" applyFont="1" applyFill="1" applyBorder="1" applyAlignment="1">
      <alignment horizontal="left"/>
    </xf>
    <xf numFmtId="3" fontId="106" fillId="4" borderId="0" xfId="0" applyNumberFormat="1" applyFont="1" applyFill="1" applyAlignment="1">
      <alignment horizontal="left"/>
    </xf>
    <xf numFmtId="0" fontId="37" fillId="9" borderId="6" xfId="0" applyFont="1" applyFill="1" applyBorder="1" applyAlignment="1">
      <alignment horizontal="left"/>
    </xf>
    <xf numFmtId="0" fontId="106" fillId="9" borderId="43" xfId="0" applyFont="1" applyFill="1" applyBorder="1" applyAlignment="1">
      <alignment wrapText="1"/>
    </xf>
    <xf numFmtId="0" fontId="174" fillId="9" borderId="3" xfId="0" applyFont="1" applyFill="1" applyBorder="1"/>
    <xf numFmtId="173" fontId="106" fillId="9" borderId="42" xfId="0" applyNumberFormat="1" applyFont="1" applyFill="1" applyBorder="1" applyAlignment="1">
      <alignment horizontal="left" vertical="center"/>
    </xf>
    <xf numFmtId="0" fontId="106" fillId="9" borderId="47" xfId="0" applyFont="1" applyFill="1" applyBorder="1" applyAlignment="1">
      <alignment horizontal="left" wrapText="1"/>
    </xf>
    <xf numFmtId="0" fontId="174" fillId="9" borderId="43" xfId="0" applyFont="1" applyFill="1" applyBorder="1"/>
    <xf numFmtId="0" fontId="129" fillId="9" borderId="0" xfId="0" applyFont="1" applyFill="1"/>
    <xf numFmtId="0" fontId="129" fillId="9" borderId="3" xfId="0" applyFont="1" applyFill="1" applyBorder="1"/>
    <xf numFmtId="0" fontId="174" fillId="9" borderId="90" xfId="0" applyFont="1" applyFill="1" applyBorder="1"/>
    <xf numFmtId="0" fontId="213" fillId="28" borderId="3" xfId="4" applyFont="1" applyFill="1" applyBorder="1"/>
    <xf numFmtId="0" fontId="37" fillId="28" borderId="3" xfId="0" applyFont="1" applyFill="1" applyBorder="1" applyAlignment="1">
      <alignment horizontal="left" vertical="center" wrapText="1"/>
    </xf>
    <xf numFmtId="14" fontId="37" fillId="28" borderId="3" xfId="0" applyNumberFormat="1" applyFont="1" applyFill="1" applyBorder="1" applyAlignment="1">
      <alignment horizontal="left" vertical="center" wrapText="1"/>
    </xf>
    <xf numFmtId="9" fontId="37" fillId="28" borderId="3" xfId="2" applyFont="1" applyFill="1" applyBorder="1" applyAlignment="1">
      <alignment horizontal="left" vertical="center"/>
    </xf>
    <xf numFmtId="0" fontId="37" fillId="28" borderId="3" xfId="0" applyFont="1" applyFill="1" applyBorder="1" applyAlignment="1">
      <alignment horizontal="center" vertical="center" wrapText="1"/>
    </xf>
    <xf numFmtId="14" fontId="37" fillId="28" borderId="3" xfId="0" applyNumberFormat="1" applyFont="1" applyFill="1" applyBorder="1" applyAlignment="1">
      <alignment horizontal="right" vertical="center" wrapText="1"/>
    </xf>
    <xf numFmtId="0" fontId="224" fillId="28" borderId="3" xfId="0" applyFont="1" applyFill="1" applyBorder="1" applyAlignment="1">
      <alignment horizontal="left" vertical="center"/>
    </xf>
    <xf numFmtId="14" fontId="35" fillId="4" borderId="3" xfId="0" applyNumberFormat="1" applyFont="1" applyFill="1" applyBorder="1" applyAlignment="1">
      <alignment horizontal="left" vertical="center" wrapText="1"/>
    </xf>
    <xf numFmtId="0" fontId="34" fillId="4" borderId="3" xfId="0" applyFont="1" applyFill="1" applyBorder="1" applyAlignment="1">
      <alignment horizontal="center" vertical="center" wrapText="1"/>
    </xf>
    <xf numFmtId="14" fontId="34" fillId="4" borderId="3" xfId="0" applyNumberFormat="1" applyFont="1" applyFill="1" applyBorder="1" applyAlignment="1">
      <alignment horizontal="left" vertical="center" wrapText="1"/>
    </xf>
    <xf numFmtId="0" fontId="34" fillId="4" borderId="3" xfId="0" applyFont="1" applyFill="1" applyBorder="1" applyAlignment="1">
      <alignment horizontal="right" vertical="center" wrapText="1"/>
    </xf>
    <xf numFmtId="4" fontId="50" fillId="0" borderId="3" xfId="0" applyNumberFormat="1" applyFont="1" applyBorder="1" applyAlignment="1">
      <alignment horizontal="right"/>
    </xf>
    <xf numFmtId="0" fontId="33" fillId="26" borderId="3" xfId="0" applyFont="1" applyFill="1" applyBorder="1" applyAlignment="1">
      <alignment horizontal="left" vertical="center" wrapText="1"/>
    </xf>
    <xf numFmtId="172" fontId="33" fillId="26" borderId="3" xfId="0" applyNumberFormat="1" applyFont="1" applyFill="1" applyBorder="1" applyAlignment="1">
      <alignment horizontal="center" vertical="center"/>
    </xf>
    <xf numFmtId="14" fontId="34" fillId="26" borderId="45" xfId="0" applyNumberFormat="1" applyFont="1" applyFill="1" applyBorder="1" applyAlignment="1">
      <alignment horizontal="left" vertical="center"/>
    </xf>
    <xf numFmtId="1" fontId="34" fillId="26" borderId="3" xfId="0" applyNumberFormat="1" applyFont="1" applyFill="1" applyBorder="1" applyAlignment="1">
      <alignment horizontal="left" vertical="center"/>
    </xf>
    <xf numFmtId="1" fontId="0" fillId="0" borderId="0" xfId="0" applyNumberFormat="1"/>
    <xf numFmtId="169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left"/>
    </xf>
    <xf numFmtId="0" fontId="35" fillId="9" borderId="22" xfId="0" applyFont="1" applyFill="1" applyBorder="1" applyAlignment="1">
      <alignment horizontal="left" vertical="center" wrapText="1"/>
    </xf>
    <xf numFmtId="0" fontId="125" fillId="0" borderId="40" xfId="0" applyFont="1" applyBorder="1"/>
    <xf numFmtId="0" fontId="126" fillId="0" borderId="40" xfId="0" applyFont="1" applyBorder="1"/>
    <xf numFmtId="0" fontId="3" fillId="0" borderId="22" xfId="0" applyFont="1" applyBorder="1"/>
    <xf numFmtId="9" fontId="0" fillId="0" borderId="22" xfId="2" applyFont="1" applyBorder="1"/>
    <xf numFmtId="0" fontId="0" fillId="0" borderId="22" xfId="0" applyBorder="1" applyAlignment="1">
      <alignment horizontal="center"/>
    </xf>
    <xf numFmtId="14" fontId="12" fillId="0" borderId="0" xfId="0" applyNumberFormat="1" applyFont="1" applyAlignment="1">
      <alignment horizontal="center"/>
    </xf>
    <xf numFmtId="14" fontId="0" fillId="0" borderId="22" xfId="0" applyNumberFormat="1" applyBorder="1"/>
    <xf numFmtId="14" fontId="12" fillId="0" borderId="0" xfId="0" applyNumberFormat="1" applyFont="1"/>
    <xf numFmtId="165" fontId="12" fillId="0" borderId="0" xfId="0" applyNumberFormat="1" applyFont="1"/>
    <xf numFmtId="0" fontId="0" fillId="0" borderId="48" xfId="0" applyBorder="1" applyAlignment="1">
      <alignment horizontal="right"/>
    </xf>
    <xf numFmtId="14" fontId="12" fillId="0" borderId="0" xfId="0" applyNumberFormat="1" applyFont="1" applyAlignment="1">
      <alignment horizontal="right"/>
    </xf>
    <xf numFmtId="0" fontId="76" fillId="0" borderId="22" xfId="0" applyFont="1" applyBorder="1" applyAlignment="1" applyProtection="1">
      <alignment horizontal="left"/>
      <protection locked="0"/>
    </xf>
    <xf numFmtId="0" fontId="47" fillId="9" borderId="0" xfId="0" applyFont="1" applyFill="1" applyAlignment="1">
      <alignment wrapText="1"/>
    </xf>
    <xf numFmtId="0" fontId="45" fillId="9" borderId="22" xfId="4" applyFill="1" applyBorder="1" applyAlignment="1">
      <alignment wrapText="1"/>
    </xf>
    <xf numFmtId="0" fontId="47" fillId="9" borderId="22" xfId="0" applyFont="1" applyFill="1" applyBorder="1" applyAlignment="1">
      <alignment wrapText="1"/>
    </xf>
    <xf numFmtId="14" fontId="37" fillId="9" borderId="3" xfId="0" applyNumberFormat="1" applyFont="1" applyFill="1" applyBorder="1" applyAlignment="1" applyProtection="1">
      <alignment horizontal="left" vertical="center"/>
      <protection locked="0"/>
    </xf>
    <xf numFmtId="0" fontId="37" fillId="9" borderId="3" xfId="0" applyFont="1" applyFill="1" applyBorder="1" applyAlignment="1" applyProtection="1">
      <alignment horizontal="left"/>
      <protection locked="0"/>
    </xf>
    <xf numFmtId="169" fontId="37" fillId="9" borderId="3" xfId="0" applyNumberFormat="1" applyFont="1" applyFill="1" applyBorder="1" applyAlignment="1" applyProtection="1">
      <alignment horizontal="left"/>
      <protection locked="0"/>
    </xf>
    <xf numFmtId="165" fontId="25" fillId="9" borderId="3" xfId="0" quotePrefix="1" applyNumberFormat="1" applyFont="1" applyFill="1" applyBorder="1" applyAlignment="1" applyProtection="1">
      <alignment horizontal="left"/>
      <protection locked="0"/>
    </xf>
    <xf numFmtId="165" fontId="25" fillId="9" borderId="3" xfId="0" applyNumberFormat="1" applyFont="1" applyFill="1" applyBorder="1" applyAlignment="1" applyProtection="1">
      <alignment horizontal="left"/>
      <protection locked="0"/>
    </xf>
    <xf numFmtId="9" fontId="37" fillId="9" borderId="3" xfId="2" applyFont="1" applyFill="1" applyBorder="1" applyAlignment="1" applyProtection="1">
      <alignment horizontal="left"/>
      <protection locked="0"/>
    </xf>
    <xf numFmtId="14" fontId="37" fillId="9" borderId="3" xfId="0" quotePrefix="1" applyNumberFormat="1" applyFont="1" applyFill="1" applyBorder="1" applyAlignment="1" applyProtection="1">
      <alignment horizontal="left"/>
      <protection locked="0"/>
    </xf>
    <xf numFmtId="14" fontId="37" fillId="9" borderId="3" xfId="0" applyNumberFormat="1" applyFont="1" applyFill="1" applyBorder="1" applyAlignment="1" applyProtection="1">
      <alignment horizontal="left"/>
      <protection locked="0"/>
    </xf>
    <xf numFmtId="0" fontId="37" fillId="9" borderId="3" xfId="0" applyFont="1" applyFill="1" applyBorder="1" applyAlignment="1" applyProtection="1">
      <alignment horizontal="center"/>
      <protection locked="0"/>
    </xf>
    <xf numFmtId="0" fontId="49" fillId="9" borderId="6" xfId="0" applyFont="1" applyFill="1" applyBorder="1" applyAlignment="1">
      <alignment wrapText="1"/>
    </xf>
    <xf numFmtId="0" fontId="52" fillId="0" borderId="0" xfId="0" applyFont="1"/>
    <xf numFmtId="0" fontId="48" fillId="21" borderId="3" xfId="0" applyFont="1" applyFill="1" applyBorder="1" applyAlignment="1">
      <alignment vertical="top" wrapText="1"/>
    </xf>
    <xf numFmtId="0" fontId="48" fillId="21" borderId="3" xfId="0" applyFont="1" applyFill="1" applyBorder="1" applyAlignment="1">
      <alignment horizontal="center" vertical="top" wrapText="1"/>
    </xf>
    <xf numFmtId="0" fontId="45" fillId="21" borderId="3" xfId="4" applyFill="1" applyBorder="1" applyAlignment="1">
      <alignment horizontal="center" vertical="top" wrapText="1"/>
    </xf>
    <xf numFmtId="0" fontId="48" fillId="13" borderId="3" xfId="0" applyFont="1" applyFill="1" applyBorder="1" applyAlignment="1">
      <alignment horizontal="center" vertical="top" wrapText="1"/>
    </xf>
    <xf numFmtId="0" fontId="33" fillId="0" borderId="3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wrapText="1"/>
    </xf>
    <xf numFmtId="172" fontId="33" fillId="0" borderId="3" xfId="0" applyNumberFormat="1" applyFont="1" applyBorder="1" applyAlignment="1">
      <alignment horizontal="left" vertical="top"/>
    </xf>
    <xf numFmtId="9" fontId="34" fillId="0" borderId="3" xfId="2" applyFont="1" applyFill="1" applyBorder="1" applyAlignment="1">
      <alignment horizontal="left" vertical="top"/>
    </xf>
    <xf numFmtId="0" fontId="34" fillId="4" borderId="3" xfId="0" applyFont="1" applyFill="1" applyBorder="1" applyAlignment="1">
      <alignment horizontal="center" vertical="top"/>
    </xf>
    <xf numFmtId="0" fontId="48" fillId="14" borderId="6" xfId="0" applyFont="1" applyFill="1" applyBorder="1"/>
    <xf numFmtId="0" fontId="76" fillId="0" borderId="22" xfId="0" applyFont="1" applyBorder="1" applyAlignment="1" applyProtection="1">
      <alignment horizontal="left" vertical="center"/>
      <protection locked="0"/>
    </xf>
    <xf numFmtId="0" fontId="76" fillId="0" borderId="22" xfId="4" applyFont="1" applyFill="1" applyBorder="1" applyAlignment="1" applyProtection="1">
      <alignment horizontal="left"/>
      <protection locked="0"/>
    </xf>
    <xf numFmtId="0" fontId="163" fillId="0" borderId="22" xfId="0" applyFont="1" applyBorder="1" applyAlignment="1" applyProtection="1">
      <alignment horizontal="left" wrapText="1"/>
      <protection locked="0"/>
    </xf>
    <xf numFmtId="169" fontId="76" fillId="0" borderId="22" xfId="0" applyNumberFormat="1" applyFont="1" applyBorder="1" applyAlignment="1" applyProtection="1">
      <alignment horizontal="left"/>
      <protection locked="0"/>
    </xf>
    <xf numFmtId="165" fontId="249" fillId="0" borderId="22" xfId="0" applyNumberFormat="1" applyFont="1" applyBorder="1" applyAlignment="1" applyProtection="1">
      <alignment horizontal="left"/>
      <protection locked="0"/>
    </xf>
    <xf numFmtId="165" fontId="250" fillId="0" borderId="22" xfId="0" applyNumberFormat="1" applyFont="1" applyBorder="1" applyAlignment="1" applyProtection="1">
      <alignment horizontal="left"/>
      <protection locked="0"/>
    </xf>
    <xf numFmtId="9" fontId="76" fillId="0" borderId="22" xfId="2" applyFont="1" applyFill="1" applyBorder="1" applyAlignment="1" applyProtection="1">
      <alignment horizontal="left"/>
      <protection locked="0"/>
    </xf>
    <xf numFmtId="14" fontId="76" fillId="0" borderId="22" xfId="0" applyNumberFormat="1" applyFont="1" applyBorder="1" applyAlignment="1" applyProtection="1">
      <alignment horizontal="left"/>
      <protection locked="0"/>
    </xf>
    <xf numFmtId="171" fontId="23" fillId="0" borderId="7" xfId="0" applyNumberFormat="1" applyFont="1" applyBorder="1" applyAlignment="1" applyProtection="1">
      <alignment horizontal="center" vertical="center"/>
      <protection locked="0"/>
    </xf>
    <xf numFmtId="0" fontId="76" fillId="0" borderId="22" xfId="0" applyFont="1" applyBorder="1" applyAlignment="1" applyProtection="1">
      <alignment horizontal="center"/>
      <protection locked="0"/>
    </xf>
    <xf numFmtId="14" fontId="76" fillId="0" borderId="48" xfId="0" applyNumberFormat="1" applyFont="1" applyBorder="1" applyAlignment="1" applyProtection="1">
      <alignment horizontal="left"/>
      <protection locked="0"/>
    </xf>
    <xf numFmtId="0" fontId="27" fillId="9" borderId="42" xfId="0" applyFont="1" applyFill="1" applyBorder="1"/>
    <xf numFmtId="1" fontId="9" fillId="9" borderId="3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 applyProtection="1">
      <alignment horizontal="left" vertical="center"/>
      <protection locked="0"/>
    </xf>
    <xf numFmtId="0" fontId="251" fillId="4" borderId="3" xfId="0" applyFont="1" applyFill="1" applyBorder="1" applyAlignment="1">
      <alignment horizontal="left" vertical="center"/>
    </xf>
    <xf numFmtId="0" fontId="190" fillId="4" borderId="3" xfId="0" applyFont="1" applyFill="1" applyBorder="1"/>
    <xf numFmtId="0" fontId="190" fillId="4" borderId="3" xfId="0" applyFont="1" applyFill="1" applyBorder="1" applyAlignment="1">
      <alignment horizontal="right"/>
    </xf>
    <xf numFmtId="0" fontId="222" fillId="4" borderId="3" xfId="4" applyFont="1" applyFill="1" applyBorder="1"/>
    <xf numFmtId="0" fontId="251" fillId="4" borderId="3" xfId="0" applyFont="1" applyFill="1" applyBorder="1" applyAlignment="1">
      <alignment horizontal="left" vertical="center" wrapText="1"/>
    </xf>
    <xf numFmtId="0" fontId="251" fillId="28" borderId="3" xfId="0" applyFont="1" applyFill="1" applyBorder="1" applyAlignment="1">
      <alignment horizontal="left" vertical="center"/>
    </xf>
    <xf numFmtId="0" fontId="190" fillId="28" borderId="3" xfId="0" applyFont="1" applyFill="1" applyBorder="1"/>
    <xf numFmtId="0" fontId="38" fillId="0" borderId="3" xfId="0" applyFont="1" applyBorder="1" applyAlignment="1">
      <alignment horizontal="right" vertical="center"/>
    </xf>
    <xf numFmtId="0" fontId="45" fillId="4" borderId="3" xfId="4" applyFill="1" applyBorder="1" applyAlignment="1">
      <alignment horizontal="left" vertical="center" wrapText="1"/>
    </xf>
    <xf numFmtId="14" fontId="34" fillId="28" borderId="3" xfId="0" applyNumberFormat="1" applyFont="1" applyFill="1" applyBorder="1" applyAlignment="1">
      <alignment horizontal="left"/>
    </xf>
    <xf numFmtId="0" fontId="33" fillId="28" borderId="3" xfId="0" applyFont="1" applyFill="1" applyBorder="1" applyAlignment="1">
      <alignment horizontal="left"/>
    </xf>
    <xf numFmtId="0" fontId="251" fillId="28" borderId="3" xfId="0" applyFont="1" applyFill="1" applyBorder="1" applyAlignment="1">
      <alignment horizontal="right" vertical="center"/>
    </xf>
    <xf numFmtId="0" fontId="251" fillId="28" borderId="3" xfId="0" applyFont="1" applyFill="1" applyBorder="1" applyAlignment="1">
      <alignment horizontal="left"/>
    </xf>
    <xf numFmtId="0" fontId="190" fillId="28" borderId="3" xfId="0" applyFont="1" applyFill="1" applyBorder="1" applyAlignment="1">
      <alignment wrapText="1"/>
    </xf>
    <xf numFmtId="0" fontId="251" fillId="4" borderId="3" xfId="0" applyFont="1" applyFill="1" applyBorder="1" applyAlignment="1">
      <alignment horizontal="right" vertical="center"/>
    </xf>
    <xf numFmtId="3" fontId="97" fillId="0" borderId="3" xfId="0" applyNumberFormat="1" applyFont="1" applyBorder="1" applyAlignment="1">
      <alignment horizontal="center" vertical="center"/>
    </xf>
    <xf numFmtId="3" fontId="106" fillId="9" borderId="40" xfId="0" applyNumberFormat="1" applyFont="1" applyFill="1" applyBorder="1" applyAlignment="1">
      <alignment horizontal="left" vertical="center"/>
    </xf>
    <xf numFmtId="0" fontId="71" fillId="9" borderId="40" xfId="0" applyFont="1" applyFill="1" applyBorder="1"/>
    <xf numFmtId="0" fontId="142" fillId="9" borderId="40" xfId="0" applyFont="1" applyFill="1" applyBorder="1"/>
    <xf numFmtId="172" fontId="33" fillId="28" borderId="3" xfId="0" applyNumberFormat="1" applyFont="1" applyFill="1" applyBorder="1" applyAlignment="1">
      <alignment horizontal="left" vertical="center"/>
    </xf>
    <xf numFmtId="172" fontId="34" fillId="28" borderId="3" xfId="0" applyNumberFormat="1" applyFont="1" applyFill="1" applyBorder="1" applyAlignment="1">
      <alignment horizontal="left" vertical="center"/>
    </xf>
    <xf numFmtId="0" fontId="33" fillId="28" borderId="3" xfId="0" applyFont="1" applyFill="1" applyBorder="1" applyAlignment="1">
      <alignment horizontal="center" vertical="center"/>
    </xf>
    <xf numFmtId="14" fontId="97" fillId="28" borderId="3" xfId="0" applyNumberFormat="1" applyFont="1" applyFill="1" applyBorder="1" applyAlignment="1">
      <alignment horizontal="center" vertical="center" wrapText="1"/>
    </xf>
    <xf numFmtId="0" fontId="97" fillId="28" borderId="45" xfId="0" applyFont="1" applyFill="1" applyBorder="1" applyAlignment="1">
      <alignment vertical="center" wrapText="1"/>
    </xf>
    <xf numFmtId="14" fontId="97" fillId="28" borderId="45" xfId="0" applyNumberFormat="1" applyFont="1" applyFill="1" applyBorder="1" applyAlignment="1">
      <alignment vertical="center" wrapText="1"/>
    </xf>
    <xf numFmtId="0" fontId="97" fillId="45" borderId="3" xfId="0" applyFont="1" applyFill="1" applyBorder="1" applyAlignment="1">
      <alignment horizontal="center" vertical="center"/>
    </xf>
    <xf numFmtId="14" fontId="97" fillId="45" borderId="3" xfId="0" applyNumberFormat="1" applyFont="1" applyFill="1" applyBorder="1" applyAlignment="1">
      <alignment horizontal="center" vertical="center"/>
    </xf>
    <xf numFmtId="0" fontId="100" fillId="45" borderId="3" xfId="0" applyFont="1" applyFill="1" applyBorder="1" applyAlignment="1" applyProtection="1">
      <alignment horizontal="center"/>
      <protection locked="0"/>
    </xf>
    <xf numFmtId="0" fontId="48" fillId="45" borderId="3" xfId="0" applyFont="1" applyFill="1" applyBorder="1" applyAlignment="1">
      <alignment horizontal="center" wrapText="1"/>
    </xf>
    <xf numFmtId="0" fontId="60" fillId="45" borderId="3" xfId="0" applyFont="1" applyFill="1" applyBorder="1" applyAlignment="1">
      <alignment horizontal="center" vertical="center" wrapText="1"/>
    </xf>
    <xf numFmtId="0" fontId="45" fillId="45" borderId="3" xfId="4" applyFill="1" applyBorder="1" applyAlignment="1">
      <alignment horizontal="center" vertical="center" wrapText="1"/>
    </xf>
    <xf numFmtId="0" fontId="48" fillId="46" borderId="3" xfId="0" applyFont="1" applyFill="1" applyBorder="1" applyAlignment="1">
      <alignment horizontal="center" wrapText="1"/>
    </xf>
    <xf numFmtId="0" fontId="100" fillId="45" borderId="3" xfId="0" applyFont="1" applyFill="1" applyBorder="1" applyAlignment="1" applyProtection="1">
      <alignment horizontal="center" wrapText="1"/>
      <protection locked="0"/>
    </xf>
    <xf numFmtId="14" fontId="97" fillId="45" borderId="3" xfId="0" applyNumberFormat="1" applyFont="1" applyFill="1" applyBorder="1" applyAlignment="1">
      <alignment horizontal="left" vertical="center"/>
    </xf>
    <xf numFmtId="9" fontId="10" fillId="45" borderId="3" xfId="2" applyFont="1" applyFill="1" applyBorder="1" applyAlignment="1" applyProtection="1">
      <alignment horizontal="center"/>
      <protection locked="0"/>
    </xf>
    <xf numFmtId="0" fontId="102" fillId="45" borderId="3" xfId="0" applyFont="1" applyFill="1" applyBorder="1" applyAlignment="1">
      <alignment horizontal="center"/>
    </xf>
    <xf numFmtId="14" fontId="97" fillId="45" borderId="3" xfId="0" applyNumberFormat="1" applyFont="1" applyFill="1" applyBorder="1" applyAlignment="1">
      <alignment horizontal="center" vertical="center" wrapText="1"/>
    </xf>
    <xf numFmtId="0" fontId="23" fillId="45" borderId="7" xfId="0" applyFont="1" applyFill="1" applyBorder="1" applyAlignment="1" applyProtection="1">
      <alignment horizontal="center" vertical="center"/>
      <protection locked="0"/>
    </xf>
    <xf numFmtId="0" fontId="97" fillId="45" borderId="3" xfId="0" applyFont="1" applyFill="1" applyBorder="1" applyAlignment="1">
      <alignment horizontal="left" vertical="center"/>
    </xf>
    <xf numFmtId="0" fontId="97" fillId="45" borderId="45" xfId="0" applyFont="1" applyFill="1" applyBorder="1" applyAlignment="1">
      <alignment horizontal="left" vertical="center"/>
    </xf>
    <xf numFmtId="0" fontId="97" fillId="45" borderId="45" xfId="0" applyFont="1" applyFill="1" applyBorder="1" applyAlignment="1">
      <alignment vertical="center" wrapText="1"/>
    </xf>
    <xf numFmtId="0" fontId="0" fillId="45" borderId="3" xfId="0" applyFill="1" applyBorder="1"/>
    <xf numFmtId="9" fontId="97" fillId="45" borderId="3" xfId="2" applyFont="1" applyFill="1" applyBorder="1" applyAlignment="1">
      <alignment horizontal="center" vertical="center"/>
    </xf>
    <xf numFmtId="0" fontId="100" fillId="26" borderId="3" xfId="0" applyFont="1" applyFill="1" applyBorder="1" applyAlignment="1">
      <alignment horizontal="center" vertical="center" wrapText="1"/>
    </xf>
    <xf numFmtId="0" fontId="100" fillId="26" borderId="3" xfId="0" applyFont="1" applyFill="1" applyBorder="1" applyAlignment="1">
      <alignment horizontal="center" wrapText="1"/>
    </xf>
    <xf numFmtId="0" fontId="100" fillId="26" borderId="3" xfId="0" applyFont="1" applyFill="1" applyBorder="1" applyAlignment="1">
      <alignment horizontal="center"/>
    </xf>
    <xf numFmtId="0" fontId="48" fillId="16" borderId="40" xfId="0" applyFont="1" applyFill="1" applyBorder="1" applyAlignment="1">
      <alignment horizontal="center" wrapText="1"/>
    </xf>
    <xf numFmtId="0" fontId="48" fillId="16" borderId="40" xfId="0" applyFont="1" applyFill="1" applyBorder="1" applyAlignment="1">
      <alignment horizontal="center" vertical="center" wrapText="1"/>
    </xf>
    <xf numFmtId="0" fontId="45" fillId="16" borderId="3" xfId="4" applyFill="1" applyBorder="1" applyAlignment="1">
      <alignment horizontal="center" vertical="center" wrapText="1"/>
    </xf>
    <xf numFmtId="0" fontId="252" fillId="0" borderId="0" xfId="0" applyFont="1" applyAlignment="1">
      <alignment horizontal="left" vertical="center"/>
    </xf>
    <xf numFmtId="169" fontId="252" fillId="0" borderId="0" xfId="0" applyNumberFormat="1" applyFont="1" applyAlignment="1">
      <alignment horizontal="center" vertical="center"/>
    </xf>
    <xf numFmtId="0" fontId="252" fillId="0" borderId="0" xfId="0" applyFont="1" applyAlignment="1">
      <alignment vertical="center"/>
    </xf>
    <xf numFmtId="0" fontId="252" fillId="0" borderId="0" xfId="0" applyFont="1" applyAlignment="1">
      <alignment horizontal="center" vertical="center"/>
    </xf>
    <xf numFmtId="0" fontId="253" fillId="0" borderId="0" xfId="0" applyFont="1" applyAlignment="1">
      <alignment horizontal="center" vertical="center"/>
    </xf>
    <xf numFmtId="9" fontId="252" fillId="0" borderId="0" xfId="2" applyFont="1" applyFill="1" applyBorder="1" applyAlignment="1">
      <alignment horizontal="center" vertical="center"/>
    </xf>
    <xf numFmtId="172" fontId="252" fillId="0" borderId="0" xfId="0" applyNumberFormat="1" applyFont="1" applyAlignment="1">
      <alignment horizontal="center" vertical="center"/>
    </xf>
    <xf numFmtId="165" fontId="253" fillId="0" borderId="0" xfId="0" applyNumberFormat="1" applyFont="1" applyAlignment="1">
      <alignment horizontal="center" vertical="center"/>
    </xf>
    <xf numFmtId="0" fontId="253" fillId="0" borderId="3" xfId="0" applyFont="1" applyBorder="1" applyAlignment="1">
      <alignment horizontal="left" vertical="center"/>
    </xf>
    <xf numFmtId="0" fontId="253" fillId="0" borderId="45" xfId="0" applyFont="1" applyBorder="1" applyAlignment="1">
      <alignment horizontal="left" vertical="center"/>
    </xf>
    <xf numFmtId="0" fontId="252" fillId="2" borderId="0" xfId="0" applyFont="1" applyFill="1" applyAlignment="1">
      <alignment horizontal="left" vertical="center"/>
    </xf>
    <xf numFmtId="0" fontId="252" fillId="2" borderId="0" xfId="0" applyFont="1" applyFill="1" applyAlignment="1">
      <alignment horizontal="center" vertical="center"/>
    </xf>
    <xf numFmtId="172" fontId="252" fillId="2" borderId="0" xfId="0" applyNumberFormat="1" applyFont="1" applyFill="1" applyAlignment="1">
      <alignment horizontal="center" vertical="center"/>
    </xf>
    <xf numFmtId="14" fontId="253" fillId="0" borderId="0" xfId="0" applyNumberFormat="1" applyFont="1" applyAlignment="1">
      <alignment horizontal="left" vertical="center"/>
    </xf>
    <xf numFmtId="0" fontId="253" fillId="0" borderId="3" xfId="0" applyFont="1" applyBorder="1" applyAlignment="1">
      <alignment vertical="center"/>
    </xf>
    <xf numFmtId="0" fontId="253" fillId="0" borderId="45" xfId="0" applyFont="1" applyBorder="1" applyAlignment="1">
      <alignment vertical="center"/>
    </xf>
    <xf numFmtId="0" fontId="253" fillId="3" borderId="3" xfId="0" applyFont="1" applyFill="1" applyBorder="1"/>
    <xf numFmtId="0" fontId="253" fillId="26" borderId="3" xfId="0" applyFont="1" applyFill="1" applyBorder="1"/>
    <xf numFmtId="0" fontId="252" fillId="0" borderId="3" xfId="0" applyFont="1" applyBorder="1" applyAlignment="1">
      <alignment horizontal="left" vertical="center"/>
    </xf>
    <xf numFmtId="171" fontId="252" fillId="0" borderId="3" xfId="0" applyNumberFormat="1" applyFont="1" applyBorder="1" applyAlignment="1">
      <alignment horizontal="left" vertical="center"/>
    </xf>
    <xf numFmtId="171" fontId="252" fillId="0" borderId="45" xfId="0" applyNumberFormat="1" applyFont="1" applyBorder="1" applyAlignment="1">
      <alignment horizontal="left" vertical="center"/>
    </xf>
    <xf numFmtId="171" fontId="254" fillId="3" borderId="3" xfId="0" applyNumberFormat="1" applyFont="1" applyFill="1" applyBorder="1"/>
    <xf numFmtId="171" fontId="252" fillId="26" borderId="3" xfId="0" applyNumberFormat="1" applyFont="1" applyFill="1" applyBorder="1"/>
    <xf numFmtId="0" fontId="252" fillId="0" borderId="3" xfId="0" applyFont="1" applyBorder="1" applyAlignment="1">
      <alignment vertical="center"/>
    </xf>
    <xf numFmtId="171" fontId="252" fillId="0" borderId="3" xfId="0" applyNumberFormat="1" applyFont="1" applyBorder="1" applyAlignment="1">
      <alignment vertical="center"/>
    </xf>
    <xf numFmtId="171" fontId="252" fillId="0" borderId="45" xfId="0" applyNumberFormat="1" applyFont="1" applyBorder="1" applyAlignment="1">
      <alignment vertical="center"/>
    </xf>
    <xf numFmtId="0" fontId="252" fillId="0" borderId="0" xfId="0" applyFont="1" applyAlignment="1">
      <alignment horizontal="center" vertical="top"/>
    </xf>
    <xf numFmtId="0" fontId="252" fillId="0" borderId="4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167" fontId="257" fillId="4" borderId="0" xfId="0" applyNumberFormat="1" applyFont="1" applyFill="1" applyAlignment="1">
      <alignment horizontal="left" vertical="center"/>
    </xf>
    <xf numFmtId="168" fontId="256" fillId="4" borderId="0" xfId="0" applyNumberFormat="1" applyFont="1" applyFill="1" applyAlignment="1">
      <alignment horizontal="left" vertical="center"/>
    </xf>
    <xf numFmtId="168" fontId="256" fillId="3" borderId="0" xfId="0" applyNumberFormat="1" applyFont="1" applyFill="1" applyAlignment="1">
      <alignment horizontal="left" vertical="center"/>
    </xf>
    <xf numFmtId="0" fontId="258" fillId="0" borderId="51" xfId="0" applyFont="1" applyBorder="1" applyAlignment="1" applyProtection="1">
      <alignment horizontal="left" vertical="center" wrapText="1"/>
      <protection locked="0"/>
    </xf>
    <xf numFmtId="0" fontId="101" fillId="0" borderId="40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13" fillId="28" borderId="3" xfId="0" applyFont="1" applyFill="1" applyBorder="1" applyAlignment="1">
      <alignment horizontal="left" vertical="center"/>
    </xf>
    <xf numFmtId="169" fontId="13" fillId="0" borderId="0" xfId="0" applyNumberFormat="1" applyFont="1" applyAlignment="1">
      <alignment horizontal="left" vertical="center"/>
    </xf>
    <xf numFmtId="9" fontId="24" fillId="0" borderId="0" xfId="2" applyFont="1" applyBorder="1" applyAlignment="1">
      <alignment horizontal="left" vertical="center"/>
    </xf>
    <xf numFmtId="172" fontId="24" fillId="0" borderId="0" xfId="0" applyNumberFormat="1" applyFont="1" applyAlignment="1">
      <alignment horizontal="left" vertical="center"/>
    </xf>
    <xf numFmtId="165" fontId="24" fillId="0" borderId="3" xfId="0" applyNumberFormat="1" applyFont="1" applyBorder="1" applyAlignment="1">
      <alignment horizontal="left" vertical="center"/>
    </xf>
    <xf numFmtId="166" fontId="24" fillId="0" borderId="3" xfId="0" applyNumberFormat="1" applyFont="1" applyBorder="1" applyAlignment="1">
      <alignment horizontal="left" vertical="center"/>
    </xf>
    <xf numFmtId="0" fontId="255" fillId="3" borderId="0" xfId="0" applyFont="1" applyFill="1" applyAlignment="1">
      <alignment horizontal="left" vertical="center"/>
    </xf>
    <xf numFmtId="166" fontId="24" fillId="0" borderId="0" xfId="0" applyNumberFormat="1" applyFont="1" applyAlignment="1">
      <alignment horizontal="left" vertical="center"/>
    </xf>
    <xf numFmtId="165" fontId="256" fillId="4" borderId="3" xfId="0" applyNumberFormat="1" applyFont="1" applyFill="1" applyBorder="1" applyAlignment="1">
      <alignment horizontal="left" vertical="center"/>
    </xf>
    <xf numFmtId="169" fontId="255" fillId="0" borderId="0" xfId="0" applyNumberFormat="1" applyFont="1" applyAlignment="1">
      <alignment horizontal="left" vertical="center"/>
    </xf>
    <xf numFmtId="0" fontId="65" fillId="0" borderId="8" xfId="0" applyFont="1" applyBorder="1" applyAlignment="1" applyProtection="1">
      <alignment horizontal="left" vertical="center" wrapText="1"/>
      <protection locked="0"/>
    </xf>
    <xf numFmtId="0" fontId="44" fillId="0" borderId="51" xfId="0" applyFont="1" applyBorder="1" applyAlignment="1" applyProtection="1">
      <alignment horizontal="left" vertical="center" wrapText="1"/>
      <protection locked="0"/>
    </xf>
    <xf numFmtId="172" fontId="258" fillId="0" borderId="51" xfId="0" applyNumberFormat="1" applyFont="1" applyBorder="1" applyAlignment="1" applyProtection="1">
      <alignment horizontal="left" vertical="center" wrapText="1"/>
      <protection locked="0"/>
    </xf>
    <xf numFmtId="14" fontId="258" fillId="0" borderId="7" xfId="0" applyNumberFormat="1" applyFont="1" applyBorder="1" applyAlignment="1" applyProtection="1">
      <alignment horizontal="left" vertical="center" wrapText="1"/>
      <protection locked="0"/>
    </xf>
    <xf numFmtId="0" fontId="258" fillId="0" borderId="10" xfId="0" applyFont="1" applyBorder="1" applyAlignment="1">
      <alignment horizontal="left" vertical="center" wrapText="1"/>
    </xf>
    <xf numFmtId="0" fontId="259" fillId="0" borderId="3" xfId="0" applyFont="1" applyBorder="1" applyAlignment="1">
      <alignment horizontal="left"/>
    </xf>
    <xf numFmtId="0" fontId="52" fillId="0" borderId="6" xfId="0" applyFont="1" applyBorder="1" applyAlignment="1">
      <alignment horizontal="left"/>
    </xf>
    <xf numFmtId="0" fontId="54" fillId="0" borderId="46" xfId="0" applyFont="1" applyBorder="1" applyAlignment="1">
      <alignment horizontal="left"/>
    </xf>
    <xf numFmtId="0" fontId="52" fillId="0" borderId="15" xfId="0" applyFont="1" applyBorder="1" applyAlignment="1">
      <alignment horizontal="left"/>
    </xf>
    <xf numFmtId="0" fontId="52" fillId="0" borderId="46" xfId="0" applyFont="1" applyBorder="1" applyAlignment="1">
      <alignment horizontal="left"/>
    </xf>
    <xf numFmtId="0" fontId="52" fillId="0" borderId="46" xfId="0" applyFont="1" applyBorder="1" applyAlignment="1">
      <alignment horizontal="left" vertical="top"/>
    </xf>
    <xf numFmtId="0" fontId="52" fillId="0" borderId="15" xfId="0" applyFont="1" applyBorder="1" applyAlignment="1">
      <alignment horizontal="left" vertical="top"/>
    </xf>
    <xf numFmtId="0" fontId="52" fillId="40" borderId="46" xfId="0" applyFont="1" applyFill="1" applyBorder="1" applyAlignment="1">
      <alignment horizontal="left"/>
    </xf>
    <xf numFmtId="0" fontId="52" fillId="40" borderId="15" xfId="0" applyFont="1" applyFill="1" applyBorder="1" applyAlignment="1">
      <alignment horizontal="left"/>
    </xf>
    <xf numFmtId="0" fontId="52" fillId="38" borderId="46" xfId="0" applyFont="1" applyFill="1" applyBorder="1" applyAlignment="1">
      <alignment horizontal="left"/>
    </xf>
    <xf numFmtId="0" fontId="52" fillId="28" borderId="46" xfId="0" applyFont="1" applyFill="1" applyBorder="1" applyAlignment="1">
      <alignment horizontal="left"/>
    </xf>
    <xf numFmtId="0" fontId="37" fillId="2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46" fillId="0" borderId="51" xfId="0" applyFont="1" applyBorder="1" applyAlignment="1" applyProtection="1">
      <alignment horizontal="left" vertical="center" wrapText="1"/>
      <protection locked="0"/>
    </xf>
    <xf numFmtId="0" fontId="37" fillId="2" borderId="0" xfId="0" applyFont="1" applyFill="1" applyAlignment="1">
      <alignment horizontal="left" vertical="center"/>
    </xf>
    <xf numFmtId="0" fontId="48" fillId="3" borderId="46" xfId="0" applyFont="1" applyFill="1" applyBorder="1"/>
    <xf numFmtId="0" fontId="61" fillId="9" borderId="3" xfId="0" applyFont="1" applyFill="1" applyBorder="1"/>
    <xf numFmtId="0" fontId="112" fillId="9" borderId="3" xfId="0" applyFont="1" applyFill="1" applyBorder="1"/>
    <xf numFmtId="0" fontId="58" fillId="9" borderId="3" xfId="0" applyFont="1" applyFill="1" applyBorder="1"/>
    <xf numFmtId="0" fontId="106" fillId="0" borderId="43" xfId="0" applyFont="1" applyBorder="1" applyAlignment="1">
      <alignment horizontal="center" vertical="center"/>
    </xf>
    <xf numFmtId="0" fontId="106" fillId="9" borderId="3" xfId="0" applyFont="1" applyFill="1" applyBorder="1" applyAlignment="1">
      <alignment horizontal="center"/>
    </xf>
    <xf numFmtId="0" fontId="99" fillId="9" borderId="3" xfId="0" applyFont="1" applyFill="1" applyBorder="1" applyAlignment="1">
      <alignment horizontal="center"/>
    </xf>
    <xf numFmtId="0" fontId="99" fillId="28" borderId="3" xfId="0" applyFont="1" applyFill="1" applyBorder="1" applyAlignment="1">
      <alignment horizontal="center"/>
    </xf>
    <xf numFmtId="0" fontId="106" fillId="9" borderId="44" xfId="0" applyFont="1" applyFill="1" applyBorder="1" applyAlignment="1">
      <alignment horizontal="center"/>
    </xf>
    <xf numFmtId="14" fontId="99" fillId="28" borderId="3" xfId="0" applyNumberFormat="1" applyFont="1" applyFill="1" applyBorder="1" applyAlignment="1">
      <alignment horizontal="left"/>
    </xf>
    <xf numFmtId="14" fontId="106" fillId="28" borderId="3" xfId="0" applyNumberFormat="1" applyFont="1" applyFill="1" applyBorder="1" applyAlignment="1">
      <alignment horizontal="left"/>
    </xf>
    <xf numFmtId="14" fontId="106" fillId="9" borderId="3" xfId="0" applyNumberFormat="1" applyFont="1" applyFill="1" applyBorder="1" applyAlignment="1">
      <alignment horizontal="left"/>
    </xf>
    <xf numFmtId="14" fontId="106" fillId="0" borderId="43" xfId="0" applyNumberFormat="1" applyFont="1" applyBorder="1" applyAlignment="1">
      <alignment horizontal="center" vertical="center"/>
    </xf>
    <xf numFmtId="14" fontId="106" fillId="0" borderId="3" xfId="0" applyNumberFormat="1" applyFont="1" applyBorder="1" applyAlignment="1">
      <alignment horizontal="left"/>
    </xf>
    <xf numFmtId="14" fontId="99" fillId="9" borderId="3" xfId="0" applyNumberFormat="1" applyFont="1" applyFill="1" applyBorder="1"/>
    <xf numFmtId="14" fontId="99" fillId="28" borderId="3" xfId="0" applyNumberFormat="1" applyFont="1" applyFill="1" applyBorder="1"/>
    <xf numFmtId="14" fontId="106" fillId="9" borderId="3" xfId="0" applyNumberFormat="1" applyFont="1" applyFill="1" applyBorder="1"/>
    <xf numFmtId="14" fontId="106" fillId="9" borderId="44" xfId="0" applyNumberFormat="1" applyFont="1" applyFill="1" applyBorder="1"/>
    <xf numFmtId="0" fontId="99" fillId="29" borderId="3" xfId="0" applyFont="1" applyFill="1" applyBorder="1" applyAlignment="1">
      <alignment wrapText="1"/>
    </xf>
    <xf numFmtId="0" fontId="106" fillId="9" borderId="44" xfId="0" applyFont="1" applyFill="1" applyBorder="1" applyAlignment="1">
      <alignment wrapText="1"/>
    </xf>
    <xf numFmtId="0" fontId="47" fillId="28" borderId="44" xfId="0" applyFont="1" applyFill="1" applyBorder="1" applyAlignment="1">
      <alignment wrapText="1"/>
    </xf>
    <xf numFmtId="0" fontId="55" fillId="28" borderId="44" xfId="0" applyFont="1" applyFill="1" applyBorder="1"/>
    <xf numFmtId="0" fontId="47" fillId="29" borderId="41" xfId="0" applyFont="1" applyFill="1" applyBorder="1" applyAlignment="1">
      <alignment wrapText="1"/>
    </xf>
    <xf numFmtId="0" fontId="99" fillId="16" borderId="41" xfId="0" applyFont="1" applyFill="1" applyBorder="1" applyAlignment="1">
      <alignment horizontal="left"/>
    </xf>
    <xf numFmtId="0" fontId="106" fillId="0" borderId="41" xfId="0" applyFont="1" applyBorder="1" applyAlignment="1">
      <alignment horizontal="left" vertical="center"/>
    </xf>
    <xf numFmtId="0" fontId="106" fillId="0" borderId="41" xfId="0" applyFont="1" applyBorder="1" applyAlignment="1">
      <alignment horizontal="left"/>
    </xf>
    <xf numFmtId="0" fontId="99" fillId="16" borderId="3" xfId="0" applyFont="1" applyFill="1" applyBorder="1" applyAlignment="1">
      <alignment horizontal="left"/>
    </xf>
    <xf numFmtId="0" fontId="176" fillId="43" borderId="40" xfId="0" applyFont="1" applyFill="1" applyBorder="1" applyAlignment="1">
      <alignment horizontal="center" vertical="center" readingOrder="1"/>
    </xf>
    <xf numFmtId="0" fontId="174" fillId="0" borderId="47" xfId="0" applyFont="1" applyBorder="1"/>
    <xf numFmtId="0" fontId="174" fillId="9" borderId="44" xfId="0" applyFont="1" applyFill="1" applyBorder="1"/>
    <xf numFmtId="0" fontId="174" fillId="0" borderId="43" xfId="0" applyFont="1" applyBorder="1"/>
    <xf numFmtId="0" fontId="241" fillId="9" borderId="40" xfId="0" applyFont="1" applyFill="1" applyBorder="1"/>
    <xf numFmtId="0" fontId="112" fillId="0" borderId="3" xfId="0" applyFont="1" applyBorder="1"/>
    <xf numFmtId="0" fontId="111" fillId="9" borderId="44" xfId="0" applyFont="1" applyFill="1" applyBorder="1"/>
    <xf numFmtId="0" fontId="237" fillId="9" borderId="40" xfId="0" applyFont="1" applyFill="1" applyBorder="1"/>
    <xf numFmtId="0" fontId="70" fillId="29" borderId="3" xfId="0" applyFont="1" applyFill="1" applyBorder="1"/>
    <xf numFmtId="0" fontId="184" fillId="0" borderId="40" xfId="0" applyFont="1" applyBorder="1"/>
    <xf numFmtId="0" fontId="239" fillId="0" borderId="40" xfId="0" applyFont="1" applyBorder="1"/>
    <xf numFmtId="0" fontId="116" fillId="0" borderId="40" xfId="0" applyFont="1" applyBorder="1"/>
    <xf numFmtId="0" fontId="116" fillId="9" borderId="44" xfId="0" applyFont="1" applyFill="1" applyBorder="1"/>
    <xf numFmtId="0" fontId="210" fillId="9" borderId="40" xfId="0" applyFont="1" applyFill="1" applyBorder="1"/>
    <xf numFmtId="0" fontId="55" fillId="9" borderId="44" xfId="0" applyFont="1" applyFill="1" applyBorder="1"/>
    <xf numFmtId="0" fontId="185" fillId="0" borderId="40" xfId="0" applyFont="1" applyBorder="1"/>
    <xf numFmtId="0" fontId="136" fillId="29" borderId="3" xfId="4" applyFont="1" applyFill="1" applyBorder="1" applyAlignment="1">
      <alignment horizontal="left" wrapText="1"/>
    </xf>
    <xf numFmtId="0" fontId="136" fillId="28" borderId="3" xfId="4" applyFont="1" applyFill="1" applyBorder="1" applyAlignment="1">
      <alignment horizontal="left"/>
    </xf>
    <xf numFmtId="0" fontId="136" fillId="29" borderId="3" xfId="4" applyFont="1" applyFill="1" applyBorder="1" applyAlignment="1">
      <alignment horizontal="left"/>
    </xf>
    <xf numFmtId="0" fontId="45" fillId="9" borderId="3" xfId="4" applyFill="1" applyBorder="1" applyAlignment="1">
      <alignment horizontal="left"/>
    </xf>
    <xf numFmtId="0" fontId="138" fillId="29" borderId="3" xfId="0" applyFont="1" applyFill="1" applyBorder="1"/>
    <xf numFmtId="0" fontId="45" fillId="0" borderId="40" xfId="4" applyFill="1" applyBorder="1" applyAlignment="1">
      <alignment horizontal="left"/>
    </xf>
    <xf numFmtId="0" fontId="49" fillId="28" borderId="44" xfId="0" applyFont="1" applyFill="1" applyBorder="1"/>
    <xf numFmtId="0" fontId="186" fillId="35" borderId="40" xfId="0" applyFont="1" applyFill="1" applyBorder="1"/>
    <xf numFmtId="0" fontId="99" fillId="30" borderId="3" xfId="0" applyFont="1" applyFill="1" applyBorder="1" applyAlignment="1">
      <alignment horizontal="left" readingOrder="1"/>
    </xf>
    <xf numFmtId="0" fontId="135" fillId="29" borderId="3" xfId="0" applyFont="1" applyFill="1" applyBorder="1" applyAlignment="1">
      <alignment horizontal="left"/>
    </xf>
    <xf numFmtId="0" fontId="246" fillId="0" borderId="40" xfId="0" applyFont="1" applyBorder="1"/>
    <xf numFmtId="0" fontId="242" fillId="9" borderId="40" xfId="0" applyFont="1" applyFill="1" applyBorder="1"/>
    <xf numFmtId="0" fontId="139" fillId="29" borderId="3" xfId="0" applyFont="1" applyFill="1" applyBorder="1"/>
    <xf numFmtId="0" fontId="54" fillId="9" borderId="3" xfId="0" applyFont="1" applyFill="1" applyBorder="1"/>
    <xf numFmtId="0" fontId="114" fillId="20" borderId="3" xfId="0" applyFont="1" applyFill="1" applyBorder="1" applyAlignment="1">
      <alignment readingOrder="1"/>
    </xf>
    <xf numFmtId="0" fontId="240" fillId="9" borderId="0" xfId="0" applyFont="1" applyFill="1"/>
    <xf numFmtId="0" fontId="140" fillId="29" borderId="3" xfId="0" applyFont="1" applyFill="1" applyBorder="1"/>
    <xf numFmtId="0" fontId="203" fillId="9" borderId="40" xfId="0" applyFont="1" applyFill="1" applyBorder="1"/>
    <xf numFmtId="0" fontId="54" fillId="9" borderId="44" xfId="0" applyFont="1" applyFill="1" applyBorder="1"/>
    <xf numFmtId="0" fontId="238" fillId="9" borderId="40" xfId="0" applyFont="1" applyFill="1" applyBorder="1"/>
    <xf numFmtId="0" fontId="106" fillId="9" borderId="6" xfId="0" applyFont="1" applyFill="1" applyBorder="1"/>
    <xf numFmtId="0" fontId="207" fillId="9" borderId="40" xfId="0" applyFont="1" applyFill="1" applyBorder="1"/>
    <xf numFmtId="0" fontId="205" fillId="9" borderId="0" xfId="0" applyFont="1" applyFill="1"/>
    <xf numFmtId="0" fontId="135" fillId="16" borderId="3" xfId="0" applyFont="1" applyFill="1" applyBorder="1" applyAlignment="1">
      <alignment horizontal="left"/>
    </xf>
    <xf numFmtId="0" fontId="139" fillId="9" borderId="0" xfId="0" applyFont="1" applyFill="1"/>
    <xf numFmtId="0" fontId="99" fillId="28" borderId="3" xfId="0" applyFont="1" applyFill="1" applyBorder="1" applyAlignment="1">
      <alignment horizontal="left" wrapText="1"/>
    </xf>
    <xf numFmtId="0" fontId="106" fillId="0" borderId="47" xfId="0" applyFont="1" applyBorder="1" applyAlignment="1">
      <alignment horizontal="left" vertical="center" wrapText="1"/>
    </xf>
    <xf numFmtId="0" fontId="106" fillId="28" borderId="3" xfId="0" applyFont="1" applyFill="1" applyBorder="1" applyAlignment="1">
      <alignment horizontal="left" wrapText="1"/>
    </xf>
    <xf numFmtId="0" fontId="106" fillId="9" borderId="47" xfId="0" applyFont="1" applyFill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99" fillId="9" borderId="3" xfId="0" applyFont="1" applyFill="1" applyBorder="1" applyAlignment="1">
      <alignment wrapText="1"/>
    </xf>
    <xf numFmtId="0" fontId="55" fillId="28" borderId="44" xfId="0" applyFont="1" applyFill="1" applyBorder="1" applyAlignment="1">
      <alignment wrapText="1"/>
    </xf>
    <xf numFmtId="0" fontId="99" fillId="9" borderId="42" xfId="0" applyFont="1" applyFill="1" applyBorder="1" applyAlignment="1">
      <alignment horizontal="left" wrapText="1"/>
    </xf>
    <xf numFmtId="0" fontId="106" fillId="0" borderId="47" xfId="0" applyFont="1" applyBorder="1" applyAlignment="1">
      <alignment horizontal="center" vertical="center" wrapText="1"/>
    </xf>
    <xf numFmtId="0" fontId="106" fillId="9" borderId="47" xfId="0" applyFont="1" applyFill="1" applyBorder="1" applyAlignment="1">
      <alignment horizontal="center" vertical="center" wrapText="1"/>
    </xf>
    <xf numFmtId="0" fontId="106" fillId="0" borderId="43" xfId="0" applyFont="1" applyBorder="1" applyAlignment="1">
      <alignment horizontal="center" vertical="center" wrapText="1"/>
    </xf>
    <xf numFmtId="0" fontId="123" fillId="9" borderId="44" xfId="0" applyFont="1" applyFill="1" applyBorder="1"/>
    <xf numFmtId="0" fontId="123" fillId="0" borderId="43" xfId="0" applyFont="1" applyBorder="1"/>
    <xf numFmtId="0" fontId="81" fillId="9" borderId="3" xfId="0" applyFont="1" applyFill="1" applyBorder="1"/>
    <xf numFmtId="0" fontId="99" fillId="30" borderId="3" xfId="0" applyFont="1" applyFill="1" applyBorder="1"/>
    <xf numFmtId="0" fontId="115" fillId="0" borderId="3" xfId="0" applyFont="1" applyBorder="1"/>
    <xf numFmtId="0" fontId="115" fillId="28" borderId="44" xfId="0" applyFont="1" applyFill="1" applyBorder="1"/>
    <xf numFmtId="14" fontId="99" fillId="29" borderId="3" xfId="0" applyNumberFormat="1" applyFont="1" applyFill="1" applyBorder="1" applyAlignment="1">
      <alignment horizontal="left"/>
    </xf>
    <xf numFmtId="170" fontId="106" fillId="28" borderId="3" xfId="0" applyNumberFormat="1" applyFont="1" applyFill="1" applyBorder="1" applyAlignment="1">
      <alignment horizontal="left" wrapText="1"/>
    </xf>
    <xf numFmtId="170" fontId="106" fillId="9" borderId="3" xfId="0" applyNumberFormat="1" applyFont="1" applyFill="1" applyBorder="1" applyAlignment="1">
      <alignment horizontal="left" wrapText="1"/>
    </xf>
    <xf numFmtId="170" fontId="106" fillId="9" borderId="44" xfId="0" applyNumberFormat="1" applyFont="1" applyFill="1" applyBorder="1" applyAlignment="1">
      <alignment horizontal="left"/>
    </xf>
    <xf numFmtId="170" fontId="106" fillId="0" borderId="43" xfId="0" applyNumberFormat="1" applyFont="1" applyBorder="1" applyAlignment="1">
      <alignment horizontal="left"/>
    </xf>
    <xf numFmtId="173" fontId="106" fillId="0" borderId="42" xfId="0" applyNumberFormat="1" applyFont="1" applyBorder="1" applyAlignment="1">
      <alignment horizontal="left" vertical="center"/>
    </xf>
    <xf numFmtId="14" fontId="99" fillId="29" borderId="3" xfId="0" applyNumberFormat="1" applyFont="1" applyFill="1" applyBorder="1"/>
    <xf numFmtId="14" fontId="55" fillId="28" borderId="44" xfId="0" applyNumberFormat="1" applyFont="1" applyFill="1" applyBorder="1"/>
    <xf numFmtId="3" fontId="99" fillId="28" borderId="3" xfId="0" applyNumberFormat="1" applyFont="1" applyFill="1" applyBorder="1" applyAlignment="1">
      <alignment horizontal="left"/>
    </xf>
    <xf numFmtId="0" fontId="220" fillId="0" borderId="40" xfId="0" applyFont="1" applyBorder="1"/>
    <xf numFmtId="0" fontId="247" fillId="0" borderId="40" xfId="0" applyFont="1" applyBorder="1"/>
    <xf numFmtId="0" fontId="243" fillId="0" borderId="40" xfId="0" applyFont="1" applyBorder="1"/>
    <xf numFmtId="0" fontId="245" fillId="0" borderId="40" xfId="0" applyFont="1" applyBorder="1"/>
    <xf numFmtId="3" fontId="106" fillId="28" borderId="3" xfId="0" applyNumberFormat="1" applyFont="1" applyFill="1" applyBorder="1" applyAlignment="1">
      <alignment horizontal="left"/>
    </xf>
    <xf numFmtId="0" fontId="209" fillId="0" borderId="40" xfId="0" applyFont="1" applyBorder="1"/>
    <xf numFmtId="0" fontId="243" fillId="0" borderId="43" xfId="0" applyFont="1" applyBorder="1"/>
    <xf numFmtId="3" fontId="50" fillId="29" borderId="44" xfId="0" applyNumberFormat="1" applyFont="1" applyFill="1" applyBorder="1"/>
    <xf numFmtId="0" fontId="106" fillId="0" borderId="43" xfId="0" applyFont="1" applyBorder="1" applyAlignment="1">
      <alignment horizontal="left"/>
    </xf>
    <xf numFmtId="0" fontId="106" fillId="28" borderId="44" xfId="0" applyFont="1" applyFill="1" applyBorder="1" applyAlignment="1">
      <alignment horizontal="left"/>
    </xf>
    <xf numFmtId="0" fontId="106" fillId="0" borderId="43" xfId="0" applyFont="1" applyBorder="1" applyAlignment="1">
      <alignment horizontal="left" vertical="center"/>
    </xf>
    <xf numFmtId="0" fontId="137" fillId="28" borderId="3" xfId="0" applyFont="1" applyFill="1" applyBorder="1" applyAlignment="1">
      <alignment horizontal="left" vertical="center"/>
    </xf>
    <xf numFmtId="0" fontId="50" fillId="28" borderId="44" xfId="0" applyFont="1" applyFill="1" applyBorder="1"/>
    <xf numFmtId="0" fontId="50" fillId="30" borderId="0" xfId="0" applyFont="1" applyFill="1"/>
    <xf numFmtId="9" fontId="99" fillId="29" borderId="3" xfId="0" applyNumberFormat="1" applyFont="1" applyFill="1" applyBorder="1" applyAlignment="1">
      <alignment horizontal="left"/>
    </xf>
    <xf numFmtId="9" fontId="99" fillId="28" borderId="3" xfId="0" applyNumberFormat="1" applyFont="1" applyFill="1" applyBorder="1" applyAlignment="1">
      <alignment horizontal="left"/>
    </xf>
    <xf numFmtId="9" fontId="106" fillId="0" borderId="41" xfId="0" applyNumberFormat="1" applyFont="1" applyBorder="1" applyAlignment="1">
      <alignment horizontal="center"/>
    </xf>
    <xf numFmtId="9" fontId="106" fillId="28" borderId="3" xfId="0" applyNumberFormat="1" applyFont="1" applyFill="1" applyBorder="1" applyAlignment="1">
      <alignment horizontal="left"/>
    </xf>
    <xf numFmtId="9" fontId="106" fillId="9" borderId="3" xfId="0" applyNumberFormat="1" applyFont="1" applyFill="1" applyBorder="1" applyAlignment="1">
      <alignment horizontal="left"/>
    </xf>
    <xf numFmtId="9" fontId="106" fillId="0" borderId="43" xfId="2" applyFont="1" applyFill="1" applyBorder="1" applyAlignment="1">
      <alignment horizontal="center" vertical="center"/>
    </xf>
    <xf numFmtId="9" fontId="99" fillId="28" borderId="3" xfId="0" applyNumberFormat="1" applyFont="1" applyFill="1" applyBorder="1"/>
    <xf numFmtId="9" fontId="99" fillId="9" borderId="3" xfId="0" applyNumberFormat="1" applyFont="1" applyFill="1" applyBorder="1"/>
    <xf numFmtId="9" fontId="99" fillId="29" borderId="3" xfId="0" applyNumberFormat="1" applyFont="1" applyFill="1" applyBorder="1"/>
    <xf numFmtId="9" fontId="106" fillId="9" borderId="44" xfId="0" applyNumberFormat="1" applyFont="1" applyFill="1" applyBorder="1" applyAlignment="1">
      <alignment horizontal="center"/>
    </xf>
    <xf numFmtId="9" fontId="50" fillId="28" borderId="44" xfId="0" applyNumberFormat="1" applyFont="1" applyFill="1" applyBorder="1"/>
    <xf numFmtId="0" fontId="106" fillId="9" borderId="7" xfId="0" applyFont="1" applyFill="1" applyBorder="1" applyAlignment="1">
      <alignment horizontal="left"/>
    </xf>
    <xf numFmtId="0" fontId="106" fillId="0" borderId="22" xfId="0" applyFont="1" applyBorder="1" applyAlignment="1">
      <alignment horizontal="left"/>
    </xf>
    <xf numFmtId="0" fontId="27" fillId="29" borderId="47" xfId="0" applyFont="1" applyFill="1" applyBorder="1"/>
    <xf numFmtId="0" fontId="27" fillId="29" borderId="0" xfId="0" applyFont="1" applyFill="1" applyAlignment="1">
      <alignment horizontal="left"/>
    </xf>
    <xf numFmtId="0" fontId="106" fillId="28" borderId="40" xfId="0" quotePrefix="1" applyFont="1" applyFill="1" applyBorder="1" applyAlignment="1">
      <alignment horizontal="left"/>
    </xf>
    <xf numFmtId="170" fontId="99" fillId="28" borderId="3" xfId="0" applyNumberFormat="1" applyFont="1" applyFill="1" applyBorder="1" applyAlignment="1">
      <alignment horizontal="left" wrapText="1"/>
    </xf>
    <xf numFmtId="170" fontId="106" fillId="0" borderId="43" xfId="0" applyNumberFormat="1" applyFont="1" applyBorder="1" applyAlignment="1">
      <alignment horizontal="left" vertical="center"/>
    </xf>
    <xf numFmtId="170" fontId="106" fillId="9" borderId="53" xfId="0" applyNumberFormat="1" applyFont="1" applyFill="1" applyBorder="1" applyAlignment="1">
      <alignment horizontal="left" vertical="center"/>
    </xf>
    <xf numFmtId="170" fontId="106" fillId="0" borderId="81" xfId="0" applyNumberFormat="1" applyFont="1" applyBorder="1" applyAlignment="1">
      <alignment horizontal="left" vertical="center"/>
    </xf>
    <xf numFmtId="170" fontId="99" fillId="9" borderId="3" xfId="0" applyNumberFormat="1" applyFont="1" applyFill="1" applyBorder="1" applyAlignment="1">
      <alignment horizontal="left" wrapText="1"/>
    </xf>
    <xf numFmtId="170" fontId="106" fillId="9" borderId="0" xfId="0" applyNumberFormat="1" applyFont="1" applyFill="1" applyAlignment="1">
      <alignment horizontal="left" wrapText="1"/>
    </xf>
    <xf numFmtId="0" fontId="50" fillId="29" borderId="44" xfId="0" applyFont="1" applyFill="1" applyBorder="1" applyAlignment="1">
      <alignment wrapText="1"/>
    </xf>
    <xf numFmtId="170" fontId="106" fillId="28" borderId="0" xfId="0" applyNumberFormat="1" applyFont="1" applyFill="1" applyAlignment="1">
      <alignment horizontal="left" wrapText="1"/>
    </xf>
    <xf numFmtId="14" fontId="50" fillId="29" borderId="0" xfId="0" applyNumberFormat="1" applyFont="1" applyFill="1" applyAlignment="1">
      <alignment wrapText="1"/>
    </xf>
    <xf numFmtId="0" fontId="50" fillId="29" borderId="0" xfId="0" applyFont="1" applyFill="1" applyAlignment="1">
      <alignment wrapText="1"/>
    </xf>
    <xf numFmtId="0" fontId="106" fillId="29" borderId="3" xfId="0" applyFont="1" applyFill="1" applyBorder="1" applyAlignment="1">
      <alignment horizontal="left"/>
    </xf>
    <xf numFmtId="4" fontId="106" fillId="9" borderId="44" xfId="0" applyNumberFormat="1" applyFont="1" applyFill="1" applyBorder="1" applyAlignment="1">
      <alignment horizontal="left" vertical="center"/>
    </xf>
    <xf numFmtId="3" fontId="50" fillId="29" borderId="3" xfId="0" applyNumberFormat="1" applyFont="1" applyFill="1" applyBorder="1"/>
    <xf numFmtId="0" fontId="106" fillId="0" borderId="42" xfId="0" applyFont="1" applyBorder="1" applyAlignment="1">
      <alignment horizontal="left" vertical="center"/>
    </xf>
    <xf numFmtId="3" fontId="106" fillId="9" borderId="7" xfId="0" applyNumberFormat="1" applyFont="1" applyFill="1" applyBorder="1" applyAlignment="1">
      <alignment horizontal="center" vertical="center"/>
    </xf>
    <xf numFmtId="3" fontId="106" fillId="0" borderId="22" xfId="0" applyNumberFormat="1" applyFont="1" applyBorder="1" applyAlignment="1">
      <alignment horizontal="center" vertical="center"/>
    </xf>
    <xf numFmtId="0" fontId="106" fillId="28" borderId="44" xfId="0" applyFont="1" applyFill="1" applyBorder="1" applyAlignment="1">
      <alignment horizontal="center" vertical="center"/>
    </xf>
    <xf numFmtId="0" fontId="107" fillId="28" borderId="3" xfId="0" applyFont="1" applyFill="1" applyBorder="1" applyAlignment="1">
      <alignment horizontal="left"/>
    </xf>
    <xf numFmtId="14" fontId="106" fillId="9" borderId="3" xfId="0" applyNumberFormat="1" applyFont="1" applyFill="1" applyBorder="1" applyAlignment="1">
      <alignment horizontal="left" wrapText="1"/>
    </xf>
    <xf numFmtId="0" fontId="106" fillId="28" borderId="3" xfId="0" applyFont="1" applyFill="1" applyBorder="1" applyAlignment="1">
      <alignment horizontal="center" vertical="center" wrapText="1"/>
    </xf>
    <xf numFmtId="14" fontId="106" fillId="28" borderId="3" xfId="0" applyNumberFormat="1" applyFont="1" applyFill="1" applyBorder="1" applyAlignment="1">
      <alignment horizontal="left" wrapText="1"/>
    </xf>
    <xf numFmtId="14" fontId="106" fillId="9" borderId="3" xfId="0" applyNumberFormat="1" applyFont="1" applyFill="1" applyBorder="1" applyAlignment="1">
      <alignment horizontal="center" vertical="center" wrapText="1"/>
    </xf>
    <xf numFmtId="14" fontId="106" fillId="0" borderId="3" xfId="0" applyNumberFormat="1" applyFont="1" applyBorder="1" applyAlignment="1">
      <alignment horizontal="center" vertical="center" wrapText="1"/>
    </xf>
    <xf numFmtId="14" fontId="106" fillId="28" borderId="3" xfId="0" applyNumberFormat="1" applyFont="1" applyFill="1" applyBorder="1" applyAlignment="1">
      <alignment horizontal="center" vertical="center" wrapText="1"/>
    </xf>
    <xf numFmtId="14" fontId="106" fillId="9" borderId="44" xfId="0" applyNumberFormat="1" applyFont="1" applyFill="1" applyBorder="1" applyAlignment="1">
      <alignment horizontal="center" vertical="center" wrapText="1"/>
    </xf>
    <xf numFmtId="0" fontId="34" fillId="38" borderId="3" xfId="0" applyFont="1" applyFill="1" applyBorder="1" applyAlignment="1">
      <alignment horizontal="center" vertical="top"/>
    </xf>
    <xf numFmtId="14" fontId="34" fillId="38" borderId="3" xfId="0" applyNumberFormat="1" applyFont="1" applyFill="1" applyBorder="1" applyAlignment="1">
      <alignment horizontal="center" vertical="top"/>
    </xf>
    <xf numFmtId="0" fontId="33" fillId="38" borderId="3" xfId="0" applyFont="1" applyFill="1" applyBorder="1" applyAlignment="1">
      <alignment horizontal="center" vertical="top"/>
    </xf>
    <xf numFmtId="0" fontId="35" fillId="38" borderId="3" xfId="0" applyFont="1" applyFill="1" applyBorder="1" applyAlignment="1">
      <alignment horizontal="center" vertical="top" wrapText="1"/>
    </xf>
    <xf numFmtId="0" fontId="33" fillId="39" borderId="3" xfId="0" applyFont="1" applyFill="1" applyBorder="1" applyAlignment="1">
      <alignment horizontal="center" vertical="top"/>
    </xf>
    <xf numFmtId="0" fontId="35" fillId="39" borderId="3" xfId="0" applyFont="1" applyFill="1" applyBorder="1" applyAlignment="1">
      <alignment horizontal="center" vertical="top"/>
    </xf>
    <xf numFmtId="0" fontId="56" fillId="39" borderId="3" xfId="4" applyFont="1" applyFill="1" applyBorder="1" applyAlignment="1">
      <alignment horizontal="center" vertical="top"/>
    </xf>
    <xf numFmtId="0" fontId="35" fillId="39" borderId="3" xfId="0" applyFont="1" applyFill="1" applyBorder="1" applyAlignment="1">
      <alignment horizontal="center" vertical="top" wrapText="1"/>
    </xf>
    <xf numFmtId="14" fontId="35" fillId="38" borderId="3" xfId="0" applyNumberFormat="1" applyFont="1" applyFill="1" applyBorder="1" applyAlignment="1">
      <alignment horizontal="center" vertical="top" wrapText="1"/>
    </xf>
    <xf numFmtId="9" fontId="34" fillId="38" borderId="3" xfId="0" applyNumberFormat="1" applyFont="1" applyFill="1" applyBorder="1" applyAlignment="1">
      <alignment horizontal="center" vertical="top"/>
    </xf>
    <xf numFmtId="0" fontId="34" fillId="38" borderId="3" xfId="0" applyFont="1" applyFill="1" applyBorder="1" applyAlignment="1">
      <alignment horizontal="center" vertical="top" wrapText="1"/>
    </xf>
    <xf numFmtId="0" fontId="38" fillId="38" borderId="40" xfId="0" applyFont="1" applyFill="1" applyBorder="1" applyAlignment="1">
      <alignment horizontal="center" vertical="top"/>
    </xf>
    <xf numFmtId="0" fontId="34" fillId="38" borderId="45" xfId="0" applyFont="1" applyFill="1" applyBorder="1" applyAlignment="1">
      <alignment horizontal="center" vertical="top"/>
    </xf>
    <xf numFmtId="0" fontId="34" fillId="38" borderId="45" xfId="0" applyFont="1" applyFill="1" applyBorder="1" applyAlignment="1">
      <alignment horizontal="center" vertical="top" wrapText="1"/>
    </xf>
    <xf numFmtId="0" fontId="34" fillId="38" borderId="40" xfId="0" applyFont="1" applyFill="1" applyBorder="1" applyAlignment="1">
      <alignment horizontal="center" vertical="top"/>
    </xf>
    <xf numFmtId="0" fontId="35" fillId="38" borderId="40" xfId="0" applyFont="1" applyFill="1" applyBorder="1" applyAlignment="1">
      <alignment horizontal="center" vertical="top" wrapText="1"/>
    </xf>
    <xf numFmtId="0" fontId="35" fillId="38" borderId="3" xfId="0" applyFont="1" applyFill="1" applyBorder="1" applyAlignment="1">
      <alignment horizontal="center" vertical="top"/>
    </xf>
    <xf numFmtId="0" fontId="56" fillId="38" borderId="3" xfId="4" applyFont="1" applyFill="1" applyBorder="1" applyAlignment="1">
      <alignment horizontal="center" vertical="top"/>
    </xf>
    <xf numFmtId="0" fontId="34" fillId="38" borderId="40" xfId="0" applyFont="1" applyFill="1" applyBorder="1" applyAlignment="1">
      <alignment horizontal="center" vertical="top" wrapText="1"/>
    </xf>
    <xf numFmtId="0" fontId="33" fillId="38" borderId="40" xfId="0" applyFont="1" applyFill="1" applyBorder="1" applyAlignment="1">
      <alignment horizontal="center" vertical="top"/>
    </xf>
    <xf numFmtId="0" fontId="33" fillId="38" borderId="40" xfId="0" applyFont="1" applyFill="1" applyBorder="1" applyAlignment="1">
      <alignment horizontal="center" vertical="top" wrapText="1"/>
    </xf>
    <xf numFmtId="0" fontId="260" fillId="38" borderId="3" xfId="0" applyFont="1" applyFill="1" applyBorder="1" applyAlignment="1">
      <alignment horizontal="center" vertical="top"/>
    </xf>
    <xf numFmtId="14" fontId="34" fillId="38" borderId="40" xfId="0" applyNumberFormat="1" applyFont="1" applyFill="1" applyBorder="1" applyAlignment="1">
      <alignment horizontal="center" vertical="top"/>
    </xf>
    <xf numFmtId="0" fontId="34" fillId="0" borderId="40" xfId="0" applyFont="1" applyBorder="1" applyAlignment="1">
      <alignment horizontal="center" vertical="top"/>
    </xf>
    <xf numFmtId="14" fontId="34" fillId="0" borderId="40" xfId="0" applyNumberFormat="1" applyFont="1" applyBorder="1" applyAlignment="1">
      <alignment horizontal="center" vertical="top"/>
    </xf>
    <xf numFmtId="0" fontId="33" fillId="0" borderId="40" xfId="0" applyFont="1" applyBorder="1" applyAlignment="1">
      <alignment horizontal="center" vertical="top"/>
    </xf>
    <xf numFmtId="0" fontId="33" fillId="0" borderId="3" xfId="0" applyFont="1" applyBorder="1" applyAlignment="1">
      <alignment horizontal="center" vertical="top"/>
    </xf>
    <xf numFmtId="0" fontId="56" fillId="0" borderId="3" xfId="4" applyFont="1" applyBorder="1" applyAlignment="1">
      <alignment horizontal="center" vertical="top"/>
    </xf>
    <xf numFmtId="0" fontId="35" fillId="0" borderId="3" xfId="0" applyFont="1" applyBorder="1" applyAlignment="1">
      <alignment horizontal="center" vertical="top" wrapText="1"/>
    </xf>
    <xf numFmtId="0" fontId="33" fillId="0" borderId="40" xfId="0" applyFont="1" applyBorder="1" applyAlignment="1">
      <alignment horizontal="center" vertical="top" wrapText="1"/>
    </xf>
    <xf numFmtId="0" fontId="35" fillId="13" borderId="3" xfId="0" applyFont="1" applyFill="1" applyBorder="1" applyAlignment="1">
      <alignment horizontal="center" vertical="top" wrapText="1"/>
    </xf>
    <xf numFmtId="14" fontId="35" fillId="13" borderId="3" xfId="0" applyNumberFormat="1" applyFont="1" applyFill="1" applyBorder="1" applyAlignment="1">
      <alignment horizontal="center" vertical="top"/>
    </xf>
    <xf numFmtId="9" fontId="34" fillId="0" borderId="40" xfId="0" applyNumberFormat="1" applyFont="1" applyBorder="1" applyAlignment="1">
      <alignment horizontal="center" vertical="top"/>
    </xf>
    <xf numFmtId="0" fontId="38" fillId="0" borderId="40" xfId="0" applyFont="1" applyBorder="1" applyAlignment="1">
      <alignment horizontal="center" vertical="top"/>
    </xf>
    <xf numFmtId="0" fontId="34" fillId="0" borderId="40" xfId="0" applyFont="1" applyBorder="1" applyAlignment="1">
      <alignment horizontal="center" vertical="top" wrapText="1"/>
    </xf>
    <xf numFmtId="0" fontId="34" fillId="13" borderId="3" xfId="0" applyFont="1" applyFill="1" applyBorder="1" applyAlignment="1">
      <alignment horizontal="center" vertical="top"/>
    </xf>
    <xf numFmtId="14" fontId="34" fillId="13" borderId="40" xfId="0" applyNumberFormat="1" applyFont="1" applyFill="1" applyBorder="1" applyAlignment="1">
      <alignment horizontal="center" vertical="top"/>
    </xf>
    <xf numFmtId="0" fontId="33" fillId="13" borderId="40" xfId="0" applyFont="1" applyFill="1" applyBorder="1" applyAlignment="1">
      <alignment horizontal="center" vertical="top"/>
    </xf>
    <xf numFmtId="0" fontId="33" fillId="13" borderId="3" xfId="0" applyFont="1" applyFill="1" applyBorder="1" applyAlignment="1">
      <alignment horizontal="center" vertical="top"/>
    </xf>
    <xf numFmtId="0" fontId="56" fillId="13" borderId="3" xfId="4" applyFont="1" applyFill="1" applyBorder="1" applyAlignment="1">
      <alignment horizontal="center" vertical="top"/>
    </xf>
    <xf numFmtId="0" fontId="33" fillId="13" borderId="40" xfId="0" applyFont="1" applyFill="1" applyBorder="1" applyAlignment="1">
      <alignment horizontal="center" vertical="top" wrapText="1"/>
    </xf>
    <xf numFmtId="0" fontId="34" fillId="13" borderId="40" xfId="0" applyFont="1" applyFill="1" applyBorder="1" applyAlignment="1">
      <alignment horizontal="center" vertical="top"/>
    </xf>
    <xf numFmtId="9" fontId="34" fillId="13" borderId="40" xfId="0" applyNumberFormat="1" applyFont="1" applyFill="1" applyBorder="1" applyAlignment="1">
      <alignment horizontal="center" vertical="top"/>
    </xf>
    <xf numFmtId="0" fontId="38" fillId="13" borderId="40" xfId="0" applyFont="1" applyFill="1" applyBorder="1" applyAlignment="1">
      <alignment horizontal="center" vertical="top"/>
    </xf>
    <xf numFmtId="0" fontId="34" fillId="13" borderId="40" xfId="0" applyFont="1" applyFill="1" applyBorder="1" applyAlignment="1">
      <alignment horizontal="center" vertical="top" wrapText="1"/>
    </xf>
    <xf numFmtId="9" fontId="34" fillId="38" borderId="40" xfId="0" applyNumberFormat="1" applyFont="1" applyFill="1" applyBorder="1" applyAlignment="1">
      <alignment horizontal="center" vertical="top"/>
    </xf>
    <xf numFmtId="14" fontId="33" fillId="38" borderId="40" xfId="0" applyNumberFormat="1" applyFont="1" applyFill="1" applyBorder="1" applyAlignment="1">
      <alignment horizontal="center" vertical="top"/>
    </xf>
    <xf numFmtId="0" fontId="56" fillId="38" borderId="45" xfId="4" applyFont="1" applyFill="1" applyBorder="1" applyAlignment="1">
      <alignment horizontal="center" vertical="top"/>
    </xf>
    <xf numFmtId="0" fontId="35" fillId="38" borderId="40" xfId="0" applyFont="1" applyFill="1" applyBorder="1" applyAlignment="1">
      <alignment horizontal="center" vertical="top"/>
    </xf>
    <xf numFmtId="0" fontId="260" fillId="19" borderId="86" xfId="0" applyFont="1" applyFill="1" applyBorder="1" applyAlignment="1">
      <alignment horizontal="center" vertical="top" wrapText="1"/>
    </xf>
    <xf numFmtId="0" fontId="35" fillId="13" borderId="40" xfId="0" applyFont="1" applyFill="1" applyBorder="1" applyAlignment="1">
      <alignment horizontal="center" vertical="top" wrapText="1"/>
    </xf>
    <xf numFmtId="0" fontId="35" fillId="13" borderId="40" xfId="0" applyFont="1" applyFill="1" applyBorder="1" applyAlignment="1">
      <alignment horizontal="center" vertical="top"/>
    </xf>
    <xf numFmtId="0" fontId="251" fillId="38" borderId="3" xfId="0" applyFont="1" applyFill="1" applyBorder="1" applyAlignment="1">
      <alignment horizontal="center" vertical="top"/>
    </xf>
    <xf numFmtId="14" fontId="34" fillId="38" borderId="0" xfId="0" applyNumberFormat="1" applyFont="1" applyFill="1" applyAlignment="1">
      <alignment horizontal="center" vertical="top"/>
    </xf>
    <xf numFmtId="0" fontId="261" fillId="38" borderId="3" xfId="0" applyFont="1" applyFill="1" applyBorder="1" applyAlignment="1">
      <alignment horizontal="center" vertical="top"/>
    </xf>
    <xf numFmtId="14" fontId="35" fillId="38" borderId="40" xfId="0" applyNumberFormat="1" applyFont="1" applyFill="1" applyBorder="1" applyAlignment="1">
      <alignment horizontal="center" vertical="top"/>
    </xf>
    <xf numFmtId="0" fontId="34" fillId="38" borderId="0" xfId="0" applyFont="1" applyFill="1" applyAlignment="1">
      <alignment horizontal="center" vertical="top"/>
    </xf>
    <xf numFmtId="0" fontId="261" fillId="39" borderId="3" xfId="0" applyFont="1" applyFill="1" applyBorder="1" applyAlignment="1">
      <alignment horizontal="center" vertical="top"/>
    </xf>
    <xf numFmtId="0" fontId="34" fillId="39" borderId="40" xfId="0" applyFont="1" applyFill="1" applyBorder="1" applyAlignment="1">
      <alignment horizontal="center" vertical="top"/>
    </xf>
    <xf numFmtId="14" fontId="34" fillId="38" borderId="40" xfId="0" applyNumberFormat="1" applyFont="1" applyFill="1" applyBorder="1" applyAlignment="1">
      <alignment horizontal="center" vertical="top" wrapText="1"/>
    </xf>
    <xf numFmtId="0" fontId="264" fillId="38" borderId="53" xfId="0" applyFont="1" applyFill="1" applyBorder="1" applyAlignment="1">
      <alignment horizontal="center" vertical="top"/>
    </xf>
    <xf numFmtId="0" fontId="56" fillId="38" borderId="40" xfId="4" applyFont="1" applyFill="1" applyBorder="1" applyAlignment="1">
      <alignment horizontal="center" vertical="top"/>
    </xf>
    <xf numFmtId="0" fontId="35" fillId="38" borderId="53" xfId="0" applyFont="1" applyFill="1" applyBorder="1" applyAlignment="1">
      <alignment horizontal="center" vertical="top" wrapText="1"/>
    </xf>
    <xf numFmtId="14" fontId="264" fillId="38" borderId="53" xfId="0" applyNumberFormat="1" applyFont="1" applyFill="1" applyBorder="1" applyAlignment="1">
      <alignment horizontal="center" vertical="top"/>
    </xf>
    <xf numFmtId="0" fontId="34" fillId="38" borderId="42" xfId="0" applyFont="1" applyFill="1" applyBorder="1" applyAlignment="1">
      <alignment horizontal="center" vertical="top"/>
    </xf>
    <xf numFmtId="0" fontId="35" fillId="38" borderId="6" xfId="0" applyFont="1" applyFill="1" applyBorder="1" applyAlignment="1">
      <alignment horizontal="center" vertical="top" wrapText="1"/>
    </xf>
    <xf numFmtId="0" fontId="56" fillId="38" borderId="6" xfId="4" applyFont="1" applyFill="1" applyBorder="1" applyAlignment="1">
      <alignment horizontal="center" vertical="top" wrapText="1"/>
    </xf>
    <xf numFmtId="0" fontId="35" fillId="38" borderId="7" xfId="0" applyFont="1" applyFill="1" applyBorder="1" applyAlignment="1">
      <alignment horizontal="center" vertical="top" wrapText="1"/>
    </xf>
    <xf numFmtId="0" fontId="35" fillId="38" borderId="46" xfId="0" applyFont="1" applyFill="1" applyBorder="1" applyAlignment="1">
      <alignment horizontal="center" vertical="top" wrapText="1"/>
    </xf>
    <xf numFmtId="0" fontId="56" fillId="38" borderId="46" xfId="4" applyFont="1" applyFill="1" applyBorder="1" applyAlignment="1">
      <alignment horizontal="center" vertical="top" wrapText="1"/>
    </xf>
    <xf numFmtId="0" fontId="33" fillId="38" borderId="6" xfId="0" applyFont="1" applyFill="1" applyBorder="1" applyAlignment="1">
      <alignment horizontal="center" vertical="top"/>
    </xf>
    <xf numFmtId="0" fontId="261" fillId="38" borderId="6" xfId="0" applyFont="1" applyFill="1" applyBorder="1" applyAlignment="1">
      <alignment horizontal="center" vertical="top"/>
    </xf>
    <xf numFmtId="0" fontId="33" fillId="38" borderId="7" xfId="0" applyFont="1" applyFill="1" applyBorder="1" applyAlignment="1">
      <alignment horizontal="center" vertical="top"/>
    </xf>
    <xf numFmtId="0" fontId="33" fillId="38" borderId="46" xfId="0" applyFont="1" applyFill="1" applyBorder="1" applyAlignment="1">
      <alignment horizontal="center" vertical="top"/>
    </xf>
    <xf numFmtId="0" fontId="261" fillId="38" borderId="46" xfId="0" applyFont="1" applyFill="1" applyBorder="1" applyAlignment="1">
      <alignment horizontal="center" vertical="top"/>
    </xf>
    <xf numFmtId="0" fontId="260" fillId="39" borderId="3" xfId="0" applyFont="1" applyFill="1" applyBorder="1" applyAlignment="1">
      <alignment horizontal="center" vertical="top"/>
    </xf>
    <xf numFmtId="14" fontId="35" fillId="38" borderId="40" xfId="0" applyNumberFormat="1" applyFont="1" applyFill="1" applyBorder="1" applyAlignment="1">
      <alignment horizontal="center" vertical="top" wrapText="1"/>
    </xf>
    <xf numFmtId="0" fontId="56" fillId="0" borderId="40" xfId="4" applyFont="1" applyBorder="1" applyAlignment="1">
      <alignment horizontal="center" vertical="top"/>
    </xf>
    <xf numFmtId="0" fontId="35" fillId="0" borderId="40" xfId="0" applyFont="1" applyBorder="1" applyAlignment="1">
      <alignment horizontal="center" vertical="top" wrapText="1"/>
    </xf>
    <xf numFmtId="0" fontId="35" fillId="0" borderId="40" xfId="0" applyFont="1" applyBorder="1" applyAlignment="1">
      <alignment horizontal="center" vertical="top"/>
    </xf>
    <xf numFmtId="0" fontId="46" fillId="38" borderId="40" xfId="0" applyFont="1" applyFill="1" applyBorder="1" applyAlignment="1">
      <alignment horizontal="center" vertical="top" wrapText="1"/>
    </xf>
    <xf numFmtId="0" fontId="34" fillId="39" borderId="40" xfId="0" applyFont="1" applyFill="1" applyBorder="1" applyAlignment="1">
      <alignment horizontal="center" vertical="top" wrapText="1"/>
    </xf>
    <xf numFmtId="0" fontId="56" fillId="38" borderId="22" xfId="4" applyFont="1" applyFill="1" applyBorder="1" applyAlignment="1">
      <alignment horizontal="center" vertical="top"/>
    </xf>
    <xf numFmtId="0" fontId="33" fillId="38" borderId="41" xfId="0" applyFont="1" applyFill="1" applyBorder="1" applyAlignment="1">
      <alignment horizontal="center" vertical="top"/>
    </xf>
    <xf numFmtId="0" fontId="33" fillId="0" borderId="41" xfId="0" applyFont="1" applyBorder="1" applyAlignment="1">
      <alignment horizontal="center" vertical="top"/>
    </xf>
    <xf numFmtId="0" fontId="35" fillId="0" borderId="6" xfId="0" applyFont="1" applyBorder="1" applyAlignment="1">
      <alignment horizontal="center" vertical="top" wrapText="1"/>
    </xf>
    <xf numFmtId="14" fontId="35" fillId="0" borderId="40" xfId="0" applyNumberFormat="1" applyFont="1" applyBorder="1" applyAlignment="1">
      <alignment horizontal="center" vertical="top"/>
    </xf>
    <xf numFmtId="0" fontId="265" fillId="38" borderId="40" xfId="0" applyFont="1" applyFill="1" applyBorder="1" applyAlignment="1">
      <alignment horizontal="center" vertical="top"/>
    </xf>
    <xf numFmtId="0" fontId="265" fillId="38" borderId="0" xfId="0" applyFont="1" applyFill="1" applyAlignment="1">
      <alignment horizontal="center" vertical="top"/>
    </xf>
    <xf numFmtId="0" fontId="56" fillId="13" borderId="40" xfId="4" applyFont="1" applyFill="1" applyBorder="1" applyAlignment="1">
      <alignment horizontal="center" vertical="top"/>
    </xf>
    <xf numFmtId="14" fontId="35" fillId="13" borderId="40" xfId="0" applyNumberFormat="1" applyFont="1" applyFill="1" applyBorder="1" applyAlignment="1">
      <alignment horizontal="center" vertical="top"/>
    </xf>
    <xf numFmtId="0" fontId="265" fillId="0" borderId="40" xfId="0" applyFont="1" applyBorder="1" applyAlignment="1">
      <alignment horizontal="center" vertical="top"/>
    </xf>
    <xf numFmtId="0" fontId="261" fillId="0" borderId="40" xfId="0" applyFont="1" applyBorder="1" applyAlignment="1">
      <alignment horizontal="center" vertical="top"/>
    </xf>
    <xf numFmtId="0" fontId="56" fillId="13" borderId="22" xfId="4" applyFont="1" applyFill="1" applyBorder="1" applyAlignment="1">
      <alignment horizontal="center" vertical="top"/>
    </xf>
    <xf numFmtId="0" fontId="34" fillId="28" borderId="40" xfId="0" applyFont="1" applyFill="1" applyBorder="1" applyAlignment="1">
      <alignment horizontal="center" vertical="top"/>
    </xf>
    <xf numFmtId="14" fontId="34" fillId="28" borderId="40" xfId="0" applyNumberFormat="1" applyFont="1" applyFill="1" applyBorder="1" applyAlignment="1">
      <alignment horizontal="center" vertical="top"/>
    </xf>
    <xf numFmtId="0" fontId="33" fillId="28" borderId="40" xfId="0" applyFont="1" applyFill="1" applyBorder="1" applyAlignment="1">
      <alignment horizontal="center" vertical="top"/>
    </xf>
    <xf numFmtId="0" fontId="35" fillId="28" borderId="40" xfId="0" applyFont="1" applyFill="1" applyBorder="1" applyAlignment="1">
      <alignment horizontal="center" vertical="top" wrapText="1"/>
    </xf>
    <xf numFmtId="0" fontId="35" fillId="28" borderId="3" xfId="0" applyFont="1" applyFill="1" applyBorder="1" applyAlignment="1">
      <alignment horizontal="center" vertical="top"/>
    </xf>
    <xf numFmtId="0" fontId="56" fillId="28" borderId="3" xfId="4" applyFont="1" applyFill="1" applyBorder="1" applyAlignment="1">
      <alignment horizontal="center" vertical="top"/>
    </xf>
    <xf numFmtId="14" fontId="35" fillId="28" borderId="40" xfId="0" applyNumberFormat="1" applyFont="1" applyFill="1" applyBorder="1" applyAlignment="1">
      <alignment horizontal="center" vertical="top"/>
    </xf>
    <xf numFmtId="9" fontId="34" fillId="28" borderId="40" xfId="0" applyNumberFormat="1" applyFont="1" applyFill="1" applyBorder="1" applyAlignment="1">
      <alignment horizontal="center" vertical="top"/>
    </xf>
    <xf numFmtId="0" fontId="38" fillId="28" borderId="40" xfId="0" applyFont="1" applyFill="1" applyBorder="1" applyAlignment="1">
      <alignment horizontal="center" vertical="top"/>
    </xf>
    <xf numFmtId="0" fontId="260" fillId="28" borderId="90" xfId="0" applyFont="1" applyFill="1" applyBorder="1" applyAlignment="1">
      <alignment horizontal="center" vertical="top"/>
    </xf>
    <xf numFmtId="0" fontId="265" fillId="28" borderId="40" xfId="0" applyFont="1" applyFill="1" applyBorder="1" applyAlignment="1">
      <alignment horizontal="center" vertical="top"/>
    </xf>
    <xf numFmtId="0" fontId="35" fillId="28" borderId="0" xfId="0" applyFont="1" applyFill="1" applyAlignment="1">
      <alignment horizontal="center" vertical="top"/>
    </xf>
    <xf numFmtId="0" fontId="56" fillId="28" borderId="40" xfId="4" applyFont="1" applyFill="1" applyBorder="1" applyAlignment="1">
      <alignment horizontal="center" vertical="top"/>
    </xf>
    <xf numFmtId="0" fontId="56" fillId="38" borderId="42" xfId="4" applyFont="1" applyFill="1" applyBorder="1" applyAlignment="1">
      <alignment horizontal="center" vertical="top"/>
    </xf>
    <xf numFmtId="0" fontId="56" fillId="0" borderId="22" xfId="4" applyFont="1" applyBorder="1" applyAlignment="1">
      <alignment horizontal="center" vertical="top"/>
    </xf>
    <xf numFmtId="0" fontId="35" fillId="28" borderId="40" xfId="0" applyFont="1" applyFill="1" applyBorder="1" applyAlignment="1">
      <alignment horizontal="center" vertical="top"/>
    </xf>
    <xf numFmtId="0" fontId="37" fillId="28" borderId="0" xfId="0" applyFont="1" applyFill="1" applyAlignment="1">
      <alignment horizontal="center" vertical="top"/>
    </xf>
    <xf numFmtId="0" fontId="33" fillId="28" borderId="41" xfId="0" applyFont="1" applyFill="1" applyBorder="1" applyAlignment="1">
      <alignment horizontal="center" vertical="top"/>
    </xf>
    <xf numFmtId="0" fontId="56" fillId="28" borderId="42" xfId="4" applyFont="1" applyFill="1" applyBorder="1" applyAlignment="1">
      <alignment horizontal="center" vertical="top"/>
    </xf>
    <xf numFmtId="0" fontId="33" fillId="28" borderId="3" xfId="0" applyFont="1" applyFill="1" applyBorder="1" applyAlignment="1">
      <alignment horizontal="center" vertical="top"/>
    </xf>
    <xf numFmtId="0" fontId="56" fillId="28" borderId="22" xfId="4" applyFont="1" applyFill="1" applyBorder="1" applyAlignment="1">
      <alignment horizontal="center" vertical="top"/>
    </xf>
    <xf numFmtId="0" fontId="37" fillId="28" borderId="40" xfId="0" applyFont="1" applyFill="1" applyBorder="1" applyAlignment="1">
      <alignment horizontal="center" vertical="top"/>
    </xf>
    <xf numFmtId="172" fontId="34" fillId="28" borderId="40" xfId="0" applyNumberFormat="1" applyFont="1" applyFill="1" applyBorder="1" applyAlignment="1">
      <alignment horizontal="center" vertical="top"/>
    </xf>
    <xf numFmtId="0" fontId="56" fillId="0" borderId="40" xfId="4" applyFont="1" applyFill="1" applyBorder="1" applyAlignment="1">
      <alignment horizontal="center" vertical="top"/>
    </xf>
    <xf numFmtId="0" fontId="37" fillId="0" borderId="40" xfId="0" applyFont="1" applyBorder="1" applyAlignment="1">
      <alignment horizontal="center" vertical="top"/>
    </xf>
    <xf numFmtId="9" fontId="34" fillId="0" borderId="40" xfId="2" applyFont="1" applyFill="1" applyBorder="1" applyAlignment="1">
      <alignment horizontal="center" vertical="top"/>
    </xf>
    <xf numFmtId="172" fontId="34" fillId="0" borderId="40" xfId="0" applyNumberFormat="1" applyFont="1" applyBorder="1" applyAlignment="1">
      <alignment horizontal="center" vertical="top"/>
    </xf>
    <xf numFmtId="9" fontId="34" fillId="28" borderId="40" xfId="2" applyFont="1" applyFill="1" applyBorder="1" applyAlignment="1">
      <alignment horizontal="center" vertical="top"/>
    </xf>
    <xf numFmtId="0" fontId="56" fillId="28" borderId="40" xfId="4" applyFont="1" applyFill="1" applyBorder="1" applyAlignment="1">
      <alignment horizontal="center" vertical="top" wrapText="1"/>
    </xf>
    <xf numFmtId="0" fontId="34" fillId="28" borderId="40" xfId="0" applyFont="1" applyFill="1" applyBorder="1" applyAlignment="1">
      <alignment horizontal="center" vertical="top" wrapText="1"/>
    </xf>
    <xf numFmtId="172" fontId="35" fillId="28" borderId="40" xfId="0" applyNumberFormat="1" applyFont="1" applyFill="1" applyBorder="1" applyAlignment="1">
      <alignment horizontal="center" vertical="top"/>
    </xf>
    <xf numFmtId="0" fontId="56" fillId="0" borderId="3" xfId="4" applyFont="1" applyFill="1" applyBorder="1" applyAlignment="1">
      <alignment horizontal="center" vertical="top"/>
    </xf>
    <xf numFmtId="0" fontId="56" fillId="0" borderId="40" xfId="4" applyFont="1" applyFill="1" applyBorder="1" applyAlignment="1">
      <alignment horizontal="center" vertical="top" wrapText="1"/>
    </xf>
    <xf numFmtId="172" fontId="34" fillId="0" borderId="3" xfId="0" applyNumberFormat="1" applyFont="1" applyBorder="1" applyAlignment="1">
      <alignment horizontal="center" vertical="top"/>
    </xf>
    <xf numFmtId="0" fontId="260" fillId="0" borderId="90" xfId="0" applyFont="1" applyBorder="1" applyAlignment="1">
      <alignment horizontal="center" vertical="top"/>
    </xf>
    <xf numFmtId="9" fontId="34" fillId="0" borderId="40" xfId="2" applyFont="1" applyBorder="1" applyAlignment="1">
      <alignment horizontal="center" vertical="top"/>
    </xf>
    <xf numFmtId="9" fontId="34" fillId="28" borderId="3" xfId="0" applyNumberFormat="1" applyFont="1" applyFill="1" applyBorder="1" applyAlignment="1">
      <alignment horizontal="center" vertical="top"/>
    </xf>
    <xf numFmtId="0" fontId="35" fillId="0" borderId="3" xfId="0" applyFont="1" applyBorder="1" applyAlignment="1">
      <alignment horizontal="center" vertical="top"/>
    </xf>
    <xf numFmtId="9" fontId="34" fillId="0" borderId="3" xfId="0" applyNumberFormat="1" applyFont="1" applyBorder="1" applyAlignment="1">
      <alignment horizontal="center" vertical="top"/>
    </xf>
    <xf numFmtId="14" fontId="35" fillId="28" borderId="3" xfId="0" applyNumberFormat="1" applyFont="1" applyFill="1" applyBorder="1" applyAlignment="1">
      <alignment horizontal="center" vertical="top"/>
    </xf>
    <xf numFmtId="172" fontId="34" fillId="28" borderId="3" xfId="0" applyNumberFormat="1" applyFont="1" applyFill="1" applyBorder="1" applyAlignment="1">
      <alignment horizontal="center" vertical="top"/>
    </xf>
    <xf numFmtId="14" fontId="35" fillId="0" borderId="3" xfId="0" applyNumberFormat="1" applyFont="1" applyBorder="1" applyAlignment="1">
      <alignment horizontal="center" vertical="top"/>
    </xf>
    <xf numFmtId="0" fontId="34" fillId="3" borderId="40" xfId="0" applyFont="1" applyFill="1" applyBorder="1" applyAlignment="1">
      <alignment horizontal="center" vertical="top"/>
    </xf>
    <xf numFmtId="1" fontId="34" fillId="28" borderId="40" xfId="0" applyNumberFormat="1" applyFont="1" applyFill="1" applyBorder="1" applyAlignment="1">
      <alignment horizontal="center" vertical="top"/>
    </xf>
    <xf numFmtId="0" fontId="33" fillId="0" borderId="3" xfId="0" applyFont="1" applyBorder="1" applyAlignment="1">
      <alignment horizontal="center" vertical="top" wrapText="1"/>
    </xf>
    <xf numFmtId="0" fontId="35" fillId="28" borderId="43" xfId="0" applyFont="1" applyFill="1" applyBorder="1" applyAlignment="1">
      <alignment horizontal="center" vertical="top" wrapText="1"/>
    </xf>
    <xf numFmtId="0" fontId="35" fillId="28" borderId="22" xfId="0" applyFont="1" applyFill="1" applyBorder="1" applyAlignment="1">
      <alignment horizontal="center" vertical="top" wrapText="1"/>
    </xf>
    <xf numFmtId="14" fontId="35" fillId="28" borderId="22" xfId="0" applyNumberFormat="1" applyFont="1" applyFill="1" applyBorder="1" applyAlignment="1">
      <alignment horizontal="center" vertical="top"/>
    </xf>
    <xf numFmtId="0" fontId="34" fillId="28" borderId="22" xfId="0" applyFont="1" applyFill="1" applyBorder="1" applyAlignment="1">
      <alignment horizontal="center" vertical="top"/>
    </xf>
    <xf numFmtId="9" fontId="34" fillId="28" borderId="22" xfId="0" applyNumberFormat="1" applyFont="1" applyFill="1" applyBorder="1" applyAlignment="1">
      <alignment horizontal="center" vertical="top"/>
    </xf>
    <xf numFmtId="0" fontId="34" fillId="28" borderId="43" xfId="0" applyFont="1" applyFill="1" applyBorder="1" applyAlignment="1">
      <alignment horizontal="center" vertical="top"/>
    </xf>
    <xf numFmtId="0" fontId="33" fillId="0" borderId="45" xfId="0" applyFont="1" applyBorder="1" applyAlignment="1">
      <alignment horizontal="center" vertical="top"/>
    </xf>
    <xf numFmtId="172" fontId="34" fillId="0" borderId="42" xfId="0" applyNumberFormat="1" applyFont="1" applyBorder="1" applyAlignment="1">
      <alignment horizontal="center" vertical="top"/>
    </xf>
    <xf numFmtId="14" fontId="34" fillId="0" borderId="44" xfId="0" applyNumberFormat="1" applyFont="1" applyBorder="1" applyAlignment="1">
      <alignment horizontal="center" vertical="top"/>
    </xf>
    <xf numFmtId="0" fontId="56" fillId="28" borderId="43" xfId="4" applyFont="1" applyFill="1" applyBorder="1" applyAlignment="1">
      <alignment horizontal="center" vertical="top"/>
    </xf>
    <xf numFmtId="0" fontId="33" fillId="28" borderId="22" xfId="0" applyFont="1" applyFill="1" applyBorder="1" applyAlignment="1">
      <alignment horizontal="center" vertical="top"/>
    </xf>
    <xf numFmtId="0" fontId="33" fillId="0" borderId="7" xfId="0" applyFont="1" applyBorder="1" applyAlignment="1">
      <alignment horizontal="center" vertical="top"/>
    </xf>
    <xf numFmtId="0" fontId="33" fillId="0" borderId="6" xfId="0" applyFont="1" applyBorder="1" applyAlignment="1">
      <alignment horizontal="center" vertical="top"/>
    </xf>
    <xf numFmtId="0" fontId="56" fillId="28" borderId="44" xfId="4" applyFont="1" applyFill="1" applyBorder="1" applyAlignment="1">
      <alignment horizontal="center" vertical="top"/>
    </xf>
    <xf numFmtId="0" fontId="33" fillId="28" borderId="40" xfId="0" applyFont="1" applyFill="1" applyBorder="1" applyAlignment="1">
      <alignment horizontal="center" vertical="top" wrapText="1"/>
    </xf>
    <xf numFmtId="14" fontId="33" fillId="0" borderId="40" xfId="0" applyNumberFormat="1" applyFont="1" applyBorder="1" applyAlignment="1">
      <alignment horizontal="center" vertical="top"/>
    </xf>
    <xf numFmtId="0" fontId="261" fillId="0" borderId="6" xfId="0" applyFont="1" applyBorder="1" applyAlignment="1">
      <alignment horizontal="center" vertical="top"/>
    </xf>
    <xf numFmtId="0" fontId="33" fillId="0" borderId="46" xfId="0" applyFont="1" applyBorder="1" applyAlignment="1">
      <alignment horizontal="center" vertical="top"/>
    </xf>
    <xf numFmtId="0" fontId="261" fillId="0" borderId="46" xfId="0" applyFont="1" applyBorder="1" applyAlignment="1">
      <alignment horizontal="center" vertical="top"/>
    </xf>
    <xf numFmtId="0" fontId="260" fillId="0" borderId="3" xfId="0" applyFont="1" applyBorder="1" applyAlignment="1">
      <alignment horizontal="center" vertical="top"/>
    </xf>
    <xf numFmtId="0" fontId="39" fillId="0" borderId="40" xfId="0" applyFont="1" applyBorder="1" applyAlignment="1">
      <alignment horizontal="center" vertical="top"/>
    </xf>
    <xf numFmtId="172" fontId="39" fillId="0" borderId="40" xfId="0" applyNumberFormat="1" applyFont="1" applyBorder="1" applyAlignment="1">
      <alignment horizontal="center" vertical="top"/>
    </xf>
    <xf numFmtId="1" fontId="37" fillId="0" borderId="40" xfId="0" applyNumberFormat="1" applyFont="1" applyBorder="1" applyAlignment="1">
      <alignment horizontal="center" vertical="top"/>
    </xf>
    <xf numFmtId="0" fontId="37" fillId="0" borderId="40" xfId="0" applyFont="1" applyBorder="1" applyAlignment="1" applyProtection="1">
      <alignment horizontal="center" vertical="top"/>
      <protection locked="0"/>
    </xf>
    <xf numFmtId="0" fontId="33" fillId="0" borderId="40" xfId="0" applyFont="1" applyBorder="1" applyAlignment="1" applyProtection="1">
      <alignment horizontal="center" vertical="top"/>
      <protection locked="0"/>
    </xf>
    <xf numFmtId="0" fontId="35" fillId="0" borderId="40" xfId="0" applyFont="1" applyBorder="1" applyAlignment="1" applyProtection="1">
      <alignment horizontal="center" vertical="top" wrapText="1"/>
      <protection locked="0"/>
    </xf>
    <xf numFmtId="14" fontId="37" fillId="0" borderId="40" xfId="0" applyNumberFormat="1" applyFont="1" applyBorder="1" applyAlignment="1" applyProtection="1">
      <alignment horizontal="center" vertical="top"/>
      <protection locked="0"/>
    </xf>
    <xf numFmtId="165" fontId="37" fillId="0" borderId="40" xfId="0" applyNumberFormat="1" applyFont="1" applyBorder="1" applyAlignment="1" applyProtection="1">
      <alignment horizontal="center" vertical="top"/>
      <protection locked="0"/>
    </xf>
    <xf numFmtId="9" fontId="37" fillId="0" borderId="40" xfId="2" applyFont="1" applyFill="1" applyBorder="1" applyAlignment="1" applyProtection="1">
      <alignment horizontal="center" vertical="top"/>
      <protection locked="0"/>
    </xf>
    <xf numFmtId="172" fontId="37" fillId="0" borderId="40" xfId="0" applyNumberFormat="1" applyFont="1" applyBorder="1" applyAlignment="1" applyProtection="1">
      <alignment horizontal="center" vertical="top"/>
      <protection locked="0"/>
    </xf>
    <xf numFmtId="14" fontId="37" fillId="0" borderId="40" xfId="0" applyNumberFormat="1" applyFont="1" applyBorder="1" applyAlignment="1">
      <alignment horizontal="center" vertical="top"/>
    </xf>
    <xf numFmtId="9" fontId="37" fillId="0" borderId="40" xfId="2" applyFont="1" applyFill="1" applyBorder="1" applyAlignment="1">
      <alignment horizontal="center" vertical="top"/>
    </xf>
    <xf numFmtId="14" fontId="147" fillId="0" borderId="40" xfId="0" applyNumberFormat="1" applyFont="1" applyBorder="1" applyAlignment="1">
      <alignment horizontal="center" vertical="top"/>
    </xf>
    <xf numFmtId="172" fontId="147" fillId="0" borderId="40" xfId="0" applyNumberFormat="1" applyFont="1" applyBorder="1" applyAlignment="1">
      <alignment horizontal="center" vertical="top"/>
    </xf>
    <xf numFmtId="165" fontId="147" fillId="0" borderId="40" xfId="0" applyNumberFormat="1" applyFont="1" applyBorder="1" applyAlignment="1">
      <alignment horizontal="center" vertical="top"/>
    </xf>
    <xf numFmtId="0" fontId="147" fillId="0" borderId="40" xfId="0" applyFont="1" applyBorder="1" applyAlignment="1">
      <alignment horizontal="center" vertical="top"/>
    </xf>
    <xf numFmtId="0" fontId="33" fillId="28" borderId="3" xfId="0" applyFont="1" applyFill="1" applyBorder="1" applyAlignment="1">
      <alignment horizontal="center" vertical="top" wrapText="1"/>
    </xf>
    <xf numFmtId="0" fontId="33" fillId="38" borderId="3" xfId="0" applyFont="1" applyFill="1" applyBorder="1" applyAlignment="1">
      <alignment horizontal="left" vertical="top"/>
    </xf>
    <xf numFmtId="0" fontId="35" fillId="38" borderId="40" xfId="0" applyFont="1" applyFill="1" applyBorder="1" applyAlignment="1">
      <alignment horizontal="left" vertical="top" wrapText="1"/>
    </xf>
    <xf numFmtId="0" fontId="33" fillId="38" borderId="40" xfId="0" applyFont="1" applyFill="1" applyBorder="1" applyAlignment="1">
      <alignment horizontal="left" vertical="top"/>
    </xf>
    <xf numFmtId="0" fontId="34" fillId="0" borderId="40" xfId="0" applyFont="1" applyBorder="1" applyAlignment="1">
      <alignment horizontal="left" vertical="top"/>
    </xf>
    <xf numFmtId="0" fontId="33" fillId="0" borderId="40" xfId="0" applyFont="1" applyBorder="1" applyAlignment="1">
      <alignment horizontal="left" vertical="top"/>
    </xf>
    <xf numFmtId="0" fontId="34" fillId="0" borderId="40" xfId="0" applyFont="1" applyBorder="1" applyAlignment="1">
      <alignment horizontal="left" vertical="top" wrapText="1"/>
    </xf>
    <xf numFmtId="0" fontId="33" fillId="13" borderId="40" xfId="0" applyFont="1" applyFill="1" applyBorder="1" applyAlignment="1">
      <alignment horizontal="left" vertical="top"/>
    </xf>
    <xf numFmtId="0" fontId="264" fillId="38" borderId="53" xfId="0" applyFont="1" applyFill="1" applyBorder="1" applyAlignment="1">
      <alignment horizontal="left" vertical="top"/>
    </xf>
    <xf numFmtId="0" fontId="35" fillId="0" borderId="40" xfId="0" applyFont="1" applyBorder="1" applyAlignment="1">
      <alignment horizontal="left" vertical="top"/>
    </xf>
    <xf numFmtId="0" fontId="33" fillId="28" borderId="40" xfId="0" applyFont="1" applyFill="1" applyBorder="1" applyAlignment="1">
      <alignment horizontal="left" vertical="top"/>
    </xf>
    <xf numFmtId="0" fontId="33" fillId="28" borderId="3" xfId="0" applyFont="1" applyFill="1" applyBorder="1" applyAlignment="1">
      <alignment horizontal="left" vertical="top"/>
    </xf>
    <xf numFmtId="0" fontId="37" fillId="0" borderId="40" xfId="0" applyFont="1" applyBorder="1" applyAlignment="1">
      <alignment horizontal="left" vertical="top"/>
    </xf>
    <xf numFmtId="0" fontId="37" fillId="0" borderId="40" xfId="0" applyFont="1" applyBorder="1" applyAlignment="1" applyProtection="1">
      <alignment horizontal="left" vertical="top"/>
      <protection locked="0"/>
    </xf>
    <xf numFmtId="0" fontId="115" fillId="28" borderId="0" xfId="0" applyFont="1" applyFill="1" applyAlignment="1">
      <alignment horizontal="center" vertical="top"/>
    </xf>
    <xf numFmtId="0" fontId="265" fillId="28" borderId="0" xfId="0" applyFont="1" applyFill="1" applyAlignment="1">
      <alignment horizontal="center" vertical="top"/>
    </xf>
    <xf numFmtId="0" fontId="266" fillId="0" borderId="40" xfId="0" applyFont="1" applyBorder="1" applyAlignment="1">
      <alignment horizontal="center" vertical="top"/>
    </xf>
    <xf numFmtId="0" fontId="262" fillId="0" borderId="40" xfId="0" applyFont="1" applyBorder="1" applyAlignment="1">
      <alignment horizontal="center" vertical="top"/>
    </xf>
    <xf numFmtId="0" fontId="262" fillId="0" borderId="43" xfId="0" applyFont="1" applyBorder="1" applyAlignment="1">
      <alignment horizontal="center" vertical="top"/>
    </xf>
    <xf numFmtId="0" fontId="263" fillId="0" borderId="40" xfId="0" applyFont="1" applyBorder="1" applyAlignment="1">
      <alignment horizontal="center" vertical="top"/>
    </xf>
    <xf numFmtId="0" fontId="35" fillId="0" borderId="0" xfId="0" applyFont="1" applyAlignment="1">
      <alignment horizontal="center" vertical="top"/>
    </xf>
    <xf numFmtId="0" fontId="115" fillId="0" borderId="0" xfId="0" applyFont="1" applyAlignment="1">
      <alignment horizontal="center" vertical="top"/>
    </xf>
    <xf numFmtId="0" fontId="33" fillId="28" borderId="6" xfId="0" applyFont="1" applyFill="1" applyBorder="1" applyAlignment="1">
      <alignment horizontal="center" vertical="top"/>
    </xf>
    <xf numFmtId="14" fontId="33" fillId="28" borderId="40" xfId="0" applyNumberFormat="1" applyFont="1" applyFill="1" applyBorder="1" applyAlignment="1">
      <alignment horizontal="center" vertical="top"/>
    </xf>
    <xf numFmtId="0" fontId="25" fillId="0" borderId="0" xfId="3" applyFont="1" applyAlignment="1">
      <alignment horizontal="center" vertical="center"/>
    </xf>
    <xf numFmtId="0" fontId="42" fillId="9" borderId="18" xfId="3" applyFont="1" applyFill="1" applyBorder="1" applyAlignment="1">
      <alignment horizontal="center" vertical="center"/>
    </xf>
    <xf numFmtId="0" fontId="42" fillId="9" borderId="19" xfId="3" applyFont="1" applyFill="1" applyBorder="1" applyAlignment="1">
      <alignment horizontal="center" vertical="center"/>
    </xf>
    <xf numFmtId="0" fontId="42" fillId="9" borderId="20" xfId="3" applyFont="1" applyFill="1" applyBorder="1" applyAlignment="1">
      <alignment horizontal="center" vertical="center"/>
    </xf>
    <xf numFmtId="0" fontId="42" fillId="10" borderId="18" xfId="3" applyFont="1" applyFill="1" applyBorder="1" applyAlignment="1">
      <alignment horizontal="center"/>
    </xf>
    <xf numFmtId="0" fontId="42" fillId="10" borderId="19" xfId="3" applyFont="1" applyFill="1" applyBorder="1" applyAlignment="1">
      <alignment horizontal="center"/>
    </xf>
    <xf numFmtId="0" fontId="42" fillId="10" borderId="20" xfId="3" applyFont="1" applyFill="1" applyBorder="1" applyAlignment="1">
      <alignment horizontal="center"/>
    </xf>
    <xf numFmtId="0" fontId="42" fillId="11" borderId="18" xfId="3" applyFont="1" applyFill="1" applyBorder="1" applyAlignment="1">
      <alignment horizontal="center"/>
    </xf>
    <xf numFmtId="0" fontId="42" fillId="11" borderId="19" xfId="3" applyFont="1" applyFill="1" applyBorder="1" applyAlignment="1">
      <alignment horizontal="center"/>
    </xf>
    <xf numFmtId="0" fontId="42" fillId="11" borderId="20" xfId="3" applyFont="1" applyFill="1" applyBorder="1" applyAlignment="1">
      <alignment horizontal="center"/>
    </xf>
    <xf numFmtId="0" fontId="42" fillId="12" borderId="18" xfId="3" applyFont="1" applyFill="1" applyBorder="1" applyAlignment="1">
      <alignment horizontal="center"/>
    </xf>
    <xf numFmtId="0" fontId="42" fillId="12" borderId="19" xfId="3" applyFont="1" applyFill="1" applyBorder="1" applyAlignment="1">
      <alignment horizontal="center"/>
    </xf>
    <xf numFmtId="0" fontId="42" fillId="12" borderId="20" xfId="3" applyFont="1" applyFill="1" applyBorder="1" applyAlignment="1">
      <alignment horizontal="center"/>
    </xf>
    <xf numFmtId="0" fontId="42" fillId="23" borderId="3" xfId="3" applyFont="1" applyFill="1" applyBorder="1" applyAlignment="1">
      <alignment horizontal="center" vertical="center"/>
    </xf>
    <xf numFmtId="0" fontId="14" fillId="3" borderId="3" xfId="3" applyFont="1" applyFill="1" applyBorder="1" applyAlignment="1">
      <alignment horizontal="center" vertical="center"/>
    </xf>
    <xf numFmtId="0" fontId="15" fillId="5" borderId="89" xfId="3" applyFont="1" applyFill="1" applyBorder="1" applyAlignment="1">
      <alignment horizontal="center" vertical="center"/>
    </xf>
    <xf numFmtId="0" fontId="15" fillId="5" borderId="0" xfId="3" applyFont="1" applyFill="1" applyAlignment="1">
      <alignment horizontal="center" vertical="center"/>
    </xf>
    <xf numFmtId="168" fontId="31" fillId="3" borderId="40" xfId="0" applyNumberFormat="1" applyFont="1" applyFill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168" fontId="31" fillId="3" borderId="40" xfId="0" applyNumberFormat="1" applyFont="1" applyFill="1" applyBorder="1" applyAlignment="1">
      <alignment horizontal="center"/>
    </xf>
    <xf numFmtId="168" fontId="256" fillId="3" borderId="0" xfId="0" applyNumberFormat="1" applyFont="1" applyFill="1" applyAlignment="1">
      <alignment horizontal="left" vertical="center"/>
    </xf>
    <xf numFmtId="168" fontId="31" fillId="3" borderId="41" xfId="0" applyNumberFormat="1" applyFont="1" applyFill="1" applyBorder="1" applyAlignment="1">
      <alignment horizontal="center"/>
    </xf>
    <xf numFmtId="168" fontId="31" fillId="3" borderId="42" xfId="0" applyNumberFormat="1" applyFont="1" applyFill="1" applyBorder="1" applyAlignment="1">
      <alignment horizontal="center"/>
    </xf>
    <xf numFmtId="168" fontId="31" fillId="3" borderId="40" xfId="0" applyNumberFormat="1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52" xfId="0" applyNumberFormat="1" applyFont="1" applyBorder="1" applyAlignment="1">
      <alignment horizontal="center" vertical="center"/>
    </xf>
    <xf numFmtId="165" fontId="16" fillId="4" borderId="0" xfId="0" applyNumberFormat="1" applyFont="1" applyFill="1" applyAlignment="1">
      <alignment horizontal="center" vertical="center"/>
    </xf>
    <xf numFmtId="165" fontId="16" fillId="4" borderId="8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8" fontId="7" fillId="3" borderId="40" xfId="0" applyNumberFormat="1" applyFont="1" applyFill="1" applyBorder="1" applyAlignment="1">
      <alignment horizontal="center"/>
    </xf>
    <xf numFmtId="0" fontId="0" fillId="28" borderId="22" xfId="0" applyFill="1" applyBorder="1" applyAlignment="1">
      <alignment horizontal="center" vertical="center"/>
    </xf>
    <xf numFmtId="0" fontId="0" fillId="28" borderId="51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28" fillId="0" borderId="3" xfId="0" applyFont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</cellXfs>
  <cellStyles count="5">
    <cellStyle name="Comma" xfId="1" builtinId="3"/>
    <cellStyle name="Hyperlink" xfId="4" builtinId="8"/>
    <cellStyle name="Normal" xfId="0" builtinId="0"/>
    <cellStyle name="Normal 2" xfId="3" xr:uid="{A210B638-207C-4299-9FCC-66EAE94197A3}"/>
    <cellStyle name="Percent" xfId="2" builtinId="5"/>
  </cellStyles>
  <dxfs count="4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71" formatCode="_(* #,##0_);_(* \(#,##0\);_(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"/>
        <family val="2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2"/>
        <color rgb="FF2F75B5"/>
      </font>
      <numFmt numFmtId="171" formatCode="_(* #,##0_);_(* \(#,##0\);_(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72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171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2"/>
        <color theme="1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9" formatCode="[$-10469]d/m/yy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z val="12"/>
        <name val="Calibri"/>
        <scheme val="none"/>
      </font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9" formatCode="[$-10469]d/m/yy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z val="12"/>
        <name val="Calibri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strike val="0"/>
        <outline val="0"/>
        <shadow val="0"/>
        <vertAlign val="baseline"/>
        <sz val="12"/>
        <color theme="8"/>
        <name val="Aptos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70" formatCode="[$-14009]dd/mm/yyyy;@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strike val="0"/>
        <outline val="0"/>
        <shadow val="0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70" formatCode="[$-14009]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vertAlign val="baseline"/>
        <sz val="12"/>
        <color theme="8"/>
        <name val="Aptos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center" textRotation="0" wrapText="1" indent="0" justifyLastLine="0" shrinkToFit="0" readingOrder="0"/>
    </dxf>
    <dxf>
      <fill>
        <patternFill patternType="none">
          <fgColor rgb="FF000000"/>
          <bgColor auto="1"/>
        </patternFill>
      </fill>
      <border outline="0">
        <left style="thin">
          <color indexed="64"/>
        </left>
      </border>
    </dxf>
    <dxf>
      <fill>
        <patternFill patternType="none">
          <fgColor rgb="FF000000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righ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dd/mm/yyyy;@"/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strike val="0"/>
        <outline val="0"/>
        <shadow val="0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relativeIndent="-1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2" formatCode="dd/mm/yyyy;@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2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</dxfs>
  <tableStyles count="3" defaultTableStyle="TableStyleMedium2" defaultPivotStyle="PivotStyleLight16">
    <tableStyle name="Table Style 1" pivot="0" count="0" xr9:uid="{C5680A42-A3A9-47BA-9821-2D37863C5054}"/>
    <tableStyle name="Table Style 2" pivot="0" count="0" xr9:uid="{136D7C2B-75F1-4D7F-865C-BD3C8798EA67}"/>
    <tableStyle name="Table Style 3" pivot="0" count="0" xr9:uid="{AE627776-24C6-4003-BE44-787FE32A49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72222222222223"/>
          <c:y val="0.33910578885972581"/>
          <c:w val="0.81388888888888888"/>
          <c:h val="0.65757545931758532"/>
        </c:manualLayout>
      </c:layout>
      <c:pie3DChart>
        <c:varyColors val="1"/>
        <c:ser>
          <c:idx val="0"/>
          <c:order val="0"/>
          <c:tx>
            <c:strRef>
              <c:f>'Month Prod Names'!$E$26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084-487B-8EE6-82E384DBE6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084-487B-8EE6-82E384DBE6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084-487B-8EE6-82E384DBE6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084-487B-8EE6-82E384DBE6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084-487B-8EE6-82E384DBE6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084-487B-8EE6-82E384DBE6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084-487B-8EE6-82E384DBE6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084-487B-8EE6-82E384DBE61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084-487B-8EE6-82E384DBE61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084-487B-8EE6-82E384DBE61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084-487B-8EE6-82E384DBE61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084-487B-8EE6-82E384DBE61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084-487B-8EE6-82E384DBE61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084-487B-8EE6-82E384DBE61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084-487B-8EE6-82E384DBE61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084-487B-8EE6-82E384DBE61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'Month Prod Names'!$E$25:$L$25</c:f>
              <c:numCache>
                <c:formatCode>General</c:formatCode>
                <c:ptCount val="8"/>
              </c:numCache>
            </c:numRef>
          </c:cat>
          <c:val>
            <c:numRef>
              <c:f>'Month Prod Names'!$E$26:$L$26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6-7084-487B-8EE6-82E384DBE61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44450</xdr:colOff>
      <xdr:row>39</xdr:row>
      <xdr:rowOff>130175</xdr:rowOff>
    </xdr:from>
    <xdr:to>
      <xdr:col>26</xdr:col>
      <xdr:colOff>482600</xdr:colOff>
      <xdr:row>56</xdr:row>
      <xdr:rowOff>66675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5D2F9DCE-9965-4E84-AAD1-EBCA50DDB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7C8445A-C72D-41FD-AB76-BAAEE9C97841}">
    <nsvFilter filterId="{AE064E8A-43AE-4159-8968-2E82AEA3624F}" ref="A6:Y501" tableId="13">
      <columnFilter colId="20" id="{795E8DBA-ACAE-4BC2-9140-E8642E128051}">
        <filter colId="20">
          <x:filters>
            <x:filter val="March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Girija Raghu" id="{8C387E0C-F6CC-47FF-A3CD-12EF3BECF889}" userId="S::girija.raghu@kardex.com::2454f284-ce6f-4a7d-a245-e5d418f02c7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E0BF43-44F2-448B-923F-E111F91EF014}" name="Table62689345" displayName="Table62689345" ref="A6:AA419" totalsRowShown="0" headerRowDxfId="438" dataDxfId="436" headerRowBorderDxfId="437" tableBorderDxfId="435">
  <autoFilter ref="A6:AA419" xr:uid="{AE064E8A-43AE-4159-8968-2E82AEA3624F}"/>
  <sortState xmlns:xlrd2="http://schemas.microsoft.com/office/spreadsheetml/2017/richdata2" ref="A23:AA419">
    <sortCondition descending="1" ref="N6:N419"/>
  </sortState>
  <tableColumns count="27">
    <tableColumn id="1" xr3:uid="{E0FFECF3-C3F8-421D-8760-ED6A20243ABB}" name="SL" dataDxfId="434"/>
    <tableColumn id="2" xr3:uid="{BA38224F-5BD6-4DC6-9A2E-E85E61F61A3A}" name="Reg Date" dataDxfId="433"/>
    <tableColumn id="3" xr3:uid="{D894B11C-0238-45B6-8A91-1B7DEF589439}" name="Company" dataDxfId="432"/>
    <tableColumn id="14" xr3:uid="{D521E538-EF36-470F-B938-24F3924EC235}" name="Location" dataDxfId="431"/>
    <tableColumn id="11" xr3:uid="{F7FB54C1-66E4-4DAF-BEC0-725C157F4B8D}" name="Department" dataDxfId="430"/>
    <tableColumn id="18" xr3:uid="{6DAA6166-4F79-4CC7-B97C-B0854BCCDE93}" name="Contact Person Name" dataDxfId="429"/>
    <tableColumn id="19" xr3:uid="{5229F54C-BC45-4C6C-A1D4-4A88225EADBC}" name="Contact Number" dataDxfId="428"/>
    <tableColumn id="20" xr3:uid="{A4B3929C-392B-497E-A896-DC3C3710D223}" name="E-Mail ID" dataDxfId="427"/>
    <tableColumn id="21" xr3:uid="{3438D4A7-B272-4287-BD2C-2862E914068F}" name="Machine Serial Number" dataDxfId="426"/>
    <tableColumn id="4" xr3:uid="{AC6E97B4-CB75-483E-A2B9-2E0E015A1619}" name="Product Type" dataDxfId="425"/>
    <tableColumn id="16" xr3:uid="{8CFCC8E6-698B-4E87-BE73-4F9022686F4D}" name="Lead " dataDxfId="424"/>
    <tableColumn id="5" xr3:uid="{FEDC2F34-4FCC-43AA-A7A6-42BC0DEA6000}" name="Offer Reference Number" dataDxfId="423"/>
    <tableColumn id="6" xr3:uid="{098AB840-3785-4E17-8C2F-3EEF10238833}" name="Offer Reference Date" dataDxfId="422"/>
    <tableColumn id="7" xr3:uid="{48C1E4D0-5E96-460F-B4D6-143B2D42B80C}" name="Offer Value" dataDxfId="421"/>
    <tableColumn id="26" xr3:uid="{D6C50177-38BE-4E3F-A437-73065C0F7323}" name="Offer Month" dataDxfId="420"/>
    <tableColumn id="22" xr3:uid="{9D67C7FD-C7CA-4A34-97AE-934FB4CDDE2A}" name="PO Expected Month" dataDxfId="419"/>
    <tableColumn id="27" xr3:uid="{C0F9F658-12B4-4F19-B8F3-FDA2461A6B46}" name="Probabality in Percentage" dataDxfId="418" dataCellStyle="Percent"/>
    <tableColumn id="23" xr3:uid="{47777A37-5544-4E94-9DC4-93164288477E}" name="PO Number" dataDxfId="417"/>
    <tableColumn id="24" xr3:uid="{D932800B-927B-4A12-84A9-E33C6BA5A22A}" name="PO Date" dataDxfId="416"/>
    <tableColumn id="17" xr3:uid="{6BCECF35-B780-43E4-8066-7B23F05052F4}" name="PO Value" dataDxfId="415"/>
    <tableColumn id="9" xr3:uid="{86C4B0E7-5590-40BE-A033-4DE050DCCC80}" name="PO Received Month" dataDxfId="414"/>
    <tableColumn id="10" xr3:uid="{2478906F-55B6-41B4-BBEF-171F0856AFC9}" name="Open Funnel" dataDxfId="413">
      <calculatedColumnFormula>Table62689345[[#This Row],[Offer Value]]-Table62689345[[#This Row],[PO Value]]</calculatedColumnFormula>
    </tableColumn>
    <tableColumn id="13" xr3:uid="{1902D0D2-F479-4C0B-BBD0-C3A2534D8694}" name="Remarks" dataDxfId="412"/>
    <tableColumn id="25" xr3:uid="{51614369-A2AD-4524-8D68-27B75D56EAF8}" name="Status" dataDxfId="411"/>
    <tableColumn id="8" xr3:uid="{1617050E-E591-494D-B265-057790E10408}" name="Booking Date in SAP B1" dataDxfId="410"/>
    <tableColumn id="12" xr3:uid="{23A8FCDA-DE82-4777-92D3-A88191622798}" name="Offer Entered in CRM" dataDxfId="409"/>
    <tableColumn id="15" xr3:uid="{4D455260-D68D-4373-AB49-5EB601481B67}" name="Offer Closed in CRM" dataDxfId="40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A4DE1F-316E-4FB9-B52A-33319FB2F0BE}" name="Table626893456" displayName="Table626893456" ref="A7:Y495" totalsRowShown="0" headerRowDxfId="407" dataDxfId="405" headerRowBorderDxfId="406" tableBorderDxfId="404">
  <autoFilter ref="A7:Y495" xr:uid="{AE064E8A-43AE-4159-8968-2E82AEA3624F}"/>
  <sortState xmlns:xlrd2="http://schemas.microsoft.com/office/spreadsheetml/2017/richdata2" ref="A8:Y495">
    <sortCondition ref="A7:A495"/>
  </sortState>
  <tableColumns count="25">
    <tableColumn id="1" xr3:uid="{E61C773D-3234-4136-AF26-DB9FBB412286}" name="SL" dataDxfId="403"/>
    <tableColumn id="2" xr3:uid="{35BAA99E-D325-4192-A7BB-9CF797063B17}" name="Reg Date" dataDxfId="402"/>
    <tableColumn id="3" xr3:uid="{CFE9A965-D310-4777-BD74-F14BA4776036}" name="Company" dataDxfId="401"/>
    <tableColumn id="14" xr3:uid="{E5FB17C2-0074-4607-976E-D16D40C291FC}" name="Location" dataDxfId="400"/>
    <tableColumn id="11" xr3:uid="{4CCE67A0-E6BD-4361-88F3-049A391BF5E5}" name="Department" dataDxfId="399"/>
    <tableColumn id="18" xr3:uid="{24435720-A3EE-4234-BD0D-99A152471B04}" name="Contact Person Name" dataDxfId="398"/>
    <tableColumn id="19" xr3:uid="{B32D8451-3238-4050-B5A9-3BA6BE046168}" name="Contact Number" dataDxfId="397"/>
    <tableColumn id="20" xr3:uid="{9285412A-B539-4A88-826C-EEF94467F74C}" name="E-Mail ID" dataDxfId="396"/>
    <tableColumn id="21" xr3:uid="{27979922-C150-4AD3-8E30-ADB8A3223E2B}" name="Machine Serial Number" dataDxfId="395"/>
    <tableColumn id="4" xr3:uid="{0E3DD400-EF90-4208-A70F-73CF4D8DC5EE}" name="Product Type" dataDxfId="394"/>
    <tableColumn id="16" xr3:uid="{784D2EFB-760A-43AC-8C1B-FAAED00BF93B}" name="Lead " dataDxfId="393"/>
    <tableColumn id="5" xr3:uid="{FC6112A8-1AEA-41AF-9E62-C9AA9A78E01D}" name="Offer Reference Number" dataDxfId="392"/>
    <tableColumn id="6" xr3:uid="{91B4F547-BCCA-46FC-92A2-1B69616B519E}" name="Offer Reference Date" dataDxfId="391"/>
    <tableColumn id="7" xr3:uid="{DF57E383-31CB-4FF7-9014-2F772526CA0D}" name="Offer Value" dataDxfId="390"/>
    <tableColumn id="26" xr3:uid="{421E9FCF-67AF-4460-929C-3F6E28E788B0}" name="Offer Month" dataDxfId="389"/>
    <tableColumn id="22" xr3:uid="{EBA70651-80F9-4B23-AF8F-D78BAA147288}" name="PO Expected Month" dataDxfId="388"/>
    <tableColumn id="27" xr3:uid="{43F16590-303C-4775-AEE7-29169D71DB2E}" name="Probabality in Percentage" dataDxfId="387" dataCellStyle="Percent"/>
    <tableColumn id="23" xr3:uid="{21F89E37-7180-4F75-8A59-9CA648562481}" name="PO Number" dataDxfId="386"/>
    <tableColumn id="24" xr3:uid="{990F6211-6E2E-4F48-AD64-518717D3E72F}" name="PO Date" dataDxfId="385"/>
    <tableColumn id="17" xr3:uid="{345E1EBF-ED58-4745-91F0-AB7DFCF5C6DB}" name="PO Value" dataDxfId="384"/>
    <tableColumn id="9" xr3:uid="{9D33EE65-EED5-4350-BFAE-FD78D46FF204}" name="PO Received Month" dataDxfId="383"/>
    <tableColumn id="10" xr3:uid="{50CDB5AE-D662-4160-BD26-643B77C6A430}" name="Open Funnel" dataDxfId="382">
      <calculatedColumnFormula>Table626893456[[#This Row],[Offer Value]]-Table626893456[[#This Row],[PO Value]]</calculatedColumnFormula>
    </tableColumn>
    <tableColumn id="13" xr3:uid="{ADC785DF-C1C0-4D8C-B630-B33B3CF724BA}" name="Remarks" dataDxfId="381"/>
    <tableColumn id="12" xr3:uid="{D539622F-BACF-4440-AFF0-8EE5299325B8}" name="Status" dataDxfId="380"/>
    <tableColumn id="8" xr3:uid="{927EE2B6-34F3-4663-87AF-377AA0CF7B9E}" name="Booking Date in SAP B1" dataDxfId="379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73281-8922-437D-BB22-68B184F01A03}" name="Table6268934562" displayName="Table6268934562" ref="A6:Y408" totalsRowShown="0" headerRowDxfId="378" dataDxfId="376" headerRowBorderDxfId="377" tableBorderDxfId="375">
  <autoFilter ref="A6:Y408" xr:uid="{AE064E8A-43AE-4159-8968-2E82AEA3624F}"/>
  <tableColumns count="25">
    <tableColumn id="1" xr3:uid="{6D792D2D-7589-42FF-BA0E-A649A6AF5E47}" name="SL" dataDxfId="374"/>
    <tableColumn id="2" xr3:uid="{B135F0A7-9DCB-410A-B39A-AC07F9C1FF12}" name="Reg Date" dataDxfId="373"/>
    <tableColumn id="3" xr3:uid="{62A9EEF7-6410-4F93-84B7-9F3D97943AFE}" name="Company" dataDxfId="372"/>
    <tableColumn id="14" xr3:uid="{DF2DA8F7-A2EF-4A55-9545-94F657EF149B}" name="Location" dataDxfId="371"/>
    <tableColumn id="11" xr3:uid="{44FE7A9F-3E98-46B2-BE19-5440CB8D4C6D}" name="Department" dataDxfId="370"/>
    <tableColumn id="18" xr3:uid="{2D9955DC-A27F-4E69-8B84-BDE41ED291F4}" name="Contact Person Name" dataDxfId="369"/>
    <tableColumn id="19" xr3:uid="{964E49FD-80B4-49C2-AF0E-2043D60C6156}" name="Contact Number" dataDxfId="368"/>
    <tableColumn id="20" xr3:uid="{FFCF02D3-C952-4B6C-8CAA-3AD578917A66}" name="E-Mail ID" dataDxfId="367"/>
    <tableColumn id="21" xr3:uid="{A3E17E8D-9F8B-4FB7-AFC5-D47C3ADBEFDD}" name="Machine Serial Number" dataDxfId="366"/>
    <tableColumn id="4" xr3:uid="{7C0B2EA0-9A68-45D2-9DEF-2A5B598611B3}" name="Product Type" dataDxfId="365"/>
    <tableColumn id="16" xr3:uid="{94CF9F4A-3544-457C-BD5B-7081A5FF54F3}" name="Lead " dataDxfId="364"/>
    <tableColumn id="5" xr3:uid="{D79814A1-7F75-4ACF-8BB7-C952F477B000}" name="Offer Reference Number" dataDxfId="363"/>
    <tableColumn id="6" xr3:uid="{CABA7DCC-5D56-4088-9551-9F2611EB9DEB}" name="September" dataDxfId="362"/>
    <tableColumn id="7" xr3:uid="{73030D42-B437-4C95-B728-BD2C36231956}" name="Offer Value" dataDxfId="361"/>
    <tableColumn id="26" xr3:uid="{2F40272E-ECB7-4530-BC99-181463A7C014}" name="Offer Month" dataDxfId="360"/>
    <tableColumn id="22" xr3:uid="{C8395D13-9028-48D3-A7FF-6F243E937995}" name="PO Expected Month" dataDxfId="359"/>
    <tableColumn id="27" xr3:uid="{D9EEA661-81E0-4F8F-A300-0CB18FB77542}" name="Probabality in Percentage" dataDxfId="358"/>
    <tableColumn id="23" xr3:uid="{F9894DD6-B066-43DA-A0F6-4909534016D3}" name="PO Number" dataDxfId="357"/>
    <tableColumn id="24" xr3:uid="{4D7117A8-7278-422D-9B3D-AEF68EEC941B}" name="PO Date" dataDxfId="356"/>
    <tableColumn id="17" xr3:uid="{CE025030-D889-4663-9F92-FE4F7425DEE8}" name="PO Value" dataDxfId="355"/>
    <tableColumn id="9" xr3:uid="{C303723F-36A6-4912-8831-D484B28E4FAC}" name="PO Received Month" dataDxfId="354"/>
    <tableColumn id="10" xr3:uid="{600B59E4-2F70-43F3-9785-CB393F1666F0}" name="Open Funnel" dataDxfId="353">
      <calculatedColumnFormula>Table6268934562[[#This Row],[Offer Value]]-Table6268934562[[#This Row],[PO Value]]</calculatedColumnFormula>
    </tableColumn>
    <tableColumn id="13" xr3:uid="{16EEB0E4-E1F2-439C-B253-B01CA3BAC286}" name="Remarks" dataDxfId="352"/>
    <tableColumn id="12" xr3:uid="{33AE18F5-989A-4082-B711-091E93C97ECB}" name="Status" dataDxfId="351"/>
    <tableColumn id="8" xr3:uid="{C70E2E52-D9F7-47CB-85C0-9FF09EBB256F}" name="Booking Date in SAP B1" dataDxfId="35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B9A47E-21C4-4A16-A414-997187B0F13D}" name="Table62689345679" displayName="Table62689345679" ref="A6:AA413" totalsRowShown="0" headerRowDxfId="349" dataDxfId="347" headerRowBorderDxfId="348" tableBorderDxfId="346">
  <autoFilter ref="A6:AA413" xr:uid="{AE064E8A-43AE-4159-8968-2E82AEA3624F}"/>
  <tableColumns count="27">
    <tableColumn id="1" xr3:uid="{AB7C3211-A83E-4F9A-A0A5-6CD0728B6ACB}" name="SL" dataDxfId="345"/>
    <tableColumn id="2" xr3:uid="{678D4057-1C43-48DE-9039-34C2B0BB49CE}" name="Reg Date" dataDxfId="344"/>
    <tableColumn id="3" xr3:uid="{5BCEAF3C-25CA-4E08-B772-2E4BE8F65DC8}" name="Company" dataDxfId="343"/>
    <tableColumn id="14" xr3:uid="{84AA7070-12BC-46F3-98F9-D720AD833A3E}" name="Location" dataDxfId="342"/>
    <tableColumn id="11" xr3:uid="{BEE04264-892D-4293-B33D-55FB69C60BD8}" name="Department" dataDxfId="341"/>
    <tableColumn id="18" xr3:uid="{AD979214-868B-4F08-8B8B-A16FC808EB26}" name="Contact Person Name" dataDxfId="340"/>
    <tableColumn id="19" xr3:uid="{91BDD5A9-CC1B-4421-AA63-0E3A63470876}" name="Contact Number" dataDxfId="339"/>
    <tableColumn id="20" xr3:uid="{63607A4E-B352-4E63-A369-3D4617BF0949}" name="E-Mail ID" dataDxfId="338"/>
    <tableColumn id="21" xr3:uid="{6C0D9CD6-76BB-4AA7-9EA9-70754053446C}" name="Machine Serial Number" dataDxfId="337"/>
    <tableColumn id="4" xr3:uid="{6C2C483C-A9DF-4300-9072-C035377E0852}" name="Product Type" dataDxfId="336"/>
    <tableColumn id="16" xr3:uid="{172001F7-8161-4812-8394-83AC971E5249}" name="Lead " dataDxfId="335"/>
    <tableColumn id="5" xr3:uid="{474C0866-F657-44F9-A5D3-8DE3A567E61E}" name="Offer Reference Number" dataDxfId="334"/>
    <tableColumn id="6" xr3:uid="{EC5CC5F4-368D-475A-B014-006F5459D019}" name="Offer Reference Date" dataDxfId="333"/>
    <tableColumn id="7" xr3:uid="{E4B350C6-5B53-4B68-B1CF-D04809538029}" name="Offer Value" dataDxfId="332"/>
    <tableColumn id="26" xr3:uid="{CAD8BC07-DFF2-4EE7-8341-50FEF22CD6E1}" name="Offer Month" dataDxfId="331"/>
    <tableColumn id="22" xr3:uid="{19170C18-0FCC-4609-8F2F-A604BB41C1A6}" name="PO Expected Month" dataDxfId="330"/>
    <tableColumn id="27" xr3:uid="{C3114951-C552-4924-9A41-F7B27B92717B}" name="Probabality in Percentage" dataDxfId="329" dataCellStyle="Percent"/>
    <tableColumn id="23" xr3:uid="{9A3FAE64-FC43-4377-82D8-B396B6670309}" name="PO Number" dataDxfId="328"/>
    <tableColumn id="24" xr3:uid="{A91E8A5C-A1F8-4BBE-A41E-10E728078AE0}" name="PO Date" dataDxfId="327"/>
    <tableColumn id="17" xr3:uid="{FA6E24D3-664A-4802-A485-635A40BB1EDF}" name="PO Value" dataDxfId="326"/>
    <tableColumn id="9" xr3:uid="{CFA97771-4AF8-4D4F-BFF9-8BE8FB6FD460}" name="PO Received Month" dataDxfId="325"/>
    <tableColumn id="10" xr3:uid="{8C31AFB1-6A61-42D4-8832-47418B553131}" name="Open Funnel" dataDxfId="324">
      <calculatedColumnFormula>Table62689345679[[#This Row],[PO Value]]-Table62689345679[[#This Row],[Offer Value]]</calculatedColumnFormula>
    </tableColumn>
    <tableColumn id="13" xr3:uid="{1ED69F0B-7917-43E1-A90B-697906884BF5}" name="Remarks" dataDxfId="323"/>
    <tableColumn id="25" xr3:uid="{33B502BF-F1DD-46BB-9455-1FD43C746F71}" name="Status" dataDxfId="322"/>
    <tableColumn id="8" xr3:uid="{3952F13F-710A-4B2F-9CEA-00B33A99B465}" name="Booking Date in SAP B1" dataDxfId="321"/>
    <tableColumn id="12" xr3:uid="{8BFDD146-F96D-458C-989B-08F89B722049}" name="Offer Updated in CRM" dataDxfId="320"/>
    <tableColumn id="15" xr3:uid="{A8D00A6C-9E73-4C7E-9557-77C9D25EDCD1}" name="Offer closed in CRM" dataDxfId="319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E14D73-B8CF-4E64-AF4F-CF9B1E2D9C4A}" name="Table6268934567910" displayName="Table6268934567910" ref="A7:Y390" totalsRowShown="0" headerRowDxfId="318" dataDxfId="316" headerRowBorderDxfId="317" tableBorderDxfId="315">
  <autoFilter ref="A7:Y390" xr:uid="{AE064E8A-43AE-4159-8968-2E82AEA3624F}"/>
  <sortState xmlns:xlrd2="http://schemas.microsoft.com/office/spreadsheetml/2017/richdata2" ref="A8:Y390">
    <sortCondition ref="A7:A390"/>
  </sortState>
  <tableColumns count="25">
    <tableColumn id="1" xr3:uid="{4B2C5FF9-AF19-4128-A0C4-DDE1AF1C2796}" name="SL" dataDxfId="314"/>
    <tableColumn id="2" xr3:uid="{7260F092-8017-4450-A071-F5B650290377}" name="Reg Date" dataDxfId="313"/>
    <tableColumn id="3" xr3:uid="{30191BD2-6839-4818-9295-9C30D68E6024}" name="Company" dataDxfId="312"/>
    <tableColumn id="14" xr3:uid="{B2F407E7-518A-4561-9557-9D09F75885E3}" name="Location" dataDxfId="311"/>
    <tableColumn id="11" xr3:uid="{E6B8369C-6195-4A61-AA97-663846C336EB}" name="Department" dataDxfId="310"/>
    <tableColumn id="18" xr3:uid="{8297AB54-56D8-4C76-856D-9A838F73CE8F}" name="Contact Person Name" dataDxfId="309"/>
    <tableColumn id="19" xr3:uid="{D1B87FA4-DE49-4BD1-AFE3-DD6A88353121}" name="Contact Number" dataDxfId="308"/>
    <tableColumn id="20" xr3:uid="{4A7E80DF-E70F-4EE1-A403-51C5B97D603C}" name="E-Mail ID" dataDxfId="307"/>
    <tableColumn id="21" xr3:uid="{7DF8A8D7-3A0D-404F-B0F5-FEE575144A38}" name="Machine Serial Number" dataDxfId="306"/>
    <tableColumn id="4" xr3:uid="{E8E09374-A803-438B-8E0F-D55073EBC8BC}" name="Product Type" dataDxfId="305"/>
    <tableColumn id="16" xr3:uid="{22AA4ED7-696F-4BC2-A08F-434D5CD8DD7D}" name="Lead " dataDxfId="304"/>
    <tableColumn id="5" xr3:uid="{3B1801EB-21D2-4DC0-B2FF-46F4A83A7817}" name="Offer Reference Number" dataDxfId="303"/>
    <tableColumn id="6" xr3:uid="{8C19CF5A-E79F-4068-A2AE-B1D01B872AB0}" name="Offer Reference Date" dataDxfId="302"/>
    <tableColumn id="7" xr3:uid="{A1845144-ED8A-4483-AD38-CD2631AF2DB6}" name="Offer Value" dataDxfId="301"/>
    <tableColumn id="26" xr3:uid="{F80349E3-653B-4F07-9613-FBA1C3239DCC}" name="Offer Month" dataDxfId="300"/>
    <tableColumn id="22" xr3:uid="{1D66A875-3B09-495A-B731-19D9B5F1FC6A}" name="PO Expected Month" dataDxfId="299"/>
    <tableColumn id="27" xr3:uid="{4C015496-FCFE-4D8A-94A1-AA6F3A62030F}" name="Probabality in Percentage" dataDxfId="298" dataCellStyle="Percent"/>
    <tableColumn id="23" xr3:uid="{90916DFD-B75C-4BEA-A938-CD82F8299E74}" name="PO Number" dataDxfId="297"/>
    <tableColumn id="24" xr3:uid="{BDB39B1D-DBE0-4FB3-A7F3-58AA89BAC838}" name="PO Date" dataDxfId="296"/>
    <tableColumn id="17" xr3:uid="{74D63A9C-317A-40B2-8FED-343536673B46}" name="PO Value" dataDxfId="295"/>
    <tableColumn id="9" xr3:uid="{938296F0-066F-4D07-ADFD-DDDB38132AE3}" name="PO Received Month" dataDxfId="294"/>
    <tableColumn id="10" xr3:uid="{19EDA4B6-83DE-4DCF-9A3D-D1BD4E86BD95}" name="Open Funnel" dataDxfId="293">
      <calculatedColumnFormula>Table6268934567910[[#This Row],[Offer Value]]-Table6268934567910[[#This Row],[PO Value]]</calculatedColumnFormula>
    </tableColumn>
    <tableColumn id="13" xr3:uid="{B6ECE594-C6F8-476B-B152-2CCE49B81E66}" name="Remarks" dataDxfId="292"/>
    <tableColumn id="12" xr3:uid="{7A7B603B-C886-4F68-8004-3A99A82B04D1}" name="Status" dataDxfId="291"/>
    <tableColumn id="8" xr3:uid="{C642B68E-F2E5-424F-8159-47F9A1B4137F}" name="Booking Date in SAP B1" dataDxfId="290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E098BF-632B-4780-BFEE-53A1701090C0}" name="Table62689345679101134" displayName="Table62689345679101134" ref="A6:Y431" totalsRowShown="0" headerRowDxfId="289" dataDxfId="287" headerRowBorderDxfId="288" tableBorderDxfId="286">
  <autoFilter ref="A6:Y431" xr:uid="{4EE098BF-632B-4780-BFEE-53A1701090C0}"/>
  <tableColumns count="25">
    <tableColumn id="1" xr3:uid="{C6BEBA7C-0A7D-4479-ADC9-A0CCE28FF475}" name="SL" dataDxfId="285">
      <calculatedColumnFormula>ROW() - 6</calculatedColumnFormula>
    </tableColumn>
    <tableColumn id="2" xr3:uid="{2A85EB87-46BA-4C07-AE24-81DFD24C8BAB}" name="Reg Date" dataDxfId="284"/>
    <tableColumn id="3" xr3:uid="{E2756B05-2C59-4EBA-B829-69C8F882F404}" name="Company" dataDxfId="283"/>
    <tableColumn id="14" xr3:uid="{7B8E8B41-18B4-4195-B980-BE99B017B332}" name="Location" dataDxfId="282"/>
    <tableColumn id="11" xr3:uid="{2C38CA8C-9285-420B-A4BB-993FB6ED3294}" name="Department" dataDxfId="281"/>
    <tableColumn id="18" xr3:uid="{14F84B7A-2FF7-48F6-8FAD-3892AE2DB008}" name="Contact Person Name" dataDxfId="280"/>
    <tableColumn id="19" xr3:uid="{E34BD752-52F5-42A0-B581-6017328BDA53}" name="Contact Number" dataDxfId="279"/>
    <tableColumn id="20" xr3:uid="{4F4F8F72-0C83-4410-9E25-F3F843AA1885}" name="E-Mail ID" dataDxfId="278"/>
    <tableColumn id="21" xr3:uid="{15D4CCF5-6892-4D11-ACF5-A4B10A84C47B}" name="Machine Serial Number" dataDxfId="277"/>
    <tableColumn id="4" xr3:uid="{B9C50AD1-6813-453D-B6C2-CF2B74C94C9A}" name="Product Type" dataDxfId="276"/>
    <tableColumn id="16" xr3:uid="{C2E11914-A96F-4A45-BD83-B1EA03C88263}" name="Lead " dataDxfId="275"/>
    <tableColumn id="5" xr3:uid="{7017BEDB-54BD-4133-8C7C-4A42B2FA6E49}" name="Offer Reference Number" dataDxfId="274"/>
    <tableColumn id="6" xr3:uid="{DB96FA51-6D2B-4758-BEB6-0E30BB1B758D}" name="Offer Reference Date" dataDxfId="273"/>
    <tableColumn id="7" xr3:uid="{56E9C00E-AC81-4E4F-8F6E-C5AF7ACA769E}" name="Offer Value" dataDxfId="272"/>
    <tableColumn id="26" xr3:uid="{114A32F2-2D62-4D26-819A-825C2593879C}" name="Offer Month" dataDxfId="271">
      <calculatedColumnFormula>TEXT(Table62689345679101134[[#This Row],[Offer Reference Date]], "mmmm")</calculatedColumnFormula>
    </tableColumn>
    <tableColumn id="22" xr3:uid="{1006F322-E1BD-4764-AADC-06D77A1B18B2}" name="PO Expected Month" dataDxfId="270"/>
    <tableColumn id="27" xr3:uid="{A42F16DF-748C-4D5D-8598-58C4E01F7FA5}" name="Probabality in Percentage" dataDxfId="269" dataCellStyle="Percent"/>
    <tableColumn id="23" xr3:uid="{44280CA5-C70A-4A85-B344-BA601CBCA0BB}" name="PO Number" dataDxfId="268"/>
    <tableColumn id="24" xr3:uid="{77D6FC1C-6F3F-40C6-8DB2-8C1990C3495B}" name="PO Date" dataDxfId="267"/>
    <tableColumn id="17" xr3:uid="{B1E23138-095D-4F4B-994E-882A15CDFD56}" name="PO Value" dataDxfId="266"/>
    <tableColumn id="9" xr3:uid="{FBE7FC34-A330-4B31-A007-6080AB2D9AA5}" name="PO Received Month" dataDxfId="265">
      <calculatedColumnFormula>TEXT(Table62689345679101134[[#This Row],[PO Date]], "mmmm")</calculatedColumnFormula>
    </tableColumn>
    <tableColumn id="10" xr3:uid="{E9B751F7-0D49-41BF-83DC-07FD594D2B69}" name="Open Funnel" dataDxfId="264">
      <calculatedColumnFormula>Table62689345679101134[[#This Row],[PO Value]]-Table62689345679101134[[#This Row],[Offer Value]]</calculatedColumnFormula>
    </tableColumn>
    <tableColumn id="13" xr3:uid="{E76AD5F6-0D15-4FE0-BE42-463F468EA333}" name="Remarks" dataDxfId="263"/>
    <tableColumn id="12" xr3:uid="{EB794525-9BBE-45A0-8C91-215DE1E3BDC0}" name="Status" dataDxfId="262"/>
    <tableColumn id="8" xr3:uid="{31D1877A-CCCE-47F3-BAF9-46DA9D1B43DE}" name="Booking Date in SAP B1" dataDxfId="261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C6BE4B-5EBA-44B1-A141-2CE3C4F03C44}" name="Table626893456791011347" displayName="Table626893456791011347" ref="A6:Y446" totalsRowShown="0" headerRowDxfId="260" dataDxfId="258" headerRowBorderDxfId="259" tableBorderDxfId="257">
  <autoFilter ref="A6:Y446" xr:uid="{4EE098BF-632B-4780-BFEE-53A1701090C0}"/>
  <sortState xmlns:xlrd2="http://schemas.microsoft.com/office/spreadsheetml/2017/richdata2" ref="A7:Y446">
    <sortCondition ref="N6:N446"/>
  </sortState>
  <tableColumns count="25">
    <tableColumn id="1" xr3:uid="{43C742B5-BF41-4743-9A7B-48DD62486039}" name="SL" dataDxfId="256">
      <calculatedColumnFormula>ROW() - ROW(Table626893456791011347[[#Headers],[SL]])</calculatedColumnFormula>
    </tableColumn>
    <tableColumn id="2" xr3:uid="{D0742167-CD70-4283-A349-2C266CBDFB2B}" name="Reg Date" dataDxfId="255"/>
    <tableColumn id="3" xr3:uid="{74BF42D2-C474-4670-A6B1-0636623F67F6}" name="Company" dataDxfId="254"/>
    <tableColumn id="14" xr3:uid="{5F58DC65-AC15-41C7-A041-4AD19A1A01E2}" name="Location" dataDxfId="253"/>
    <tableColumn id="11" xr3:uid="{BA377F8D-98E2-4F5A-9CBD-D884709BE818}" name="Department" dataDxfId="252"/>
    <tableColumn id="18" xr3:uid="{9F5BB16A-9847-408C-B9C4-028CDC25A594}" name="Contact Person Name" dataDxfId="251"/>
    <tableColumn id="19" xr3:uid="{9032B6FA-27E0-4465-A370-94A641250F55}" name="Contact Number" dataDxfId="250"/>
    <tableColumn id="20" xr3:uid="{F4E1B0E8-E8BB-48E1-A3E7-8F07A3474791}" name="E-Mail ID" dataDxfId="249"/>
    <tableColumn id="21" xr3:uid="{6BFFDDA3-D014-48DB-A3A8-101F9E43CF20}" name="Machine Serial Number" dataDxfId="248"/>
    <tableColumn id="4" xr3:uid="{5BC6C215-3E92-460D-8A30-F778BD85E214}" name="Product Type" dataDxfId="247"/>
    <tableColumn id="16" xr3:uid="{7E7ED477-4227-4FC3-BE72-8645C3133605}" name="Lead " dataDxfId="246"/>
    <tableColumn id="5" xr3:uid="{A92E43BF-065C-4161-84F3-798718B3F2B6}" name="Offer Reference Number" dataDxfId="245"/>
    <tableColumn id="6" xr3:uid="{CFD2AA10-F6C0-446F-B80A-810D4C689ADD}" name="Offer Reference Date" dataDxfId="244"/>
    <tableColumn id="7" xr3:uid="{83A9C4DE-1F06-421A-AC0A-BB6ABA88FFD8}" name="Offer Value" dataDxfId="243"/>
    <tableColumn id="26" xr3:uid="{3F6C71DD-69A1-478C-8804-7D0E0D209E99}" name="Offer Month" dataDxfId="242">
      <calculatedColumnFormula>TEXT(Table626893456791011347[[#This Row],[Offer Reference Date]], "mmmm")</calculatedColumnFormula>
    </tableColumn>
    <tableColumn id="22" xr3:uid="{2C2D84EF-72FA-4A9F-9C96-CFB98FD1A618}" name="PO Expected Month" dataDxfId="241"/>
    <tableColumn id="27" xr3:uid="{5B1CE9F3-57C7-41A5-8B0C-AFAFCB880020}" name="Probabality in Percentage" dataDxfId="240" dataCellStyle="Percent"/>
    <tableColumn id="23" xr3:uid="{0EE47075-E143-48A9-AEEB-E7C1C22AB310}" name="PO Number" dataDxfId="239"/>
    <tableColumn id="24" xr3:uid="{86079642-275E-4740-9F46-B7FFBC7A371C}" name="PO Date" dataDxfId="238"/>
    <tableColumn id="17" xr3:uid="{D9A56EFB-617F-4BB2-8370-910C7BDE2ACC}" name="PO Value" dataDxfId="237"/>
    <tableColumn id="9" xr3:uid="{7B2ADCD7-87ED-445F-B7C0-376B1EA9A3C2}" name="PO Received Month" dataDxfId="236">
      <calculatedColumnFormula>TEXT(Table626893456791011347[[#This Row],[PO Date]], "mmmm")</calculatedColumnFormula>
    </tableColumn>
    <tableColumn id="10" xr3:uid="{354821CB-C102-4B99-9A19-77A111874B84}" name="Open Funnel" dataDxfId="235">
      <calculatedColumnFormula>Table626893456791011347[[#This Row],[PO Value]]-Table626893456791011347[[#This Row],[Offer Value]]</calculatedColumnFormula>
    </tableColumn>
    <tableColumn id="13" xr3:uid="{C6D3C84A-0E34-4D28-8D94-839B9B6E4213}" name="Remarks" dataDxfId="234"/>
    <tableColumn id="12" xr3:uid="{563CA635-BD3F-46BD-BC06-1D7011EA2E3A}" name="Status" dataDxfId="233"/>
    <tableColumn id="8" xr3:uid="{F4C97F2C-CE06-4532-8CDC-F3C5C1C40279}" name="Booking Date in SAP B1" dataDxfId="232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B24D8A-DCE5-4E3D-A330-877D963229D1}" name="Table62689345679101112133" displayName="Table62689345679101112133" ref="A6:Y435" totalsRowShown="0" headerRowDxfId="231" headerRowBorderDxfId="230" tableBorderDxfId="229">
  <autoFilter ref="A6:Y435" xr:uid="{AE064E8A-43AE-4159-8968-2E82AEA3624F}"/>
  <sortState xmlns:xlrd2="http://schemas.microsoft.com/office/spreadsheetml/2017/richdata2" ref="A7:Y435">
    <sortCondition ref="A6:A435"/>
  </sortState>
  <tableColumns count="25">
    <tableColumn id="1" xr3:uid="{CF2A31BE-5CE3-4FED-A120-D95B754ADD9F}" name="SL" dataDxfId="228"/>
    <tableColumn id="2" xr3:uid="{42562A54-2681-4EAA-8D72-80F43CBE92D7}" name="Reg Date" dataDxfId="227"/>
    <tableColumn id="3" xr3:uid="{82D2101D-859B-4F38-BAA6-F9C9DD1A9EA6}" name="Company" dataDxfId="226"/>
    <tableColumn id="14" xr3:uid="{6A051F8D-D828-4EDA-BABF-16AE48B01AB4}" name="Location" dataDxfId="225"/>
    <tableColumn id="11" xr3:uid="{8DE415BD-455C-4A1B-BA06-B5DB20E4FE19}" name="Department" dataDxfId="224"/>
    <tableColumn id="18" xr3:uid="{7C9CDC2C-FF13-47A2-A112-5A741532DC4B}" name="Contact Person Name" dataDxfId="223"/>
    <tableColumn id="19" xr3:uid="{CE346315-B5B6-4DAE-A56B-3F653D09CA86}" name="Contact Number" dataDxfId="222"/>
    <tableColumn id="20" xr3:uid="{5FC59B39-1198-4BED-B262-917608828BE1}" name="E-Mail ID" dataDxfId="221"/>
    <tableColumn id="21" xr3:uid="{4B26F416-5F60-4722-967D-1FFC434037C5}" name="Machine Serial Number" dataDxfId="220"/>
    <tableColumn id="4" xr3:uid="{3870F144-3916-43E5-B185-6997F273FD6E}" name="Product Type" dataDxfId="219"/>
    <tableColumn id="16" xr3:uid="{9F64AB1B-E40E-4AAD-B3FB-31A0E959C3A5}" name="Lead " dataDxfId="218"/>
    <tableColumn id="5" xr3:uid="{5637A699-D586-458D-A687-9B73A5311B3D}" name="Offer Reference Number" dataDxfId="217"/>
    <tableColumn id="6" xr3:uid="{6EB46264-94D7-45D4-A60C-E36FBE34BE49}" name="Offer Reference Date" dataDxfId="216"/>
    <tableColumn id="7" xr3:uid="{0D1FB623-21E2-4297-9224-8EF941DEABEC}" name="Offer Value" dataDxfId="215"/>
    <tableColumn id="26" xr3:uid="{E67823A8-A7EF-413A-8048-520B4BD12F43}" name="Offer Month" dataDxfId="214"/>
    <tableColumn id="22" xr3:uid="{268B336E-B208-409D-8D8E-D1E576D29E84}" name="PO Expected Month" dataDxfId="213"/>
    <tableColumn id="27" xr3:uid="{E4F0E12B-4AC5-46AB-BC32-540343F02A7A}" name="Probabality in Percentage" dataDxfId="212" dataCellStyle="Percent"/>
    <tableColumn id="23" xr3:uid="{FAF1A799-6CBB-4850-8AA3-1E68D03329FD}" name="PO Number" dataDxfId="211"/>
    <tableColumn id="24" xr3:uid="{66FD2094-A230-4AE0-BA12-774142CCBD46}" name="PO Date" dataDxfId="210"/>
    <tableColumn id="17" xr3:uid="{398F26E1-28C4-4A3E-846C-28CA1DB2204F}" name="PO Value" dataDxfId="209"/>
    <tableColumn id="9" xr3:uid="{DFAA8FE6-EC81-4ADA-BC6D-FCC9AFAAF4A9}" name="PO Received Month" dataDxfId="208"/>
    <tableColumn id="10" xr3:uid="{87698C13-D93C-4CB0-9680-3E62B795404F}" name="Open Funnel" dataDxfId="207"/>
    <tableColumn id="13" xr3:uid="{B8756CE3-C6B2-47C0-BD27-9AC9130C3806}" name="Remarks" dataDxfId="206"/>
    <tableColumn id="12" xr3:uid="{B8B5DC36-FF5B-421C-A573-739AD7A4F76E}" name="Status" dataDxfId="205"/>
    <tableColumn id="8" xr3:uid="{5C1F6940-CE79-429A-A0CA-1692F7105BD6}" name="Booking Date in SAP B1" dataDxfId="204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E8501FF-533B-4276-980A-44C258E5CDCD}" name="Table6268934567910111213" displayName="Table6268934567910111213" ref="A6:Y411" totalsRowShown="0" headerRowDxfId="203" headerRowBorderDxfId="202" tableBorderDxfId="201">
  <autoFilter ref="A6:Y411" xr:uid="{AE064E8A-43AE-4159-8968-2E82AEA3624F}"/>
  <tableColumns count="25">
    <tableColumn id="1" xr3:uid="{1627F7BF-BB0B-42AD-AAB8-F12EC0BA085D}" name="SL" dataDxfId="200"/>
    <tableColumn id="2" xr3:uid="{3185D41C-EE19-4E8D-AA73-3707F8BA294F}" name="Reg Date" dataDxfId="199"/>
    <tableColumn id="3" xr3:uid="{5D0F518C-EC92-4DA5-89F0-AD7ED22DACC5}" name="Company" dataDxfId="198"/>
    <tableColumn id="14" xr3:uid="{81225054-5508-402C-A1FC-C9F185A6DA70}" name="Location" dataDxfId="197"/>
    <tableColumn id="11" xr3:uid="{1FDEE4C7-839B-43E9-84DE-907B7D727B86}" name="Department" dataDxfId="196"/>
    <tableColumn id="18" xr3:uid="{7308702D-10ED-40A9-94FB-A796D2E7EBB4}" name="Contact Person Name" dataDxfId="195"/>
    <tableColumn id="19" xr3:uid="{F727622F-51A8-4FD5-98D4-5DA50DAE8110}" name="Contact Number" dataDxfId="194"/>
    <tableColumn id="20" xr3:uid="{002E178D-9F84-4800-933A-DB9E812D1D5C}" name="E-Mail ID" dataDxfId="193"/>
    <tableColumn id="21" xr3:uid="{4B9052D0-06BA-4384-AA98-5A53D105AECB}" name="Machine Serial Number" dataDxfId="192"/>
    <tableColumn id="4" xr3:uid="{AC78EBE7-0A06-42D0-9E4D-F80AB05ED11A}" name="Product Type" dataDxfId="191"/>
    <tableColumn id="16" xr3:uid="{88107DD4-ABF5-426B-8839-75A013BFE482}" name="Lead " dataDxfId="190"/>
    <tableColumn id="5" xr3:uid="{9F7C1B07-97C5-48AA-BC4F-CBB1DBBCF031}" name="Offer Reference Number" dataDxfId="189"/>
    <tableColumn id="6" xr3:uid="{9497A024-9D54-4F8D-8769-1C9410A64149}" name="Offer Reference Date" dataDxfId="188"/>
    <tableColumn id="7" xr3:uid="{BB4D4158-0F14-454F-8271-8964DC8A573A}" name="Offer Value" dataDxfId="187"/>
    <tableColumn id="26" xr3:uid="{D8AA5FD8-3DF7-4220-BF52-743A4E257BC8}" name="Offer Month" dataDxfId="186"/>
    <tableColumn id="22" xr3:uid="{A86AA612-37CE-4C0C-AFA7-EED0969947F6}" name="PO Expected Month" dataDxfId="185"/>
    <tableColumn id="27" xr3:uid="{FB4F0C5E-60AF-46B4-9A32-EB6FB0338222}" name="Probabality in Percentage" dataDxfId="184" dataCellStyle="Percent"/>
    <tableColumn id="23" xr3:uid="{BDF34144-ABAA-4C86-B4FE-D208BA880627}" name="PO Number" dataDxfId="183"/>
    <tableColumn id="24" xr3:uid="{3455305C-F7A5-4746-A529-53F7A8E1B2D9}" name="PO Date" dataDxfId="182"/>
    <tableColumn id="17" xr3:uid="{C125853D-130B-43B1-AD4C-5933D84728FF}" name="PO Value" dataDxfId="181"/>
    <tableColumn id="9" xr3:uid="{75980855-860C-4C8C-94B9-F51F0735DA7C}" name="PO Received Month" dataDxfId="180"/>
    <tableColumn id="10" xr3:uid="{1FD9A70C-C925-4E45-A12E-64D772ABCAF3}" name="Open Funnel" dataDxfId="179"/>
    <tableColumn id="13" xr3:uid="{62E98AE7-9CC7-486D-9739-502F5387A015}" name="REMARKS" dataDxfId="178"/>
    <tableColumn id="12" xr3:uid="{E31FC72E-D788-4D2A-B689-284A4BCAC6C6}" name="Status" dataDxfId="177"/>
    <tableColumn id="8" xr3:uid="{00C7A73D-1A10-4AE5-833F-DF8379BC007F}" name="Booking Date in SAP B1" dataDxfId="176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E99AD05-31CE-4A1B-8C39-FDDE5C9DF49A}" name="Table626893456791011121314" displayName="Table626893456791011121314" ref="A6:Y501" totalsRowShown="0" headerRowDxfId="175" dataDxfId="173" headerRowBorderDxfId="174" tableBorderDxfId="172">
  <autoFilter ref="A6:Y501" xr:uid="{AE064E8A-43AE-4159-8968-2E82AEA3624F}"/>
  <tableColumns count="25">
    <tableColumn id="1" xr3:uid="{FFDD173D-CD2E-4D58-95B7-8F301602CE45}" name="SL" dataDxfId="171"/>
    <tableColumn id="2" xr3:uid="{4A76B2EF-9E29-45AC-BD04-3436B26F2882}" name="Reg Date" dataDxfId="170"/>
    <tableColumn id="3" xr3:uid="{2070D9D4-214A-4943-A9CA-D9C8356BCC0B}" name="Company" dataDxfId="169"/>
    <tableColumn id="14" xr3:uid="{8DAE9294-1B43-424B-BF1B-6AD4DA84B303}" name="Location" dataDxfId="168"/>
    <tableColumn id="11" xr3:uid="{D44BC85B-E66C-4A99-9248-15A52AE97F23}" name="Department" dataDxfId="167"/>
    <tableColumn id="18" xr3:uid="{78A007A8-3FAA-448E-834F-D51C9BC256D2}" name="Contact Person Name" dataDxfId="166"/>
    <tableColumn id="19" xr3:uid="{ED22C713-A5DB-497E-AEBF-CF55424EE22B}" name="Contact Number" dataDxfId="165"/>
    <tableColumn id="20" xr3:uid="{46B05354-2598-4715-9551-A2DFAF3867A6}" name="E-Mail ID" dataDxfId="164"/>
    <tableColumn id="21" xr3:uid="{F46E01B4-E3A6-4E0D-A5CE-F7250857AC07}" name="Machine Serial Number" dataDxfId="163"/>
    <tableColumn id="4" xr3:uid="{BCBD65D4-451C-4D98-8894-D872E7F078C6}" name="Product Type" dataDxfId="162"/>
    <tableColumn id="16" xr3:uid="{CF4BCE2C-ABCF-45A2-8128-1D3F300E5A79}" name="Lead " dataDxfId="161"/>
    <tableColumn id="5" xr3:uid="{0979F894-3601-42FA-8550-5C0F60FA7146}" name="Offer Reference Number" dataDxfId="160"/>
    <tableColumn id="6" xr3:uid="{29D33469-899F-402D-9C85-E9FB41502B78}" name="Offer Reference Date" dataDxfId="159"/>
    <tableColumn id="7" xr3:uid="{7F78F7B4-557B-4562-9490-FD4E2C568C9D}" name="Offer Value" dataDxfId="158"/>
    <tableColumn id="26" xr3:uid="{3D0F100C-86D3-4A4D-AA3D-00A6E15C83A9}" name="Offer Month" dataDxfId="157"/>
    <tableColumn id="22" xr3:uid="{78644D24-714C-4D31-969A-DF83858CA981}" name="PO Expected Month" dataDxfId="156"/>
    <tableColumn id="27" xr3:uid="{4C7921B1-E242-428D-83D3-A94532CF9573}" name="Probabality in Percentage" dataDxfId="155" dataCellStyle="Percent"/>
    <tableColumn id="23" xr3:uid="{2161FBCA-FBD8-4627-AC50-13C5C70453EE}" name="PO Number" dataDxfId="154"/>
    <tableColumn id="24" xr3:uid="{080F1085-A4FC-41D6-AD03-90D6FF601FD9}" name="PO Date" dataDxfId="153"/>
    <tableColumn id="17" xr3:uid="{DA923D7A-6F09-46B0-B6C5-294E8EF67855}" name="PO Value" dataDxfId="152"/>
    <tableColumn id="9" xr3:uid="{795E8DBA-ACAE-4BC2-9140-E8642E128051}" name="PO Received Month" dataDxfId="151">
      <calculatedColumnFormula>TEXT(Table626893456791011121314[[#This Row],[PO Date]], "mmmm")</calculatedColumnFormula>
    </tableColumn>
    <tableColumn id="10" xr3:uid="{DCD6F88B-6D67-46D8-9983-85A9D4C17711}" name="Open Funnel" dataDxfId="150">
      <calculatedColumnFormula>Table626893456791011121314[[#This Row],[PO Value]]-Table626893456791011121314[[#This Row],[Offer Value]]</calculatedColumnFormula>
    </tableColumn>
    <tableColumn id="13" xr3:uid="{909DE7A5-9CEB-498E-AF80-F225C06D6CF8}" name="Remarks" dataDxfId="149"/>
    <tableColumn id="12" xr3:uid="{E061A6B1-2FD6-45D2-A13F-A55BE9BDA67D}" name="Status" dataDxfId="148"/>
    <tableColumn id="8" xr3:uid="{54685B10-1254-49AB-A528-863E49C211E3}" name="Booking Date in SAP B1" dataDxfId="147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100" dT="2023-08-01T08:31:04.07" personId="{8C387E0C-F6CC-47FF-A3CD-12EF3BECF889}" id="{1BF5D6D8-C735-45B6-8F41-9444DAB3C2A1}">
    <text xml:space="preserve">Booked for 16500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93" dT="2023-08-01T08:31:04.07" personId="{8C387E0C-F6CC-47FF-A3CD-12EF3BECF889}" id="{90495DEE-7C8E-472B-A1EC-E1DD3F314F81}">
    <text xml:space="preserve">Booked for 16500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96" dT="2023-08-01T08:31:04.07" personId="{8C387E0C-F6CC-47FF-A3CD-12EF3BECF889}" id="{E830BDA3-D1AC-4704-999B-7645A5A16AEE}">
    <text xml:space="preserve">Booked for 16500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Y70" dT="2023-08-01T08:31:04.07" personId="{8C387E0C-F6CC-47FF-A3CD-12EF3BECF889}" id="{694D5871-06F0-4CAF-AB58-5525D54AD9D0}">
    <text xml:space="preserve">Booked for 16500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Y100" dT="2023-08-01T08:31:04.07" personId="{8C387E0C-F6CC-47FF-A3CD-12EF3BECF889}" id="{58FB40AF-13D8-4EDA-B8FE-7745550B1196}">
    <text xml:space="preserve">Booked for 16500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njay.dhake@tatamotors.com" TargetMode="External"/><Relationship Id="rId13" Type="http://schemas.openxmlformats.org/officeDocument/2006/relationships/hyperlink" Target="mailto:sujit.kadam@tatamotors.com" TargetMode="External"/><Relationship Id="rId3" Type="http://schemas.openxmlformats.org/officeDocument/2006/relationships/hyperlink" Target="mailto:nishant_jain@jabil.com" TargetMode="External"/><Relationship Id="rId7" Type="http://schemas.openxmlformats.org/officeDocument/2006/relationships/hyperlink" Target="mailto:rohan.shinde@tatamotors.com" TargetMode="External"/><Relationship Id="rId12" Type="http://schemas.openxmlformats.org/officeDocument/2006/relationships/hyperlink" Target="mailto:ganesh.jagtap@kirloskar.com" TargetMode="External"/><Relationship Id="rId2" Type="http://schemas.openxmlformats.org/officeDocument/2006/relationships/hyperlink" Target="mailto:Kalpesh.patil@external.merckgroup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ganesh.navale@bajaj.co.in" TargetMode="External"/><Relationship Id="rId6" Type="http://schemas.openxmlformats.org/officeDocument/2006/relationships/hyperlink" Target="mailto:nishant_jain@jabil.com" TargetMode="External"/><Relationship Id="rId11" Type="http://schemas.openxmlformats.org/officeDocument/2006/relationships/hyperlink" Target="mailto:Ravindra_Khambayat@carraro.com" TargetMode="External"/><Relationship Id="rId5" Type="http://schemas.openxmlformats.org/officeDocument/2006/relationships/hyperlink" Target="mailto:nishant_jain@jabil.co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jyoti.avhad@tatamotors.com" TargetMode="External"/><Relationship Id="rId4" Type="http://schemas.openxmlformats.org/officeDocument/2006/relationships/hyperlink" Target="mailto:nishant_jain@jabil.com" TargetMode="External"/><Relationship Id="rId9" Type="http://schemas.openxmlformats.org/officeDocument/2006/relationships/hyperlink" Target="mailto:jyoti.avhad@tatamotors.com" TargetMode="External"/><Relationship Id="rId14" Type="http://schemas.openxmlformats.org/officeDocument/2006/relationships/hyperlink" Target="mailto:sujit.kadam@tatamotors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anil.joshi@wartsila.com" TargetMode="External"/><Relationship Id="rId21" Type="http://schemas.openxmlformats.org/officeDocument/2006/relationships/hyperlink" Target="mailto:Sagar.Pawar@alfalaval.com" TargetMode="External"/><Relationship Id="rId42" Type="http://schemas.openxmlformats.org/officeDocument/2006/relationships/hyperlink" Target="mailto:bapu.b.shinde@cummins.com" TargetMode="External"/><Relationship Id="rId63" Type="http://schemas.openxmlformats.org/officeDocument/2006/relationships/hyperlink" Target="mailto:vijay.pawar@cummins.com" TargetMode="External"/><Relationship Id="rId84" Type="http://schemas.openxmlformats.org/officeDocument/2006/relationships/hyperlink" Target="mailto:sunny.rangire@sandvik.com" TargetMode="External"/><Relationship Id="rId138" Type="http://schemas.openxmlformats.org/officeDocument/2006/relationships/hyperlink" Target="mailto:prakashsingh.parihar@knorr-bremse.com" TargetMode="External"/><Relationship Id="rId159" Type="http://schemas.openxmlformats.org/officeDocument/2006/relationships/vmlDrawing" Target="../drawings/vmlDrawing2.vml"/><Relationship Id="rId107" Type="http://schemas.openxmlformats.org/officeDocument/2006/relationships/hyperlink" Target="mailto:vijay.pawar@cummins.com" TargetMode="External"/><Relationship Id="rId11" Type="http://schemas.openxmlformats.org/officeDocument/2006/relationships/hyperlink" Target="mailto:Arun.Kadam@secotools.com" TargetMode="External"/><Relationship Id="rId32" Type="http://schemas.openxmlformats.org/officeDocument/2006/relationships/hyperlink" Target="mailto:nrpatil@bajajauto.co.in" TargetMode="External"/><Relationship Id="rId53" Type="http://schemas.openxmlformats.org/officeDocument/2006/relationships/hyperlink" Target="mailto:vijay.pawar@cummins.com" TargetMode="External"/><Relationship Id="rId74" Type="http://schemas.openxmlformats.org/officeDocument/2006/relationships/hyperlink" Target="mailto:umesh.nagdeote@sandvik.com" TargetMode="External"/><Relationship Id="rId128" Type="http://schemas.openxmlformats.org/officeDocument/2006/relationships/hyperlink" Target="mailto:sunny.rangire@sandvik.com" TargetMode="External"/><Relationship Id="rId149" Type="http://schemas.openxmlformats.org/officeDocument/2006/relationships/hyperlink" Target="mailto:divya.kadam@cummins.com" TargetMode="External"/><Relationship Id="rId5" Type="http://schemas.openxmlformats.org/officeDocument/2006/relationships/hyperlink" Target="mailto:prasanna.godbole@secotools.com" TargetMode="External"/><Relationship Id="rId95" Type="http://schemas.openxmlformats.org/officeDocument/2006/relationships/hyperlink" Target="mailto:swapnil.jawalkar@sandvik.com" TargetMode="External"/><Relationship Id="rId160" Type="http://schemas.openxmlformats.org/officeDocument/2006/relationships/table" Target="../tables/table2.xml"/><Relationship Id="rId22" Type="http://schemas.openxmlformats.org/officeDocument/2006/relationships/hyperlink" Target="mailto:Sagar.Pawar@alfalaval.com" TargetMode="External"/><Relationship Id="rId43" Type="http://schemas.openxmlformats.org/officeDocument/2006/relationships/hyperlink" Target="mailto:bapu.b.shinde@cummins.com" TargetMode="External"/><Relationship Id="rId64" Type="http://schemas.openxmlformats.org/officeDocument/2006/relationships/hyperlink" Target="mailto:vijay.pawar@cummins.com" TargetMode="External"/><Relationship Id="rId118" Type="http://schemas.openxmlformats.org/officeDocument/2006/relationships/hyperlink" Target="mailto:Sagar.Pawar@alfalaval.com" TargetMode="External"/><Relationship Id="rId139" Type="http://schemas.openxmlformats.org/officeDocument/2006/relationships/hyperlink" Target="mailto:giridhar.gadhave@sandvik.com" TargetMode="External"/><Relationship Id="rId85" Type="http://schemas.openxmlformats.org/officeDocument/2006/relationships/hyperlink" Target="mailto:Kiran.Deo@knorr-bremse.com" TargetMode="External"/><Relationship Id="rId150" Type="http://schemas.openxmlformats.org/officeDocument/2006/relationships/hyperlink" Target="mailto:vijay.pawar@cummins.com" TargetMode="External"/><Relationship Id="rId12" Type="http://schemas.openxmlformats.org/officeDocument/2006/relationships/hyperlink" Target="mailto:Vishal.Kalshetti@cummins.com" TargetMode="External"/><Relationship Id="rId17" Type="http://schemas.openxmlformats.org/officeDocument/2006/relationships/hyperlink" Target="mailto:Vishal.Kalshetti@cummins.com" TargetMode="External"/><Relationship Id="rId33" Type="http://schemas.openxmlformats.org/officeDocument/2006/relationships/hyperlink" Target="mailto:nrpatil@bajajauto.co.in" TargetMode="External"/><Relationship Id="rId38" Type="http://schemas.openxmlformats.org/officeDocument/2006/relationships/hyperlink" Target="mailto:nrpatil@bajajauto.co.in" TargetMode="External"/><Relationship Id="rId59" Type="http://schemas.openxmlformats.org/officeDocument/2006/relationships/hyperlink" Target="mailto:vijay.pawar@cummins.com" TargetMode="External"/><Relationship Id="rId103" Type="http://schemas.openxmlformats.org/officeDocument/2006/relationships/hyperlink" Target="mailto:nilesh.talawdekar@mazak.in" TargetMode="External"/><Relationship Id="rId108" Type="http://schemas.openxmlformats.org/officeDocument/2006/relationships/hyperlink" Target="mailto:yogesh.hardule@cummins.com" TargetMode="External"/><Relationship Id="rId124" Type="http://schemas.openxmlformats.org/officeDocument/2006/relationships/hyperlink" Target="mailto:sujay.pujari@dsm-firmenich.com" TargetMode="External"/><Relationship Id="rId129" Type="http://schemas.openxmlformats.org/officeDocument/2006/relationships/hyperlink" Target="mailto:sunny.rangire@sandvik.com" TargetMode="External"/><Relationship Id="rId54" Type="http://schemas.openxmlformats.org/officeDocument/2006/relationships/hyperlink" Target="mailto:vijay.pawar@cummins.com" TargetMode="External"/><Relationship Id="rId70" Type="http://schemas.openxmlformats.org/officeDocument/2006/relationships/hyperlink" Target="mailto:sachin.pawar@ksb.com" TargetMode="External"/><Relationship Id="rId75" Type="http://schemas.openxmlformats.org/officeDocument/2006/relationships/hyperlink" Target="mailto:umesh.nagdeote@sandvik.com" TargetMode="External"/><Relationship Id="rId91" Type="http://schemas.openxmlformats.org/officeDocument/2006/relationships/hyperlink" Target="mailto:swapnil.jawalkar@sandvik.com" TargetMode="External"/><Relationship Id="rId96" Type="http://schemas.openxmlformats.org/officeDocument/2006/relationships/hyperlink" Target="mailto:sudhir.khade@sandvik.com" TargetMode="External"/><Relationship Id="rId140" Type="http://schemas.openxmlformats.org/officeDocument/2006/relationships/hyperlink" Target="mailto:rahul.javane@kalyanitechnoforge.com" TargetMode="External"/><Relationship Id="rId145" Type="http://schemas.openxmlformats.org/officeDocument/2006/relationships/hyperlink" Target="mailto:shashikant.jagtap@alfalaval.com" TargetMode="External"/><Relationship Id="rId161" Type="http://schemas.openxmlformats.org/officeDocument/2006/relationships/comments" Target="../comments1.xml"/><Relationship Id="rId1" Type="http://schemas.openxmlformats.org/officeDocument/2006/relationships/hyperlink" Target="mailto:sagar.jagatap@cummins.com" TargetMode="External"/><Relationship Id="rId6" Type="http://schemas.openxmlformats.org/officeDocument/2006/relationships/hyperlink" Target="mailto:prasanna.godbole@secotools.com" TargetMode="External"/><Relationship Id="rId23" Type="http://schemas.openxmlformats.org/officeDocument/2006/relationships/hyperlink" Target="mailto:ranjit.shinde@alfalaval.com" TargetMode="External"/><Relationship Id="rId28" Type="http://schemas.openxmlformats.org/officeDocument/2006/relationships/hyperlink" Target="mailto:utkarsh.kumar@dsm-firmenich.com" TargetMode="External"/><Relationship Id="rId49" Type="http://schemas.openxmlformats.org/officeDocument/2006/relationships/hyperlink" Target="mailto:ranjit.shinde@alfalaval.com" TargetMode="External"/><Relationship Id="rId114" Type="http://schemas.openxmlformats.org/officeDocument/2006/relationships/hyperlink" Target="mailto:Arun.Kadam@secotools.com" TargetMode="External"/><Relationship Id="rId119" Type="http://schemas.openxmlformats.org/officeDocument/2006/relationships/hyperlink" Target="mailto:shaharukh.kazi@subros.com" TargetMode="External"/><Relationship Id="rId44" Type="http://schemas.openxmlformats.org/officeDocument/2006/relationships/hyperlink" Target="mailto:pravin.gaikwad@ge.com" TargetMode="External"/><Relationship Id="rId60" Type="http://schemas.openxmlformats.org/officeDocument/2006/relationships/hyperlink" Target="mailto:vijay.pawar@cummins.com" TargetMode="External"/><Relationship Id="rId65" Type="http://schemas.openxmlformats.org/officeDocument/2006/relationships/hyperlink" Target="mailto:sonal.rane@dsm-firmenich.com" TargetMode="External"/><Relationship Id="rId81" Type="http://schemas.openxmlformats.org/officeDocument/2006/relationships/hyperlink" Target="mailto:sunny.rangire@sandvik.com" TargetMode="External"/><Relationship Id="rId86" Type="http://schemas.openxmlformats.org/officeDocument/2006/relationships/hyperlink" Target="mailto:swapnil.jawalkar@sandvik.com" TargetMode="External"/><Relationship Id="rId130" Type="http://schemas.openxmlformats.org/officeDocument/2006/relationships/hyperlink" Target="mailto:sunny.rangire@sandvik.com" TargetMode="External"/><Relationship Id="rId135" Type="http://schemas.openxmlformats.org/officeDocument/2006/relationships/hyperlink" Target="mailto:sunny.rangire@sandvik.com" TargetMode="External"/><Relationship Id="rId151" Type="http://schemas.openxmlformats.org/officeDocument/2006/relationships/hyperlink" Target="mailto:prakashsingh.parihar@knorr-bremse.com" TargetMode="External"/><Relationship Id="rId156" Type="http://schemas.openxmlformats.org/officeDocument/2006/relationships/hyperlink" Target="mailto:GADE.ATUL@mahindra.com" TargetMode="External"/><Relationship Id="rId13" Type="http://schemas.openxmlformats.org/officeDocument/2006/relationships/hyperlink" Target="mailto:Vishal.Kalshetti@cummins.com" TargetMode="External"/><Relationship Id="rId18" Type="http://schemas.openxmlformats.org/officeDocument/2006/relationships/hyperlink" Target="mailto:Vishal.Kalshetti@cummins.com" TargetMode="External"/><Relationship Id="rId39" Type="http://schemas.openxmlformats.org/officeDocument/2006/relationships/hyperlink" Target="mailto:nrpatil@bajajauto.co.in" TargetMode="External"/><Relationship Id="rId109" Type="http://schemas.openxmlformats.org/officeDocument/2006/relationships/hyperlink" Target="mailto:avinash.kulkarni@secotools.com" TargetMode="External"/><Relationship Id="rId34" Type="http://schemas.openxmlformats.org/officeDocument/2006/relationships/hyperlink" Target="mailto:nrpatil@bajajauto.co.in" TargetMode="External"/><Relationship Id="rId50" Type="http://schemas.openxmlformats.org/officeDocument/2006/relationships/hyperlink" Target="mailto:vijay.pawar@cummins.com" TargetMode="External"/><Relationship Id="rId55" Type="http://schemas.openxmlformats.org/officeDocument/2006/relationships/hyperlink" Target="mailto:vijay.pawar@cummins.com" TargetMode="External"/><Relationship Id="rId76" Type="http://schemas.openxmlformats.org/officeDocument/2006/relationships/hyperlink" Target="mailto:Navnath.Tarade@ksb.com" TargetMode="External"/><Relationship Id="rId97" Type="http://schemas.openxmlformats.org/officeDocument/2006/relationships/hyperlink" Target="mailto:sudhir.khade@sandvik.com" TargetMode="External"/><Relationship Id="rId104" Type="http://schemas.openxmlformats.org/officeDocument/2006/relationships/hyperlink" Target="mailto:nilesh.talawdekar@mazak.in" TargetMode="External"/><Relationship Id="rId120" Type="http://schemas.openxmlformats.org/officeDocument/2006/relationships/hyperlink" Target="mailto:vijay.pawar@cummins.com" TargetMode="External"/><Relationship Id="rId125" Type="http://schemas.openxmlformats.org/officeDocument/2006/relationships/hyperlink" Target="mailto:sunny.rangire@sandvik.com" TargetMode="External"/><Relationship Id="rId141" Type="http://schemas.openxmlformats.org/officeDocument/2006/relationships/hyperlink" Target="mailto:rkumbhar@danfoss.com" TargetMode="External"/><Relationship Id="rId146" Type="http://schemas.openxmlformats.org/officeDocument/2006/relationships/hyperlink" Target="mailto:krishna.jagdale@mazak.in" TargetMode="External"/><Relationship Id="rId7" Type="http://schemas.openxmlformats.org/officeDocument/2006/relationships/hyperlink" Target="mailto:prasanna.godbole@secotools.com" TargetMode="External"/><Relationship Id="rId71" Type="http://schemas.openxmlformats.org/officeDocument/2006/relationships/hyperlink" Target="mailto:sachin.pawar@ksb.com" TargetMode="External"/><Relationship Id="rId92" Type="http://schemas.openxmlformats.org/officeDocument/2006/relationships/hyperlink" Target="mailto:swapnil.jawalkar@sandvik.com" TargetMode="External"/><Relationship Id="rId2" Type="http://schemas.openxmlformats.org/officeDocument/2006/relationships/hyperlink" Target="mailto:XPNCN24@hmil.net" TargetMode="External"/><Relationship Id="rId29" Type="http://schemas.openxmlformats.org/officeDocument/2006/relationships/hyperlink" Target="mailto:utkarsh.kumar@dsm-firmenich.com" TargetMode="External"/><Relationship Id="rId24" Type="http://schemas.openxmlformats.org/officeDocument/2006/relationships/hyperlink" Target="mailto:ranjit.shinde@alfalaval.com" TargetMode="External"/><Relationship Id="rId40" Type="http://schemas.openxmlformats.org/officeDocument/2006/relationships/hyperlink" Target="mailto:Sachin.Lad@bharatbijlee.com" TargetMode="External"/><Relationship Id="rId45" Type="http://schemas.openxmlformats.org/officeDocument/2006/relationships/hyperlink" Target="mailto:Navnath.Tarade@ksb.com" TargetMode="External"/><Relationship Id="rId66" Type="http://schemas.openxmlformats.org/officeDocument/2006/relationships/hyperlink" Target="mailto:sonal.rane@dsm-firmenich.com" TargetMode="External"/><Relationship Id="rId87" Type="http://schemas.openxmlformats.org/officeDocument/2006/relationships/hyperlink" Target="mailto:swapnil.jawalkar@sandvik.com" TargetMode="External"/><Relationship Id="rId110" Type="http://schemas.openxmlformats.org/officeDocument/2006/relationships/hyperlink" Target="mailto:GADE.ATUL@mahindra.com" TargetMode="External"/><Relationship Id="rId115" Type="http://schemas.openxmlformats.org/officeDocument/2006/relationships/hyperlink" Target="mailto:jitendra.shirke@alfalaval.com" TargetMode="External"/><Relationship Id="rId131" Type="http://schemas.openxmlformats.org/officeDocument/2006/relationships/hyperlink" Target="mailto:sunny.rangire@sandvik.com" TargetMode="External"/><Relationship Id="rId136" Type="http://schemas.openxmlformats.org/officeDocument/2006/relationships/hyperlink" Target="mailto:yogesh.panchal@subros.com" TargetMode="External"/><Relationship Id="rId157" Type="http://schemas.openxmlformats.org/officeDocument/2006/relationships/hyperlink" Target="mailto:vijay.pawar@cummins.com" TargetMode="External"/><Relationship Id="rId61" Type="http://schemas.openxmlformats.org/officeDocument/2006/relationships/hyperlink" Target="mailto:vijay.pawar@cummins.com" TargetMode="External"/><Relationship Id="rId82" Type="http://schemas.openxmlformats.org/officeDocument/2006/relationships/hyperlink" Target="mailto:bhushan.dhaigude@cummins.com" TargetMode="External"/><Relationship Id="rId152" Type="http://schemas.openxmlformats.org/officeDocument/2006/relationships/hyperlink" Target="mailto:prakashsingh.parihar@knorr-bremse.com" TargetMode="External"/><Relationship Id="rId19" Type="http://schemas.openxmlformats.org/officeDocument/2006/relationships/hyperlink" Target="mailto:Sagar.Pawar@alfalaval.com" TargetMode="External"/><Relationship Id="rId14" Type="http://schemas.openxmlformats.org/officeDocument/2006/relationships/hyperlink" Target="mailto:Vishal.Kalshetti@cummins.com" TargetMode="External"/><Relationship Id="rId30" Type="http://schemas.openxmlformats.org/officeDocument/2006/relationships/hyperlink" Target="mailto:nrpatil@bajajauto.co.in" TargetMode="External"/><Relationship Id="rId35" Type="http://schemas.openxmlformats.org/officeDocument/2006/relationships/hyperlink" Target="mailto:nrpatil@bajajauto.co.in" TargetMode="External"/><Relationship Id="rId56" Type="http://schemas.openxmlformats.org/officeDocument/2006/relationships/hyperlink" Target="mailto:vijay.pawar@cummins.com" TargetMode="External"/><Relationship Id="rId77" Type="http://schemas.openxmlformats.org/officeDocument/2006/relationships/hyperlink" Target="mailto:Digamber.Madape@bharatforge.com" TargetMode="External"/><Relationship Id="rId100" Type="http://schemas.openxmlformats.org/officeDocument/2006/relationships/hyperlink" Target="mailto:vishal.kulkarni@bel.co.in" TargetMode="External"/><Relationship Id="rId105" Type="http://schemas.openxmlformats.org/officeDocument/2006/relationships/hyperlink" Target="mailto:ranjit.shinde@alfalaval.com" TargetMode="External"/><Relationship Id="rId126" Type="http://schemas.openxmlformats.org/officeDocument/2006/relationships/hyperlink" Target="mailto:sunny.rangire@sandvik.com" TargetMode="External"/><Relationship Id="rId147" Type="http://schemas.openxmlformats.org/officeDocument/2006/relationships/hyperlink" Target="mailto:vilaskhade@bel.co.in" TargetMode="External"/><Relationship Id="rId8" Type="http://schemas.openxmlformats.org/officeDocument/2006/relationships/hyperlink" Target="mailto:vivek.khodade@sandvik.com" TargetMode="External"/><Relationship Id="rId51" Type="http://schemas.openxmlformats.org/officeDocument/2006/relationships/hyperlink" Target="mailto:vijay.pawar@cummins.com" TargetMode="External"/><Relationship Id="rId72" Type="http://schemas.openxmlformats.org/officeDocument/2006/relationships/hyperlink" Target="mailto:sachin.pawar@ksb.com" TargetMode="External"/><Relationship Id="rId93" Type="http://schemas.openxmlformats.org/officeDocument/2006/relationships/hyperlink" Target="mailto:swapnil.jawalkar@sandvik.com" TargetMode="External"/><Relationship Id="rId98" Type="http://schemas.openxmlformats.org/officeDocument/2006/relationships/hyperlink" Target="mailto:vijay.pawar@cummins.com" TargetMode="External"/><Relationship Id="rId121" Type="http://schemas.openxmlformats.org/officeDocument/2006/relationships/hyperlink" Target="mailto:zubair_khan@sansera.in" TargetMode="External"/><Relationship Id="rId142" Type="http://schemas.openxmlformats.org/officeDocument/2006/relationships/hyperlink" Target="mailto:rkumbhar@danfoss.com" TargetMode="External"/><Relationship Id="rId3" Type="http://schemas.openxmlformats.org/officeDocument/2006/relationships/hyperlink" Target="mailto:vilaskhade@bel.co.in" TargetMode="External"/><Relationship Id="rId25" Type="http://schemas.openxmlformats.org/officeDocument/2006/relationships/hyperlink" Target="mailto:Arun.Kadam@secotools.com" TargetMode="External"/><Relationship Id="rId46" Type="http://schemas.openxmlformats.org/officeDocument/2006/relationships/hyperlink" Target="mailto:sachin.pawar@ksb.com" TargetMode="External"/><Relationship Id="rId67" Type="http://schemas.openxmlformats.org/officeDocument/2006/relationships/hyperlink" Target="mailto:vijay.pawar@cummins.com" TargetMode="External"/><Relationship Id="rId116" Type="http://schemas.openxmlformats.org/officeDocument/2006/relationships/hyperlink" Target="mailto:mangesh.andhorikar@alfalaval.com" TargetMode="External"/><Relationship Id="rId137" Type="http://schemas.openxmlformats.org/officeDocument/2006/relationships/hyperlink" Target="mailto:yogesh.panchal@subros.com" TargetMode="External"/><Relationship Id="rId158" Type="http://schemas.openxmlformats.org/officeDocument/2006/relationships/printerSettings" Target="../printerSettings/printerSettings3.bin"/><Relationship Id="rId20" Type="http://schemas.openxmlformats.org/officeDocument/2006/relationships/hyperlink" Target="mailto:Sagar.Pawar@alfalaval.com" TargetMode="External"/><Relationship Id="rId41" Type="http://schemas.openxmlformats.org/officeDocument/2006/relationships/hyperlink" Target="mailto:bapu.b.shinde@cummins.com" TargetMode="External"/><Relationship Id="rId62" Type="http://schemas.openxmlformats.org/officeDocument/2006/relationships/hyperlink" Target="mailto:vijay.pawar@cummins.com" TargetMode="External"/><Relationship Id="rId83" Type="http://schemas.openxmlformats.org/officeDocument/2006/relationships/hyperlink" Target="mailto:nrpatil@bajajauto.co.in" TargetMode="External"/><Relationship Id="rId88" Type="http://schemas.openxmlformats.org/officeDocument/2006/relationships/hyperlink" Target="mailto:swapnil.jawalkar@sandvik.com" TargetMode="External"/><Relationship Id="rId111" Type="http://schemas.openxmlformats.org/officeDocument/2006/relationships/hyperlink" Target="mailto:GADE.ATUL@mahindra.com" TargetMode="External"/><Relationship Id="rId132" Type="http://schemas.openxmlformats.org/officeDocument/2006/relationships/hyperlink" Target="mailto:sunny.rangire@sandvik.com" TargetMode="External"/><Relationship Id="rId153" Type="http://schemas.openxmlformats.org/officeDocument/2006/relationships/hyperlink" Target="mailto:kanchan.patil@in.rheinmetall.com" TargetMode="External"/><Relationship Id="rId15" Type="http://schemas.openxmlformats.org/officeDocument/2006/relationships/hyperlink" Target="mailto:Vishal.Kalshetti@cummins.com" TargetMode="External"/><Relationship Id="rId36" Type="http://schemas.openxmlformats.org/officeDocument/2006/relationships/hyperlink" Target="mailto:nrpatil@bajajauto.co.in" TargetMode="External"/><Relationship Id="rId57" Type="http://schemas.openxmlformats.org/officeDocument/2006/relationships/hyperlink" Target="mailto:vijay.pawar@cummins.com" TargetMode="External"/><Relationship Id="rId106" Type="http://schemas.openxmlformats.org/officeDocument/2006/relationships/hyperlink" Target="mailto:Atul.Raut@in.rheinmetall.com" TargetMode="External"/><Relationship Id="rId127" Type="http://schemas.openxmlformats.org/officeDocument/2006/relationships/hyperlink" Target="mailto:sunny.rangire@sandvik.com" TargetMode="External"/><Relationship Id="rId10" Type="http://schemas.openxmlformats.org/officeDocument/2006/relationships/hyperlink" Target="mailto:Arun.Kadam@secotools.com" TargetMode="External"/><Relationship Id="rId31" Type="http://schemas.openxmlformats.org/officeDocument/2006/relationships/hyperlink" Target="mailto:nrpatil@bajajauto.co.in" TargetMode="External"/><Relationship Id="rId52" Type="http://schemas.openxmlformats.org/officeDocument/2006/relationships/hyperlink" Target="mailto:vijay.pawar@cummins.com" TargetMode="External"/><Relationship Id="rId73" Type="http://schemas.openxmlformats.org/officeDocument/2006/relationships/hyperlink" Target="mailto:sachin.pawar@ksb.com" TargetMode="External"/><Relationship Id="rId78" Type="http://schemas.openxmlformats.org/officeDocument/2006/relationships/hyperlink" Target="mailto:Digamber.Madape@bharatforge.com" TargetMode="External"/><Relationship Id="rId94" Type="http://schemas.openxmlformats.org/officeDocument/2006/relationships/hyperlink" Target="mailto:swapnil.jawalkar@sandvik.com" TargetMode="External"/><Relationship Id="rId99" Type="http://schemas.openxmlformats.org/officeDocument/2006/relationships/hyperlink" Target="mailto:vishal.kulkarni@bel.co.in" TargetMode="External"/><Relationship Id="rId101" Type="http://schemas.openxmlformats.org/officeDocument/2006/relationships/hyperlink" Target="mailto:vishal.kulkarni@bel.co.in" TargetMode="External"/><Relationship Id="rId122" Type="http://schemas.openxmlformats.org/officeDocument/2006/relationships/hyperlink" Target="mailto:shalaka.aparaj@dsm-firmenich.com" TargetMode="External"/><Relationship Id="rId143" Type="http://schemas.openxmlformats.org/officeDocument/2006/relationships/hyperlink" Target="mailto:gajanan.ekke@vishay.com" TargetMode="External"/><Relationship Id="rId148" Type="http://schemas.openxmlformats.org/officeDocument/2006/relationships/hyperlink" Target="mailto:umesh.gawde@siemens.com" TargetMode="External"/><Relationship Id="rId4" Type="http://schemas.openxmlformats.org/officeDocument/2006/relationships/hyperlink" Target="mailto:anant.ternikar@sulzer.com" TargetMode="External"/><Relationship Id="rId9" Type="http://schemas.openxmlformats.org/officeDocument/2006/relationships/hyperlink" Target="mailto:Arun.Kadam@secotools.com" TargetMode="External"/><Relationship Id="rId26" Type="http://schemas.openxmlformats.org/officeDocument/2006/relationships/hyperlink" Target="mailto:mahesh.ambawale@sandvik.com" TargetMode="External"/><Relationship Id="rId47" Type="http://schemas.openxmlformats.org/officeDocument/2006/relationships/hyperlink" Target="mailto:amol.s.patil@secotools.com" TargetMode="External"/><Relationship Id="rId68" Type="http://schemas.openxmlformats.org/officeDocument/2006/relationships/hyperlink" Target="mailto:sachin.pawar@ksb.com" TargetMode="External"/><Relationship Id="rId89" Type="http://schemas.openxmlformats.org/officeDocument/2006/relationships/hyperlink" Target="mailto:swapnil.jawalkar@sandvik.com" TargetMode="External"/><Relationship Id="rId112" Type="http://schemas.openxmlformats.org/officeDocument/2006/relationships/hyperlink" Target="mailto:GADE.ATUL@mahindra.com" TargetMode="External"/><Relationship Id="rId133" Type="http://schemas.openxmlformats.org/officeDocument/2006/relationships/hyperlink" Target="mailto:sunny.rangire@sandvik.com" TargetMode="External"/><Relationship Id="rId154" Type="http://schemas.openxmlformats.org/officeDocument/2006/relationships/hyperlink" Target="mailto:kiran.dole@cummins.com" TargetMode="External"/><Relationship Id="rId16" Type="http://schemas.openxmlformats.org/officeDocument/2006/relationships/hyperlink" Target="mailto:Vishal.Kalshetti@cummins.com" TargetMode="External"/><Relationship Id="rId37" Type="http://schemas.openxmlformats.org/officeDocument/2006/relationships/hyperlink" Target="mailto:nrpatil@bajajauto.co.in" TargetMode="External"/><Relationship Id="rId58" Type="http://schemas.openxmlformats.org/officeDocument/2006/relationships/hyperlink" Target="mailto:vijay.pawar@cummins.com" TargetMode="External"/><Relationship Id="rId79" Type="http://schemas.openxmlformats.org/officeDocument/2006/relationships/hyperlink" Target="mailto:Digamber.Madape@bharatforge.com" TargetMode="External"/><Relationship Id="rId102" Type="http://schemas.openxmlformats.org/officeDocument/2006/relationships/hyperlink" Target="mailto:vishal.kulkarni@bel.co.in" TargetMode="External"/><Relationship Id="rId123" Type="http://schemas.openxmlformats.org/officeDocument/2006/relationships/hyperlink" Target="mailto:sujay.pujari@dsm-firmenich.com" TargetMode="External"/><Relationship Id="rId144" Type="http://schemas.openxmlformats.org/officeDocument/2006/relationships/hyperlink" Target="mailto:gajanan.ekke@vishay.com" TargetMode="External"/><Relationship Id="rId90" Type="http://schemas.openxmlformats.org/officeDocument/2006/relationships/hyperlink" Target="mailto:swapnil.jawalkar@sandvik.com" TargetMode="External"/><Relationship Id="rId27" Type="http://schemas.openxmlformats.org/officeDocument/2006/relationships/hyperlink" Target="mailto:utkarsh.kumar@dsm-firmenich.com" TargetMode="External"/><Relationship Id="rId48" Type="http://schemas.openxmlformats.org/officeDocument/2006/relationships/hyperlink" Target="mailto:sunny.rangire@sandvik.com" TargetMode="External"/><Relationship Id="rId69" Type="http://schemas.openxmlformats.org/officeDocument/2006/relationships/hyperlink" Target="mailto:sachin.pawar@ksb.com" TargetMode="External"/><Relationship Id="rId113" Type="http://schemas.openxmlformats.org/officeDocument/2006/relationships/hyperlink" Target="mailto:anup.harne@siemens.com" TargetMode="External"/><Relationship Id="rId134" Type="http://schemas.openxmlformats.org/officeDocument/2006/relationships/hyperlink" Target="mailto:sunny.rangire@sandvik.com" TargetMode="External"/><Relationship Id="rId80" Type="http://schemas.openxmlformats.org/officeDocument/2006/relationships/hyperlink" Target="mailto:rahul.patil@sandvik.com" TargetMode="External"/><Relationship Id="rId155" Type="http://schemas.openxmlformats.org/officeDocument/2006/relationships/hyperlink" Target="mailto:vishal.kulkarni@bel.co.in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smpatel@bajajauto.co.in" TargetMode="External"/><Relationship Id="rId21" Type="http://schemas.openxmlformats.org/officeDocument/2006/relationships/hyperlink" Target="mailto:dattaram.bagayatkar@siemens.com" TargetMode="External"/><Relationship Id="rId42" Type="http://schemas.openxmlformats.org/officeDocument/2006/relationships/hyperlink" Target="mailto:milind.kadam@nisseiasb.com" TargetMode="External"/><Relationship Id="rId63" Type="http://schemas.openxmlformats.org/officeDocument/2006/relationships/hyperlink" Target="mailto:dinkar.tarale@ksb.com" TargetMode="External"/><Relationship Id="rId84" Type="http://schemas.openxmlformats.org/officeDocument/2006/relationships/hyperlink" Target="mailto:prasad.dusane@siemens.com" TargetMode="External"/><Relationship Id="rId138" Type="http://schemas.openxmlformats.org/officeDocument/2006/relationships/hyperlink" Target="mailto:dinkar.tarale@ksb.com" TargetMode="External"/><Relationship Id="rId159" Type="http://schemas.openxmlformats.org/officeDocument/2006/relationships/hyperlink" Target="mailto:dattaram.bagayatkar@siemens.com" TargetMode="External"/><Relationship Id="rId170" Type="http://schemas.openxmlformats.org/officeDocument/2006/relationships/hyperlink" Target="mailto:kiran.billade@tdk.com" TargetMode="External"/><Relationship Id="rId191" Type="http://schemas.openxmlformats.org/officeDocument/2006/relationships/hyperlink" Target="mailto:shahed.lathif@viatris.com" TargetMode="External"/><Relationship Id="rId205" Type="http://schemas.openxmlformats.org/officeDocument/2006/relationships/vmlDrawing" Target="../drawings/vmlDrawing3.vml"/><Relationship Id="rId107" Type="http://schemas.openxmlformats.org/officeDocument/2006/relationships/hyperlink" Target="mailto:renuka.navandar@in.bosch.com" TargetMode="External"/><Relationship Id="rId11" Type="http://schemas.openxmlformats.org/officeDocument/2006/relationships/hyperlink" Target="mailto:ramesh.dodve@hal-india.co.in" TargetMode="External"/><Relationship Id="rId32" Type="http://schemas.openxmlformats.org/officeDocument/2006/relationships/hyperlink" Target="mailto:shahed.lathif@viatris.com" TargetMode="External"/><Relationship Id="rId53" Type="http://schemas.openxmlformats.org/officeDocument/2006/relationships/hyperlink" Target="mailto:sunil.patil@rishabh.co.in" TargetMode="External"/><Relationship Id="rId74" Type="http://schemas.openxmlformats.org/officeDocument/2006/relationships/hyperlink" Target="mailto:kiran.mapari@viatris.com" TargetMode="External"/><Relationship Id="rId128" Type="http://schemas.openxmlformats.org/officeDocument/2006/relationships/hyperlink" Target="mailto:yogeshwar.baware@siemens.com" TargetMode="External"/><Relationship Id="rId149" Type="http://schemas.openxmlformats.org/officeDocument/2006/relationships/hyperlink" Target="mailto:sachin.mhaske@endress.com" TargetMode="External"/><Relationship Id="rId5" Type="http://schemas.openxmlformats.org/officeDocument/2006/relationships/hyperlink" Target="mailto:kiran.mapari@viatris.com" TargetMode="External"/><Relationship Id="rId95" Type="http://schemas.openxmlformats.org/officeDocument/2006/relationships/hyperlink" Target="mailto:narendra.mahale@tdk.com" TargetMode="External"/><Relationship Id="rId160" Type="http://schemas.openxmlformats.org/officeDocument/2006/relationships/hyperlink" Target="mailto:dattaram.bagayatkar@siemens.com" TargetMode="External"/><Relationship Id="rId181" Type="http://schemas.openxmlformats.org/officeDocument/2006/relationships/hyperlink" Target="mailto:shahed.lathif@viatris.com" TargetMode="External"/><Relationship Id="rId22" Type="http://schemas.openxmlformats.org/officeDocument/2006/relationships/hyperlink" Target="mailto:dattaram.bagayatkar@siemens.com" TargetMode="External"/><Relationship Id="rId43" Type="http://schemas.openxmlformats.org/officeDocument/2006/relationships/hyperlink" Target="mailto:milind.kadam@nisseiasb.com" TargetMode="External"/><Relationship Id="rId64" Type="http://schemas.openxmlformats.org/officeDocument/2006/relationships/hyperlink" Target="mailto:chandrakant.rule@in.abb.com" TargetMode="External"/><Relationship Id="rId118" Type="http://schemas.openxmlformats.org/officeDocument/2006/relationships/hyperlink" Target="mailto:vishal.mundake@viatris.com" TargetMode="External"/><Relationship Id="rId139" Type="http://schemas.openxmlformats.org/officeDocument/2006/relationships/hyperlink" Target="mailto:dinkar.tarale@ksb.com" TargetMode="External"/><Relationship Id="rId85" Type="http://schemas.openxmlformats.org/officeDocument/2006/relationships/hyperlink" Target="mailto:prasad.dusane@siemens.com" TargetMode="External"/><Relationship Id="rId150" Type="http://schemas.openxmlformats.org/officeDocument/2006/relationships/hyperlink" Target="mailto:harsha.daswani@in.bosch.com" TargetMode="External"/><Relationship Id="rId171" Type="http://schemas.openxmlformats.org/officeDocument/2006/relationships/hyperlink" Target="mailto:chandrakant.rule@in.abb.com" TargetMode="External"/><Relationship Id="rId192" Type="http://schemas.openxmlformats.org/officeDocument/2006/relationships/hyperlink" Target="mailto:sagar.wadhavane@tdk.com" TargetMode="External"/><Relationship Id="rId206" Type="http://schemas.openxmlformats.org/officeDocument/2006/relationships/table" Target="../tables/table3.xml"/><Relationship Id="rId12" Type="http://schemas.openxmlformats.org/officeDocument/2006/relationships/hyperlink" Target="mailto:sajal.roy@hal-india.com" TargetMode="External"/><Relationship Id="rId33" Type="http://schemas.openxmlformats.org/officeDocument/2006/relationships/hyperlink" Target="mailto:shahed.lathif@viatris.com" TargetMode="External"/><Relationship Id="rId108" Type="http://schemas.openxmlformats.org/officeDocument/2006/relationships/hyperlink" Target="mailto:renuka.navandar@in.bosch.com" TargetMode="External"/><Relationship Id="rId129" Type="http://schemas.openxmlformats.org/officeDocument/2006/relationships/hyperlink" Target="mailto:sunil.patil@rishabh.co.in" TargetMode="External"/><Relationship Id="rId54" Type="http://schemas.openxmlformats.org/officeDocument/2006/relationships/hyperlink" Target="mailto:sunil.patil@rishabh.co.in" TargetMode="External"/><Relationship Id="rId75" Type="http://schemas.openxmlformats.org/officeDocument/2006/relationships/hyperlink" Target="mailto:sanjay.yadav@bharatbijlee.com" TargetMode="External"/><Relationship Id="rId96" Type="http://schemas.openxmlformats.org/officeDocument/2006/relationships/hyperlink" Target="mailto:harsha.daswani@in.bosch.com" TargetMode="External"/><Relationship Id="rId140" Type="http://schemas.openxmlformats.org/officeDocument/2006/relationships/hyperlink" Target="mailto:praveenjaiswal@bluestarindia.com" TargetMode="External"/><Relationship Id="rId161" Type="http://schemas.openxmlformats.org/officeDocument/2006/relationships/hyperlink" Target="mailto:dattaram.bagayatkar@siemens.com" TargetMode="External"/><Relationship Id="rId182" Type="http://schemas.openxmlformats.org/officeDocument/2006/relationships/hyperlink" Target="mailto:shahed.lathif@viatris.com" TargetMode="External"/><Relationship Id="rId6" Type="http://schemas.openxmlformats.org/officeDocument/2006/relationships/hyperlink" Target="mailto:kiran.mapari@viatris.com" TargetMode="External"/><Relationship Id="rId23" Type="http://schemas.openxmlformats.org/officeDocument/2006/relationships/hyperlink" Target="mailto:dattaram.bagayatkar@siemens.com" TargetMode="External"/><Relationship Id="rId119" Type="http://schemas.openxmlformats.org/officeDocument/2006/relationships/hyperlink" Target="mailto:renuka.navandar@in.bosch.com" TargetMode="External"/><Relationship Id="rId44" Type="http://schemas.openxmlformats.org/officeDocument/2006/relationships/hyperlink" Target="mailto:milind.kadam@nisseiasb.com" TargetMode="External"/><Relationship Id="rId65" Type="http://schemas.openxmlformats.org/officeDocument/2006/relationships/hyperlink" Target="mailto:harsha.daswani@in.bosch.com" TargetMode="External"/><Relationship Id="rId86" Type="http://schemas.openxmlformats.org/officeDocument/2006/relationships/hyperlink" Target="mailto:prasad.dusane@siemens.com" TargetMode="External"/><Relationship Id="rId130" Type="http://schemas.openxmlformats.org/officeDocument/2006/relationships/hyperlink" Target="mailto:harsha.daswani@in.bosch.com" TargetMode="External"/><Relationship Id="rId151" Type="http://schemas.openxmlformats.org/officeDocument/2006/relationships/hyperlink" Target="mailto:shahed.lathif@viatris.com" TargetMode="External"/><Relationship Id="rId172" Type="http://schemas.openxmlformats.org/officeDocument/2006/relationships/hyperlink" Target="mailto:rahul.raut@in.bosch.com" TargetMode="External"/><Relationship Id="rId193" Type="http://schemas.openxmlformats.org/officeDocument/2006/relationships/hyperlink" Target="mailto:milind.kadam@nisseiasb.com" TargetMode="External"/><Relationship Id="rId207" Type="http://schemas.openxmlformats.org/officeDocument/2006/relationships/comments" Target="../comments2.xml"/><Relationship Id="rId13" Type="http://schemas.openxmlformats.org/officeDocument/2006/relationships/hyperlink" Target="mailto:dattaram.bagayatkar@siemens.com" TargetMode="External"/><Relationship Id="rId109" Type="http://schemas.openxmlformats.org/officeDocument/2006/relationships/hyperlink" Target="mailto:renuka.navandar@in.bosch.com" TargetMode="External"/><Relationship Id="rId34" Type="http://schemas.openxmlformats.org/officeDocument/2006/relationships/hyperlink" Target="mailto:shahed.lathif@viatris.com" TargetMode="External"/><Relationship Id="rId55" Type="http://schemas.openxmlformats.org/officeDocument/2006/relationships/hyperlink" Target="mailto:renuka.navandar@in.bosch.com" TargetMode="External"/><Relationship Id="rId76" Type="http://schemas.openxmlformats.org/officeDocument/2006/relationships/hyperlink" Target="mailto:ganesh.jadhav@gknpm.com" TargetMode="External"/><Relationship Id="rId97" Type="http://schemas.openxmlformats.org/officeDocument/2006/relationships/hyperlink" Target="mailto:harsha.daswani@in.bosch.com" TargetMode="External"/><Relationship Id="rId120" Type="http://schemas.openxmlformats.org/officeDocument/2006/relationships/hyperlink" Target="mailto:milind.kadam@nisseiasb.com" TargetMode="External"/><Relationship Id="rId141" Type="http://schemas.openxmlformats.org/officeDocument/2006/relationships/hyperlink" Target="mailto:mishra.vivek@siemens-energy-india.com" TargetMode="External"/><Relationship Id="rId7" Type="http://schemas.openxmlformats.org/officeDocument/2006/relationships/hyperlink" Target="mailto:kiran.mapari@viatris.com" TargetMode="External"/><Relationship Id="rId162" Type="http://schemas.openxmlformats.org/officeDocument/2006/relationships/hyperlink" Target="mailto:dattaram.bagayatkar@siemens.com" TargetMode="External"/><Relationship Id="rId183" Type="http://schemas.openxmlformats.org/officeDocument/2006/relationships/hyperlink" Target="mailto:shahed.lathif@viatris.com" TargetMode="External"/><Relationship Id="rId24" Type="http://schemas.openxmlformats.org/officeDocument/2006/relationships/hyperlink" Target="mailto:dattaram.bagayatkar@siemens.com" TargetMode="External"/><Relationship Id="rId40" Type="http://schemas.openxmlformats.org/officeDocument/2006/relationships/hyperlink" Target="mailto:milind.kadam@nisseiasb.com" TargetMode="External"/><Relationship Id="rId45" Type="http://schemas.openxmlformats.org/officeDocument/2006/relationships/hyperlink" Target="mailto:milind.kadam@nisseiasb.com" TargetMode="External"/><Relationship Id="rId66" Type="http://schemas.openxmlformats.org/officeDocument/2006/relationships/hyperlink" Target="mailto:mayur.aswale@in.abb.com" TargetMode="External"/><Relationship Id="rId87" Type="http://schemas.openxmlformats.org/officeDocument/2006/relationships/hyperlink" Target="mailto:prasad.dusane@siemens.com" TargetMode="External"/><Relationship Id="rId110" Type="http://schemas.openxmlformats.org/officeDocument/2006/relationships/hyperlink" Target="mailto:renuka.navandar@in.bosch.com" TargetMode="External"/><Relationship Id="rId115" Type="http://schemas.openxmlformats.org/officeDocument/2006/relationships/hyperlink" Target="mailto:renuka.navandar@in.bosch.com" TargetMode="External"/><Relationship Id="rId131" Type="http://schemas.openxmlformats.org/officeDocument/2006/relationships/hyperlink" Target="mailto:milind.kadam@nisseiasb.com" TargetMode="External"/><Relationship Id="rId136" Type="http://schemas.openxmlformats.org/officeDocument/2006/relationships/hyperlink" Target="mailto:dinkar.tarale@ksb.com" TargetMode="External"/><Relationship Id="rId157" Type="http://schemas.openxmlformats.org/officeDocument/2006/relationships/hyperlink" Target="mailto:dattaram.bagayatkar@siemens.com" TargetMode="External"/><Relationship Id="rId178" Type="http://schemas.openxmlformats.org/officeDocument/2006/relationships/hyperlink" Target="mailto:chandrakant.rule@in.abb.com" TargetMode="External"/><Relationship Id="rId61" Type="http://schemas.openxmlformats.org/officeDocument/2006/relationships/hyperlink" Target="mailto:nisha.solanki@epiroc.com" TargetMode="External"/><Relationship Id="rId82" Type="http://schemas.openxmlformats.org/officeDocument/2006/relationships/hyperlink" Target="mailto:prasad.dusane@siemens.com" TargetMode="External"/><Relationship Id="rId152" Type="http://schemas.openxmlformats.org/officeDocument/2006/relationships/hyperlink" Target="mailto:baban.thube@in.rheinmetall.com" TargetMode="External"/><Relationship Id="rId173" Type="http://schemas.openxmlformats.org/officeDocument/2006/relationships/hyperlink" Target="mailto:rahul.raut@in.bosch.com" TargetMode="External"/><Relationship Id="rId194" Type="http://schemas.openxmlformats.org/officeDocument/2006/relationships/hyperlink" Target="mailto:ganesh.kalyani@nisseiasb.com" TargetMode="External"/><Relationship Id="rId199" Type="http://schemas.openxmlformats.org/officeDocument/2006/relationships/hyperlink" Target="mailto:prasad.dusane@siemens.com" TargetMode="External"/><Relationship Id="rId203" Type="http://schemas.openxmlformats.org/officeDocument/2006/relationships/hyperlink" Target="mailto:razzak.azizur@mahindra.com" TargetMode="External"/><Relationship Id="rId19" Type="http://schemas.openxmlformats.org/officeDocument/2006/relationships/hyperlink" Target="mailto:dattaram.bagayatkar@siemens.com" TargetMode="External"/><Relationship Id="rId14" Type="http://schemas.openxmlformats.org/officeDocument/2006/relationships/hyperlink" Target="mailto:dattaram.bagayatkar@siemens.com" TargetMode="External"/><Relationship Id="rId30" Type="http://schemas.openxmlformats.org/officeDocument/2006/relationships/hyperlink" Target="mailto:shahed.lathif@viatris.com" TargetMode="External"/><Relationship Id="rId35" Type="http://schemas.openxmlformats.org/officeDocument/2006/relationships/hyperlink" Target="mailto:shahed.lathif@viatris.com" TargetMode="External"/><Relationship Id="rId56" Type="http://schemas.openxmlformats.org/officeDocument/2006/relationships/hyperlink" Target="mailto:cspathak@bajajauto.co.in" TargetMode="External"/><Relationship Id="rId77" Type="http://schemas.openxmlformats.org/officeDocument/2006/relationships/hyperlink" Target="mailto:nisha.solanki@epiroc.com" TargetMode="External"/><Relationship Id="rId100" Type="http://schemas.openxmlformats.org/officeDocument/2006/relationships/hyperlink" Target="mailto:harsha.daswani@in.bosch.com" TargetMode="External"/><Relationship Id="rId105" Type="http://schemas.openxmlformats.org/officeDocument/2006/relationships/hyperlink" Target="mailto:renuka.navandar@in.bosch.com" TargetMode="External"/><Relationship Id="rId126" Type="http://schemas.openxmlformats.org/officeDocument/2006/relationships/hyperlink" Target="mailto:ganesh.jadhav@gknpm.com" TargetMode="External"/><Relationship Id="rId147" Type="http://schemas.openxmlformats.org/officeDocument/2006/relationships/hyperlink" Target="mailto:cspathak@bajajauto.co.in" TargetMode="External"/><Relationship Id="rId168" Type="http://schemas.openxmlformats.org/officeDocument/2006/relationships/hyperlink" Target="mailto:milind.kadam@nisseiasb.com" TargetMode="External"/><Relationship Id="rId8" Type="http://schemas.openxmlformats.org/officeDocument/2006/relationships/hyperlink" Target="mailto:kiran.mapari@viatris.com" TargetMode="External"/><Relationship Id="rId51" Type="http://schemas.openxmlformats.org/officeDocument/2006/relationships/hyperlink" Target="mailto:sambhaji.sakhare@viatris.com" TargetMode="External"/><Relationship Id="rId72" Type="http://schemas.openxmlformats.org/officeDocument/2006/relationships/hyperlink" Target="mailto:smpatel@bajajauto.co.in" TargetMode="External"/><Relationship Id="rId93" Type="http://schemas.openxmlformats.org/officeDocument/2006/relationships/hyperlink" Target="mailto:prasad.dusane@siemens.com" TargetMode="External"/><Relationship Id="rId98" Type="http://schemas.openxmlformats.org/officeDocument/2006/relationships/hyperlink" Target="mailto:harsha.daswani@in.bosch.com" TargetMode="External"/><Relationship Id="rId121" Type="http://schemas.openxmlformats.org/officeDocument/2006/relationships/hyperlink" Target="mailto:milind.kadam@nisseiasb.com" TargetMode="External"/><Relationship Id="rId142" Type="http://schemas.openxmlformats.org/officeDocument/2006/relationships/hyperlink" Target="mailto:yogesh.chavan@siemens.com" TargetMode="External"/><Relationship Id="rId163" Type="http://schemas.openxmlformats.org/officeDocument/2006/relationships/hyperlink" Target="mailto:dattaram.bagayatkar@siemens.com" TargetMode="External"/><Relationship Id="rId184" Type="http://schemas.openxmlformats.org/officeDocument/2006/relationships/hyperlink" Target="mailto:shahed.lathif@viatris.com" TargetMode="External"/><Relationship Id="rId189" Type="http://schemas.openxmlformats.org/officeDocument/2006/relationships/hyperlink" Target="mailto:shahed.lathif@viatris.com" TargetMode="External"/><Relationship Id="rId3" Type="http://schemas.openxmlformats.org/officeDocument/2006/relationships/hyperlink" Target="mailto:kiran.mapari@viatris.com" TargetMode="External"/><Relationship Id="rId25" Type="http://schemas.openxmlformats.org/officeDocument/2006/relationships/hyperlink" Target="mailto:dattaram.bagayatkar@siemens.com" TargetMode="External"/><Relationship Id="rId46" Type="http://schemas.openxmlformats.org/officeDocument/2006/relationships/hyperlink" Target="mailto:kiran.mapari@viatris.com" TargetMode="External"/><Relationship Id="rId67" Type="http://schemas.openxmlformats.org/officeDocument/2006/relationships/hyperlink" Target="mailto:praveenjaiswal@bluestarindia.com" TargetMode="External"/><Relationship Id="rId116" Type="http://schemas.openxmlformats.org/officeDocument/2006/relationships/hyperlink" Target="mailto:renuka.navandar@in.bosch.com" TargetMode="External"/><Relationship Id="rId137" Type="http://schemas.openxmlformats.org/officeDocument/2006/relationships/hyperlink" Target="mailto:dinkar.tarale@ksb.com" TargetMode="External"/><Relationship Id="rId158" Type="http://schemas.openxmlformats.org/officeDocument/2006/relationships/hyperlink" Target="mailto:dattaram.bagayatkar@siemens.com" TargetMode="External"/><Relationship Id="rId20" Type="http://schemas.openxmlformats.org/officeDocument/2006/relationships/hyperlink" Target="mailto:dattaram.bagayatkar@siemens.com" TargetMode="External"/><Relationship Id="rId41" Type="http://schemas.openxmlformats.org/officeDocument/2006/relationships/hyperlink" Target="mailto:milind.kadam@nisseiasb.com" TargetMode="External"/><Relationship Id="rId62" Type="http://schemas.openxmlformats.org/officeDocument/2006/relationships/hyperlink" Target="mailto:mayur.aswale@in.abb.com" TargetMode="External"/><Relationship Id="rId83" Type="http://schemas.openxmlformats.org/officeDocument/2006/relationships/hyperlink" Target="mailto:prasad.dusane@siemens.com" TargetMode="External"/><Relationship Id="rId88" Type="http://schemas.openxmlformats.org/officeDocument/2006/relationships/hyperlink" Target="mailto:prasad.dusane@siemens.com" TargetMode="External"/><Relationship Id="rId111" Type="http://schemas.openxmlformats.org/officeDocument/2006/relationships/hyperlink" Target="mailto:renuka.navandar@in.bosch.com" TargetMode="External"/><Relationship Id="rId132" Type="http://schemas.openxmlformats.org/officeDocument/2006/relationships/hyperlink" Target="mailto:mayur.aswale@in.abb.com" TargetMode="External"/><Relationship Id="rId153" Type="http://schemas.openxmlformats.org/officeDocument/2006/relationships/hyperlink" Target="mailto:umesh.gawde@siemens.com" TargetMode="External"/><Relationship Id="rId174" Type="http://schemas.openxmlformats.org/officeDocument/2006/relationships/hyperlink" Target="mailto:mishra.vivek@siemens-energy-india.com" TargetMode="External"/><Relationship Id="rId179" Type="http://schemas.openxmlformats.org/officeDocument/2006/relationships/hyperlink" Target="mailto:shahed.lathif@viatris.com" TargetMode="External"/><Relationship Id="rId195" Type="http://schemas.openxmlformats.org/officeDocument/2006/relationships/hyperlink" Target="mailto:ganesh.kalyani@nisseiasb.com" TargetMode="External"/><Relationship Id="rId190" Type="http://schemas.openxmlformats.org/officeDocument/2006/relationships/hyperlink" Target="mailto:shahed.lathif@viatris.com" TargetMode="External"/><Relationship Id="rId204" Type="http://schemas.openxmlformats.org/officeDocument/2006/relationships/printerSettings" Target="../printerSettings/printerSettings4.bin"/><Relationship Id="rId15" Type="http://schemas.openxmlformats.org/officeDocument/2006/relationships/hyperlink" Target="mailto:dattaram.bagayatkar@siemens.com" TargetMode="External"/><Relationship Id="rId36" Type="http://schemas.openxmlformats.org/officeDocument/2006/relationships/hyperlink" Target="mailto:shahed.lathif@viatris.com" TargetMode="External"/><Relationship Id="rId57" Type="http://schemas.openxmlformats.org/officeDocument/2006/relationships/hyperlink" Target="mailto:milind.kadam@nisseiasb.com" TargetMode="External"/><Relationship Id="rId106" Type="http://schemas.openxmlformats.org/officeDocument/2006/relationships/hyperlink" Target="mailto:renuka.navandar@in.bosch.com" TargetMode="External"/><Relationship Id="rId127" Type="http://schemas.openxmlformats.org/officeDocument/2006/relationships/hyperlink" Target="mailto:pranay.mishra@in.bosch.com" TargetMode="External"/><Relationship Id="rId10" Type="http://schemas.openxmlformats.org/officeDocument/2006/relationships/hyperlink" Target="mailto:ramesh.dodve@hal-india.co.in" TargetMode="External"/><Relationship Id="rId31" Type="http://schemas.openxmlformats.org/officeDocument/2006/relationships/hyperlink" Target="mailto:shahed.lathif@viatris.com" TargetMode="External"/><Relationship Id="rId52" Type="http://schemas.openxmlformats.org/officeDocument/2006/relationships/hyperlink" Target="mailto:mangesh.masne@siemens.com" TargetMode="External"/><Relationship Id="rId73" Type="http://schemas.openxmlformats.org/officeDocument/2006/relationships/hyperlink" Target="mailto:milind.kadam@nisseiasb.com" TargetMode="External"/><Relationship Id="rId78" Type="http://schemas.openxmlformats.org/officeDocument/2006/relationships/hyperlink" Target="mailto:nisha.solanki@epiroc.com" TargetMode="External"/><Relationship Id="rId94" Type="http://schemas.openxmlformats.org/officeDocument/2006/relationships/hyperlink" Target="mailto:prasad.dusane@siemens.com" TargetMode="External"/><Relationship Id="rId99" Type="http://schemas.openxmlformats.org/officeDocument/2006/relationships/hyperlink" Target="mailto:harsha.daswani@in.bosch.com" TargetMode="External"/><Relationship Id="rId101" Type="http://schemas.openxmlformats.org/officeDocument/2006/relationships/hyperlink" Target="mailto:harsha.daswani@in.bosch.com" TargetMode="External"/><Relationship Id="rId122" Type="http://schemas.openxmlformats.org/officeDocument/2006/relationships/hyperlink" Target="mailto:asi3780@nisseiasb.com" TargetMode="External"/><Relationship Id="rId143" Type="http://schemas.openxmlformats.org/officeDocument/2006/relationships/hyperlink" Target="mailto:yogesh.chavan@siemens.com" TargetMode="External"/><Relationship Id="rId148" Type="http://schemas.openxmlformats.org/officeDocument/2006/relationships/hyperlink" Target="mailto:sachin.mhaske@endress.com" TargetMode="External"/><Relationship Id="rId164" Type="http://schemas.openxmlformats.org/officeDocument/2006/relationships/hyperlink" Target="mailto:dattaram.bagayatkar@siemens.com" TargetMode="External"/><Relationship Id="rId169" Type="http://schemas.openxmlformats.org/officeDocument/2006/relationships/hyperlink" Target="mailto:razzak.azizur@mahindra.com" TargetMode="External"/><Relationship Id="rId185" Type="http://schemas.openxmlformats.org/officeDocument/2006/relationships/hyperlink" Target="mailto:shahed.lathif@viatris.com" TargetMode="External"/><Relationship Id="rId4" Type="http://schemas.openxmlformats.org/officeDocument/2006/relationships/hyperlink" Target="mailto:kiran.mapari@viatris.com" TargetMode="External"/><Relationship Id="rId9" Type="http://schemas.openxmlformats.org/officeDocument/2006/relationships/hyperlink" Target="mailto:ramesh.dodve@hal-india.co.in" TargetMode="External"/><Relationship Id="rId180" Type="http://schemas.openxmlformats.org/officeDocument/2006/relationships/hyperlink" Target="mailto:shahed.lathif@viatris.com" TargetMode="External"/><Relationship Id="rId26" Type="http://schemas.openxmlformats.org/officeDocument/2006/relationships/hyperlink" Target="mailto:prasad.dusane@siemens.com" TargetMode="External"/><Relationship Id="rId47" Type="http://schemas.openxmlformats.org/officeDocument/2006/relationships/hyperlink" Target="mailto:mangesh.masne@siemens.com" TargetMode="External"/><Relationship Id="rId68" Type="http://schemas.openxmlformats.org/officeDocument/2006/relationships/hyperlink" Target="mailto:sunil.patil@rishabh.co.in" TargetMode="External"/><Relationship Id="rId89" Type="http://schemas.openxmlformats.org/officeDocument/2006/relationships/hyperlink" Target="mailto:prasad.dusane@siemens.com" TargetMode="External"/><Relationship Id="rId112" Type="http://schemas.openxmlformats.org/officeDocument/2006/relationships/hyperlink" Target="mailto:renuka.navandar@in.bosch.com" TargetMode="External"/><Relationship Id="rId133" Type="http://schemas.openxmlformats.org/officeDocument/2006/relationships/hyperlink" Target="mailto:mayur.aswale@in.abb.com" TargetMode="External"/><Relationship Id="rId154" Type="http://schemas.openxmlformats.org/officeDocument/2006/relationships/hyperlink" Target="mailto:dattaram.bagayatkar@siemens.com" TargetMode="External"/><Relationship Id="rId175" Type="http://schemas.openxmlformats.org/officeDocument/2006/relationships/hyperlink" Target="mailto:mishra.vivek@siemens-energy-india.com" TargetMode="External"/><Relationship Id="rId196" Type="http://schemas.openxmlformats.org/officeDocument/2006/relationships/hyperlink" Target="mailto:ganesh.kalyani@nisseiasb.com" TargetMode="External"/><Relationship Id="rId200" Type="http://schemas.openxmlformats.org/officeDocument/2006/relationships/hyperlink" Target="mailto:naresh.mokal@innomotics.com" TargetMode="External"/><Relationship Id="rId16" Type="http://schemas.openxmlformats.org/officeDocument/2006/relationships/hyperlink" Target="mailto:dattaram.bagayatkar@siemens.com" TargetMode="External"/><Relationship Id="rId37" Type="http://schemas.openxmlformats.org/officeDocument/2006/relationships/hyperlink" Target="mailto:shahed.lathif@viatris.com" TargetMode="External"/><Relationship Id="rId58" Type="http://schemas.openxmlformats.org/officeDocument/2006/relationships/hyperlink" Target="mailto:Phopale.durvesh@mahindra.com" TargetMode="External"/><Relationship Id="rId79" Type="http://schemas.openxmlformats.org/officeDocument/2006/relationships/hyperlink" Target="mailto:nisha.solanki@epiroc.com" TargetMode="External"/><Relationship Id="rId102" Type="http://schemas.openxmlformats.org/officeDocument/2006/relationships/hyperlink" Target="mailto:harsha.daswani@in.bosch.com" TargetMode="External"/><Relationship Id="rId123" Type="http://schemas.openxmlformats.org/officeDocument/2006/relationships/hyperlink" Target="mailto:renuka.navandar@in.bosch.com" TargetMode="External"/><Relationship Id="rId144" Type="http://schemas.openxmlformats.org/officeDocument/2006/relationships/hyperlink" Target="mailto:yogesh.chavan@siemens.com" TargetMode="External"/><Relationship Id="rId90" Type="http://schemas.openxmlformats.org/officeDocument/2006/relationships/hyperlink" Target="mailto:prasad.dusane@siemens.com" TargetMode="External"/><Relationship Id="rId165" Type="http://schemas.openxmlformats.org/officeDocument/2006/relationships/hyperlink" Target="mailto:dattaram.bagayatkar@siemens.com" TargetMode="External"/><Relationship Id="rId186" Type="http://schemas.openxmlformats.org/officeDocument/2006/relationships/hyperlink" Target="mailto:shahed.lathif@viatris.com" TargetMode="External"/><Relationship Id="rId27" Type="http://schemas.openxmlformats.org/officeDocument/2006/relationships/hyperlink" Target="mailto:cspathak@bajajauto.co.in" TargetMode="External"/><Relationship Id="rId48" Type="http://schemas.openxmlformats.org/officeDocument/2006/relationships/hyperlink" Target="mailto:mangesh.masne@siemens.com" TargetMode="External"/><Relationship Id="rId69" Type="http://schemas.openxmlformats.org/officeDocument/2006/relationships/hyperlink" Target="mailto:sunil.patil@rishabh.co.in" TargetMode="External"/><Relationship Id="rId113" Type="http://schemas.openxmlformats.org/officeDocument/2006/relationships/hyperlink" Target="mailto:renuka.navandar@in.bosch.com" TargetMode="External"/><Relationship Id="rId134" Type="http://schemas.openxmlformats.org/officeDocument/2006/relationships/hyperlink" Target="mailto:dinkar.tarale@ksb.com" TargetMode="External"/><Relationship Id="rId80" Type="http://schemas.openxmlformats.org/officeDocument/2006/relationships/hyperlink" Target="mailto:dinkar.tarale@ksb.com" TargetMode="External"/><Relationship Id="rId155" Type="http://schemas.openxmlformats.org/officeDocument/2006/relationships/hyperlink" Target="mailto:dattaram.bagayatkar@siemens.com" TargetMode="External"/><Relationship Id="rId176" Type="http://schemas.openxmlformats.org/officeDocument/2006/relationships/hyperlink" Target="mailto:mishra.vivek@siemens-energy-india.com" TargetMode="External"/><Relationship Id="rId197" Type="http://schemas.openxmlformats.org/officeDocument/2006/relationships/hyperlink" Target="mailto:ganesh.kalyani@nisseiasb.com" TargetMode="External"/><Relationship Id="rId201" Type="http://schemas.openxmlformats.org/officeDocument/2006/relationships/hyperlink" Target="mailto:renuka.navandar@in.bosch.com" TargetMode="External"/><Relationship Id="rId17" Type="http://schemas.openxmlformats.org/officeDocument/2006/relationships/hyperlink" Target="mailto:dattaram.bagayatkar@siemens.com" TargetMode="External"/><Relationship Id="rId38" Type="http://schemas.openxmlformats.org/officeDocument/2006/relationships/hyperlink" Target="mailto:shahed.lathif@viatris.com" TargetMode="External"/><Relationship Id="rId59" Type="http://schemas.openxmlformats.org/officeDocument/2006/relationships/hyperlink" Target="mailto:Phopale.durvesh@mahindra.com" TargetMode="External"/><Relationship Id="rId103" Type="http://schemas.openxmlformats.org/officeDocument/2006/relationships/hyperlink" Target="mailto:harsha.daswani@in.bosch.com" TargetMode="External"/><Relationship Id="rId124" Type="http://schemas.openxmlformats.org/officeDocument/2006/relationships/hyperlink" Target="mailto:himanshu.panda@tdk-electronics.tdk.com" TargetMode="External"/><Relationship Id="rId70" Type="http://schemas.openxmlformats.org/officeDocument/2006/relationships/hyperlink" Target="mailto:sunil.patil@rishabh.co.in" TargetMode="External"/><Relationship Id="rId91" Type="http://schemas.openxmlformats.org/officeDocument/2006/relationships/hyperlink" Target="mailto:prasad.dusane@siemens.com" TargetMode="External"/><Relationship Id="rId145" Type="http://schemas.openxmlformats.org/officeDocument/2006/relationships/hyperlink" Target="mailto:dbhore@wockhardt.com" TargetMode="External"/><Relationship Id="rId166" Type="http://schemas.openxmlformats.org/officeDocument/2006/relationships/hyperlink" Target="mailto:dattaram.bagayatkar@siemens.com" TargetMode="External"/><Relationship Id="rId187" Type="http://schemas.openxmlformats.org/officeDocument/2006/relationships/hyperlink" Target="mailto:shahed.lathif@viatris.com" TargetMode="External"/><Relationship Id="rId1" Type="http://schemas.openxmlformats.org/officeDocument/2006/relationships/hyperlink" Target="mailto:kiran.mapari@viatris.com" TargetMode="External"/><Relationship Id="rId28" Type="http://schemas.openxmlformats.org/officeDocument/2006/relationships/hyperlink" Target="mailto:shahed.lathif@viatris.com" TargetMode="External"/><Relationship Id="rId49" Type="http://schemas.openxmlformats.org/officeDocument/2006/relationships/hyperlink" Target="mailto:mangesh.masne@siemens.com" TargetMode="External"/><Relationship Id="rId114" Type="http://schemas.openxmlformats.org/officeDocument/2006/relationships/hyperlink" Target="mailto:renuka.navandar@in.bosch.com" TargetMode="External"/><Relationship Id="rId60" Type="http://schemas.openxmlformats.org/officeDocument/2006/relationships/hyperlink" Target="mailto:kiran.mapari@viatris.com" TargetMode="External"/><Relationship Id="rId81" Type="http://schemas.openxmlformats.org/officeDocument/2006/relationships/hyperlink" Target="mailto:renuka.navandar@in.bosch.com" TargetMode="External"/><Relationship Id="rId135" Type="http://schemas.openxmlformats.org/officeDocument/2006/relationships/hyperlink" Target="mailto:dinkar.tarale@ksb.com" TargetMode="External"/><Relationship Id="rId156" Type="http://schemas.openxmlformats.org/officeDocument/2006/relationships/hyperlink" Target="mailto:dattaram.bagayatkar@siemens.com" TargetMode="External"/><Relationship Id="rId177" Type="http://schemas.openxmlformats.org/officeDocument/2006/relationships/hyperlink" Target="mailto:dinkar.tarale@ksb.com" TargetMode="External"/><Relationship Id="rId198" Type="http://schemas.openxmlformats.org/officeDocument/2006/relationships/hyperlink" Target="mailto:cspathak@bajajauto.co.in" TargetMode="External"/><Relationship Id="rId202" Type="http://schemas.openxmlformats.org/officeDocument/2006/relationships/hyperlink" Target="mailto:ganesh.jadhav@gknpm.com" TargetMode="External"/><Relationship Id="rId18" Type="http://schemas.openxmlformats.org/officeDocument/2006/relationships/hyperlink" Target="mailto:dattaram.bagayatkar@siemens.com" TargetMode="External"/><Relationship Id="rId39" Type="http://schemas.openxmlformats.org/officeDocument/2006/relationships/hyperlink" Target="mailto:dinkar.tarale@ksb.com" TargetMode="External"/><Relationship Id="rId50" Type="http://schemas.openxmlformats.org/officeDocument/2006/relationships/hyperlink" Target="mailto:sambhaji.sakhare@viatris.com" TargetMode="External"/><Relationship Id="rId104" Type="http://schemas.openxmlformats.org/officeDocument/2006/relationships/hyperlink" Target="mailto:prashant.pitale@novartis.com" TargetMode="External"/><Relationship Id="rId125" Type="http://schemas.openxmlformats.org/officeDocument/2006/relationships/hyperlink" Target="mailto:himanshu.panda@tdk-electronics.tdk.com" TargetMode="External"/><Relationship Id="rId146" Type="http://schemas.openxmlformats.org/officeDocument/2006/relationships/hyperlink" Target="mailto:dbhore@wockhardt.com" TargetMode="External"/><Relationship Id="rId167" Type="http://schemas.openxmlformats.org/officeDocument/2006/relationships/hyperlink" Target="mailto:babasaheb.badar@endress.com" TargetMode="External"/><Relationship Id="rId188" Type="http://schemas.openxmlformats.org/officeDocument/2006/relationships/hyperlink" Target="mailto:shahed.lathif@viatris.com" TargetMode="External"/><Relationship Id="rId71" Type="http://schemas.openxmlformats.org/officeDocument/2006/relationships/hyperlink" Target="mailto:pranay.mishra@in.bosch.com" TargetMode="External"/><Relationship Id="rId92" Type="http://schemas.openxmlformats.org/officeDocument/2006/relationships/hyperlink" Target="mailto:prasad.dusane@siemens.com" TargetMode="External"/><Relationship Id="rId2" Type="http://schemas.openxmlformats.org/officeDocument/2006/relationships/hyperlink" Target="mailto:kiran.mapari@viatris.com" TargetMode="External"/><Relationship Id="rId29" Type="http://schemas.openxmlformats.org/officeDocument/2006/relationships/hyperlink" Target="mailto:shahed.lathif@viatris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shah.nn@boschrexroth.co.in" TargetMode="External"/><Relationship Id="rId21" Type="http://schemas.openxmlformats.org/officeDocument/2006/relationships/hyperlink" Target="mailto:Kalpesh_Panchal@milacron.com" TargetMode="External"/><Relationship Id="rId42" Type="http://schemas.openxmlformats.org/officeDocument/2006/relationships/hyperlink" Target="mailto:parth.bhatwadekar@hitachienergy.com" TargetMode="External"/><Relationship Id="rId63" Type="http://schemas.openxmlformats.org/officeDocument/2006/relationships/hyperlink" Target="mailto:Dharmendra.yadav@securemeters.com" TargetMode="External"/><Relationship Id="rId84" Type="http://schemas.openxmlformats.org/officeDocument/2006/relationships/hyperlink" Target="mailto:Production-pmpl@prasadgroup.com" TargetMode="External"/><Relationship Id="rId138" Type="http://schemas.openxmlformats.org/officeDocument/2006/relationships/hyperlink" Target="mailto:patel.bhavinkumar@heromotocorp.com" TargetMode="External"/><Relationship Id="rId159" Type="http://schemas.openxmlformats.org/officeDocument/2006/relationships/hyperlink" Target="mailto:maintenance.sanand@bhavani.co.in" TargetMode="External"/><Relationship Id="rId170" Type="http://schemas.openxmlformats.org/officeDocument/2006/relationships/hyperlink" Target="mailto:Vinodkumar_prajapati@intaspharma.com" TargetMode="External"/><Relationship Id="rId191" Type="http://schemas.openxmlformats.org/officeDocument/2006/relationships/hyperlink" Target="mailto:Biresh.Banerjee@khs.com" TargetMode="External"/><Relationship Id="rId107" Type="http://schemas.openxmlformats.org/officeDocument/2006/relationships/hyperlink" Target="mailto:mverma@forcemotors.com" TargetMode="External"/><Relationship Id="rId11" Type="http://schemas.openxmlformats.org/officeDocument/2006/relationships/hyperlink" Target="mailto:prod-gbx@rotomotive.com" TargetMode="External"/><Relationship Id="rId32" Type="http://schemas.openxmlformats.org/officeDocument/2006/relationships/hyperlink" Target="mailto:Arvindsinh.jadeja@nayaraenergy.com" TargetMode="External"/><Relationship Id="rId53" Type="http://schemas.openxmlformats.org/officeDocument/2006/relationships/hyperlink" Target="mailto:vinay.thandar@dsmfirmenich.com" TargetMode="External"/><Relationship Id="rId74" Type="http://schemas.openxmlformats.org/officeDocument/2006/relationships/hyperlink" Target="mailto:maintedept-1@inductothermindia.com" TargetMode="External"/><Relationship Id="rId128" Type="http://schemas.openxmlformats.org/officeDocument/2006/relationships/hyperlink" Target="mailto:mehta.ad@boschrexroth.co.in" TargetMode="External"/><Relationship Id="rId149" Type="http://schemas.openxmlformats.org/officeDocument/2006/relationships/hyperlink" Target="mailto:gvpatel@akaaish.com" TargetMode="External"/><Relationship Id="rId5" Type="http://schemas.openxmlformats.org/officeDocument/2006/relationships/hyperlink" Target="mailto:rakesh.shah@celloworld.com" TargetMode="External"/><Relationship Id="rId95" Type="http://schemas.openxmlformats.org/officeDocument/2006/relationships/hyperlink" Target="mailto:ankavta@truetzschler.in" TargetMode="External"/><Relationship Id="rId160" Type="http://schemas.openxmlformats.org/officeDocument/2006/relationships/hyperlink" Target="mailto:sagar@prasadgroup.com" TargetMode="External"/><Relationship Id="rId181" Type="http://schemas.openxmlformats.org/officeDocument/2006/relationships/hyperlink" Target="mailto:Kalpesh_Panchal@milacron.com" TargetMode="External"/><Relationship Id="rId22" Type="http://schemas.openxmlformats.org/officeDocument/2006/relationships/hyperlink" Target="mailto:Kalpesh_Panchal@milacron.com" TargetMode="External"/><Relationship Id="rId43" Type="http://schemas.openxmlformats.org/officeDocument/2006/relationships/hyperlink" Target="mailto:imm_commercial.engines@hal-india.co.in" TargetMode="External"/><Relationship Id="rId64" Type="http://schemas.openxmlformats.org/officeDocument/2006/relationships/hyperlink" Target="mailto:Dharmendra.yadav@securemeters.com" TargetMode="External"/><Relationship Id="rId118" Type="http://schemas.openxmlformats.org/officeDocument/2006/relationships/hyperlink" Target="mailto:shah.nn@boschrexroth.co.in" TargetMode="External"/><Relationship Id="rId139" Type="http://schemas.openxmlformats.org/officeDocument/2006/relationships/hyperlink" Target="mailto:patel.bhavinkumar@heromotocorp.com" TargetMode="External"/><Relationship Id="rId85" Type="http://schemas.openxmlformats.org/officeDocument/2006/relationships/hyperlink" Target="mailto:Arindam.pal@hal-india.com" TargetMode="External"/><Relationship Id="rId150" Type="http://schemas.openxmlformats.org/officeDocument/2006/relationships/hyperlink" Target="mailto:piyushk_parmar@intaspharma.com" TargetMode="External"/><Relationship Id="rId171" Type="http://schemas.openxmlformats.org/officeDocument/2006/relationships/hyperlink" Target="mailto:Vinodkumar_prajapati@intaspharma.com" TargetMode="External"/><Relationship Id="rId192" Type="http://schemas.openxmlformats.org/officeDocument/2006/relationships/hyperlink" Target="mailto:Biresh.Banerjee@khs.com" TargetMode="External"/><Relationship Id="rId12" Type="http://schemas.openxmlformats.org/officeDocument/2006/relationships/hyperlink" Target="mailto:daupadhyay@akaaish.com" TargetMode="External"/><Relationship Id="rId33" Type="http://schemas.openxmlformats.org/officeDocument/2006/relationships/hyperlink" Target="mailto:rajput@grundfos.com" TargetMode="External"/><Relationship Id="rId108" Type="http://schemas.openxmlformats.org/officeDocument/2006/relationships/hyperlink" Target="mailto:stores-gwk@prasadgroup.com" TargetMode="External"/><Relationship Id="rId129" Type="http://schemas.openxmlformats.org/officeDocument/2006/relationships/hyperlink" Target="mailto:mjsoni1@akaaish.com" TargetMode="External"/><Relationship Id="rId54" Type="http://schemas.openxmlformats.org/officeDocument/2006/relationships/hyperlink" Target="mailto:vinay.thandar@dsmfirmenich.com" TargetMode="External"/><Relationship Id="rId75" Type="http://schemas.openxmlformats.org/officeDocument/2006/relationships/hyperlink" Target="mailto:jagdish.paun@bhavani.co.in" TargetMode="External"/><Relationship Id="rId96" Type="http://schemas.openxmlformats.org/officeDocument/2006/relationships/hyperlink" Target="mailto:ankavta@truetzschler.in" TargetMode="External"/><Relationship Id="rId140" Type="http://schemas.openxmlformats.org/officeDocument/2006/relationships/hyperlink" Target="mailto:vtpatel@akaaish.com" TargetMode="External"/><Relationship Id="rId161" Type="http://schemas.openxmlformats.org/officeDocument/2006/relationships/hyperlink" Target="mailto:sagar@prasadgroup.com" TargetMode="External"/><Relationship Id="rId182" Type="http://schemas.openxmlformats.org/officeDocument/2006/relationships/hyperlink" Target="mailto:Kalpesh_Panchal@milacron.com" TargetMode="External"/><Relationship Id="rId6" Type="http://schemas.openxmlformats.org/officeDocument/2006/relationships/hyperlink" Target="mailto:jaikoindustries2011@gmail.com" TargetMode="External"/><Relationship Id="rId23" Type="http://schemas.openxmlformats.org/officeDocument/2006/relationships/hyperlink" Target="mailto:c-purchase@prashantgroup.com" TargetMode="External"/><Relationship Id="rId119" Type="http://schemas.openxmlformats.org/officeDocument/2006/relationships/hyperlink" Target="mailto:shah.nn@boschrexroth.co.in" TargetMode="External"/><Relationship Id="rId44" Type="http://schemas.openxmlformats.org/officeDocument/2006/relationships/hyperlink" Target="https://eur03.safelinks.protection.outlook.com/?url=http%3A%2F%2F%40burckhardtcompression.com%2F&amp;data=05%7C02%7Cminesh.vadgama%40kardex.com%7C0a8f2f8e6fcf4b2183d208dd3627e5ba%7C8b2a11ebf80f4d21bf22a0d7dbd96728%7C0%7C0%7C638726267229112972%7CUnknown%7CTWFpbGZsb3d8eyJFbXB0eU1hcGkiOnRydWUsIlYiOiIwLjAuMDAwMCIsIlAiOiJXaW4zMiIsIkFOIjoiTWFpbCIsIldUIjoyfQ%3D%3D%7C0%7C%7C%7C&amp;sdata=Hq7TYQoZkPhg1xpKLV1%2FsM0lic3eZB%2BNBDA4kla%2FMUI%3D&amp;reserved=0" TargetMode="External"/><Relationship Id="rId65" Type="http://schemas.openxmlformats.org/officeDocument/2006/relationships/hyperlink" Target="mailto:Dharmendra.yadav@securemeters.com" TargetMode="External"/><Relationship Id="rId86" Type="http://schemas.openxmlformats.org/officeDocument/2006/relationships/hyperlink" Target="mailto:vinay.thandar@dsmfirmenich.com" TargetMode="External"/><Relationship Id="rId130" Type="http://schemas.openxmlformats.org/officeDocument/2006/relationships/hyperlink" Target="mailto:chouddne@schaeffler.com" TargetMode="External"/><Relationship Id="rId151" Type="http://schemas.openxmlformats.org/officeDocument/2006/relationships/hyperlink" Target="mailto:piyushk_parmar@intaspharma.com" TargetMode="External"/><Relationship Id="rId172" Type="http://schemas.openxmlformats.org/officeDocument/2006/relationships/hyperlink" Target="mailto:Vinodkumar_prajapati@intaspharma.com" TargetMode="External"/><Relationship Id="rId193" Type="http://schemas.openxmlformats.org/officeDocument/2006/relationships/hyperlink" Target="mailto:TEV_Utility@turboenergy.co.in" TargetMode="External"/><Relationship Id="rId13" Type="http://schemas.openxmlformats.org/officeDocument/2006/relationships/hyperlink" Target="mailto:gjsoni@elecon.com" TargetMode="External"/><Relationship Id="rId109" Type="http://schemas.openxmlformats.org/officeDocument/2006/relationships/hyperlink" Target="mailto:Madan.Singh@Securemeters.Com" TargetMode="External"/><Relationship Id="rId34" Type="http://schemas.openxmlformats.org/officeDocument/2006/relationships/hyperlink" Target="mailto:rajput@grundfos.com" TargetMode="External"/><Relationship Id="rId55" Type="http://schemas.openxmlformats.org/officeDocument/2006/relationships/hyperlink" Target="mailto:vinay.thandar@dsmfirmenich.com" TargetMode="External"/><Relationship Id="rId76" Type="http://schemas.openxmlformats.org/officeDocument/2006/relationships/hyperlink" Target="mailto:jagdish.paun@bhavani.co.in" TargetMode="External"/><Relationship Id="rId97" Type="http://schemas.openxmlformats.org/officeDocument/2006/relationships/hyperlink" Target="mailto:Virendrakumar.yadav@subros.com" TargetMode="External"/><Relationship Id="rId120" Type="http://schemas.openxmlformats.org/officeDocument/2006/relationships/hyperlink" Target="mailto:shah.nn@boschrexroth.co.in" TargetMode="External"/><Relationship Id="rId141" Type="http://schemas.openxmlformats.org/officeDocument/2006/relationships/hyperlink" Target="mailto:Kalpesh_Panchal@milacron.com" TargetMode="External"/><Relationship Id="rId7" Type="http://schemas.openxmlformats.org/officeDocument/2006/relationships/hyperlink" Target="mailto:purchase@jpel.in" TargetMode="External"/><Relationship Id="rId162" Type="http://schemas.openxmlformats.org/officeDocument/2006/relationships/hyperlink" Target="mailto:utility@prashantgroup.com" TargetMode="External"/><Relationship Id="rId183" Type="http://schemas.openxmlformats.org/officeDocument/2006/relationships/hyperlink" Target="mailto:Kalpesh_Panchal@milacron.com" TargetMode="External"/><Relationship Id="rId2" Type="http://schemas.openxmlformats.org/officeDocument/2006/relationships/hyperlink" Target="mailto:Niteshkumar.PATEL@dsm-firmenich.com" TargetMode="External"/><Relationship Id="rId29" Type="http://schemas.openxmlformats.org/officeDocument/2006/relationships/hyperlink" Target="mailto:Hirenkumar.Patel@kbl.co.in" TargetMode="External"/><Relationship Id="rId24" Type="http://schemas.openxmlformats.org/officeDocument/2006/relationships/hyperlink" Target="mailto:ankavta@truetzschler.in" TargetMode="External"/><Relationship Id="rId40" Type="http://schemas.openxmlformats.org/officeDocument/2006/relationships/hyperlink" Target="mailto:Rajev.Jain@viatris.com" TargetMode="External"/><Relationship Id="rId45" Type="http://schemas.openxmlformats.org/officeDocument/2006/relationships/hyperlink" Target="mailto:purchase03-pmpl@prasadgroup.com" TargetMode="External"/><Relationship Id="rId66" Type="http://schemas.openxmlformats.org/officeDocument/2006/relationships/hyperlink" Target="mailto:Deepakkumar.parmar@hitachienergy.com" TargetMode="External"/><Relationship Id="rId87" Type="http://schemas.openxmlformats.org/officeDocument/2006/relationships/hyperlink" Target="mailto:Biresh.Banerjee@khs.com" TargetMode="External"/><Relationship Id="rId110" Type="http://schemas.openxmlformats.org/officeDocument/2006/relationships/hyperlink" Target="mailto:vnj@vihanindia.com" TargetMode="External"/><Relationship Id="rId115" Type="http://schemas.openxmlformats.org/officeDocument/2006/relationships/hyperlink" Target="mailto:shah.nn@boschrexroth.co.in" TargetMode="External"/><Relationship Id="rId131" Type="http://schemas.openxmlformats.org/officeDocument/2006/relationships/hyperlink" Target="mailto:nirav.shah@schaeffler.com" TargetMode="External"/><Relationship Id="rId136" Type="http://schemas.openxmlformats.org/officeDocument/2006/relationships/hyperlink" Target="mailto:parashar.mishra@vihanindia.com" TargetMode="External"/><Relationship Id="rId157" Type="http://schemas.openxmlformats.org/officeDocument/2006/relationships/hyperlink" Target="mailto:krunal.patel@kolsitegroup.com" TargetMode="External"/><Relationship Id="rId178" Type="http://schemas.openxmlformats.org/officeDocument/2006/relationships/hyperlink" Target="mailto:rajput@grundfos.com" TargetMode="External"/><Relationship Id="rId61" Type="http://schemas.openxmlformats.org/officeDocument/2006/relationships/hyperlink" Target="mailto:Dharmendra.yadav@securemeters.com" TargetMode="External"/><Relationship Id="rId82" Type="http://schemas.openxmlformats.org/officeDocument/2006/relationships/hyperlink" Target="mailto:Sunil.kumar@securemeters.com" TargetMode="External"/><Relationship Id="rId152" Type="http://schemas.openxmlformats.org/officeDocument/2006/relationships/hyperlink" Target="mailto:Deepakkumar.parmar@hitachienergy.com" TargetMode="External"/><Relationship Id="rId173" Type="http://schemas.openxmlformats.org/officeDocument/2006/relationships/hyperlink" Target="mailto:Vinodkumar_prajapati@intaspharma.com" TargetMode="External"/><Relationship Id="rId194" Type="http://schemas.openxmlformats.org/officeDocument/2006/relationships/hyperlink" Target="mailto:Niteshkumar.PATEL@dsm-firmenich.com" TargetMode="External"/><Relationship Id="rId199" Type="http://schemas.openxmlformats.org/officeDocument/2006/relationships/printerSettings" Target="../printerSettings/printerSettings5.bin"/><Relationship Id="rId203" Type="http://schemas.microsoft.com/office/2017/10/relationships/threadedComment" Target="../threadedComments/threadedComment1.xml"/><Relationship Id="rId19" Type="http://schemas.openxmlformats.org/officeDocument/2006/relationships/hyperlink" Target="mailto:Biresh.Banerjee@khs.com" TargetMode="External"/><Relationship Id="rId14" Type="http://schemas.openxmlformats.org/officeDocument/2006/relationships/hyperlink" Target="mailto:ajthakkar@akaaish.com" TargetMode="External"/><Relationship Id="rId30" Type="http://schemas.openxmlformats.org/officeDocument/2006/relationships/hyperlink" Target="mailto:Arvindsinh.jadeja@nayaraenergy.com" TargetMode="External"/><Relationship Id="rId35" Type="http://schemas.openxmlformats.org/officeDocument/2006/relationships/hyperlink" Target="mailto:rajput@grundfos.com" TargetMode="External"/><Relationship Id="rId56" Type="http://schemas.openxmlformats.org/officeDocument/2006/relationships/hyperlink" Target="mailto:Sunil.kumar@securemeters.com" TargetMode="External"/><Relationship Id="rId77" Type="http://schemas.openxmlformats.org/officeDocument/2006/relationships/hyperlink" Target="mailto:jagdish.paun@bhavani.co.in" TargetMode="External"/><Relationship Id="rId100" Type="http://schemas.openxmlformats.org/officeDocument/2006/relationships/hyperlink" Target="mailto:Suryakant.Tyagi@Polycab.com" TargetMode="External"/><Relationship Id="rId105" Type="http://schemas.openxmlformats.org/officeDocument/2006/relationships/hyperlink" Target="mailto:Kalpesh_Panchal@milacron.com" TargetMode="External"/><Relationship Id="rId126" Type="http://schemas.openxmlformats.org/officeDocument/2006/relationships/hyperlink" Target="mailto:kdtalati@akaaish.com" TargetMode="External"/><Relationship Id="rId147" Type="http://schemas.openxmlformats.org/officeDocument/2006/relationships/hyperlink" Target="mailto:maintenance@rotomotive.com" TargetMode="External"/><Relationship Id="rId168" Type="http://schemas.openxmlformats.org/officeDocument/2006/relationships/hyperlink" Target="mailto:Vinodkumar_prajapati@intaspharma.com" TargetMode="External"/><Relationship Id="rId8" Type="http://schemas.openxmlformats.org/officeDocument/2006/relationships/hyperlink" Target="mailto:TEV_Utility@turboenergy.co.in" TargetMode="External"/><Relationship Id="rId51" Type="http://schemas.openxmlformats.org/officeDocument/2006/relationships/hyperlink" Target="mailto:vinay.thandar@dsmfirmenich.com" TargetMode="External"/><Relationship Id="rId72" Type="http://schemas.openxmlformats.org/officeDocument/2006/relationships/hyperlink" Target="mailto:maintedept-1@inductothermindia.com" TargetMode="External"/><Relationship Id="rId93" Type="http://schemas.openxmlformats.org/officeDocument/2006/relationships/hyperlink" Target="mailto:ankavta@truetzschler.in" TargetMode="External"/><Relationship Id="rId98" Type="http://schemas.openxmlformats.org/officeDocument/2006/relationships/hyperlink" Target="mailto:anil.suthar@rotomotive.com" TargetMode="External"/><Relationship Id="rId121" Type="http://schemas.openxmlformats.org/officeDocument/2006/relationships/hyperlink" Target="mailto:shah.nn@boschrexroth.co.in" TargetMode="External"/><Relationship Id="rId142" Type="http://schemas.openxmlformats.org/officeDocument/2006/relationships/hyperlink" Target="mailto:Hirenkumar.Patel@kbl.co.in" TargetMode="External"/><Relationship Id="rId163" Type="http://schemas.openxmlformats.org/officeDocument/2006/relationships/hyperlink" Target="mailto:vvkachhia@powerbuild.in" TargetMode="External"/><Relationship Id="rId184" Type="http://schemas.openxmlformats.org/officeDocument/2006/relationships/hyperlink" Target="mailto:Kalpesh_Panchal@milacron.com" TargetMode="External"/><Relationship Id="rId189" Type="http://schemas.openxmlformats.org/officeDocument/2006/relationships/hyperlink" Target="mailto:Biresh.Banerjee@khs.com" TargetMode="External"/><Relationship Id="rId3" Type="http://schemas.openxmlformats.org/officeDocument/2006/relationships/hyperlink" Target="mailto:Niteshkumar.PATEL@dsm-firmenich.com" TargetMode="External"/><Relationship Id="rId25" Type="http://schemas.openxmlformats.org/officeDocument/2006/relationships/hyperlink" Target="mailto:ankavta@truetzschler.in" TargetMode="External"/><Relationship Id="rId46" Type="http://schemas.openxmlformats.org/officeDocument/2006/relationships/hyperlink" Target="mailto:purchase03-pmpl@prasadgroup.com" TargetMode="External"/><Relationship Id="rId67" Type="http://schemas.openxmlformats.org/officeDocument/2006/relationships/hyperlink" Target="mailto:Deepakkumar.parmar@hitachienergy.com" TargetMode="External"/><Relationship Id="rId116" Type="http://schemas.openxmlformats.org/officeDocument/2006/relationships/hyperlink" Target="mailto:shah.nn@boschrexroth.co.in" TargetMode="External"/><Relationship Id="rId137" Type="http://schemas.openxmlformats.org/officeDocument/2006/relationships/hyperlink" Target="mailto:purchase@jpel.in" TargetMode="External"/><Relationship Id="rId158" Type="http://schemas.openxmlformats.org/officeDocument/2006/relationships/hyperlink" Target="mailto:Hirenkumar.Patel@kbl.co.in" TargetMode="External"/><Relationship Id="rId20" Type="http://schemas.openxmlformats.org/officeDocument/2006/relationships/hyperlink" Target="mailto:Kalpesh_Panchal@milacron.com" TargetMode="External"/><Relationship Id="rId41" Type="http://schemas.openxmlformats.org/officeDocument/2006/relationships/hyperlink" Target="mailto:mverma@forcemotors.com" TargetMode="External"/><Relationship Id="rId62" Type="http://schemas.openxmlformats.org/officeDocument/2006/relationships/hyperlink" Target="mailto:Dharmendra.yadav@securemeters.com" TargetMode="External"/><Relationship Id="rId83" Type="http://schemas.openxmlformats.org/officeDocument/2006/relationships/hyperlink" Target="mailto:ankavta@truetzschler.in" TargetMode="External"/><Relationship Id="rId88" Type="http://schemas.openxmlformats.org/officeDocument/2006/relationships/hyperlink" Target="mailto:mverma@forcemotors.com" TargetMode="External"/><Relationship Id="rId111" Type="http://schemas.openxmlformats.org/officeDocument/2006/relationships/hyperlink" Target="mailto:pkgupta9@VECV.IN" TargetMode="External"/><Relationship Id="rId132" Type="http://schemas.openxmlformats.org/officeDocument/2006/relationships/hyperlink" Target="mailto:nirav.shah@schaeffler.com" TargetMode="External"/><Relationship Id="rId153" Type="http://schemas.openxmlformats.org/officeDocument/2006/relationships/hyperlink" Target="mailto:utility@prasadgroup.com" TargetMode="External"/><Relationship Id="rId174" Type="http://schemas.openxmlformats.org/officeDocument/2006/relationships/hyperlink" Target="mailto:Vinodkumar_prajapati@intaspharma.com" TargetMode="External"/><Relationship Id="rId179" Type="http://schemas.openxmlformats.org/officeDocument/2006/relationships/hyperlink" Target="mailto:ankavta@truetzschler.in" TargetMode="External"/><Relationship Id="rId195" Type="http://schemas.openxmlformats.org/officeDocument/2006/relationships/hyperlink" Target="mailto:Niteshkumar.PATEL@dsm-firmenich.com" TargetMode="External"/><Relationship Id="rId190" Type="http://schemas.openxmlformats.org/officeDocument/2006/relationships/hyperlink" Target="mailto:Biresh.Banerjee@khs.com" TargetMode="External"/><Relationship Id="rId15" Type="http://schemas.openxmlformats.org/officeDocument/2006/relationships/hyperlink" Target="mailto:Biresh.Banerjee@khs.com" TargetMode="External"/><Relationship Id="rId36" Type="http://schemas.openxmlformats.org/officeDocument/2006/relationships/hyperlink" Target="mailto:Rajev.Jain@viatris.com" TargetMode="External"/><Relationship Id="rId57" Type="http://schemas.openxmlformats.org/officeDocument/2006/relationships/hyperlink" Target="mailto:Sunil.kumar@securemeters.com" TargetMode="External"/><Relationship Id="rId106" Type="http://schemas.openxmlformats.org/officeDocument/2006/relationships/hyperlink" Target="mailto:ankit.mishra@subros.com" TargetMode="External"/><Relationship Id="rId127" Type="http://schemas.openxmlformats.org/officeDocument/2006/relationships/hyperlink" Target="mailto:rsiraskar@yokohama-oht.com" TargetMode="External"/><Relationship Id="rId10" Type="http://schemas.openxmlformats.org/officeDocument/2006/relationships/hyperlink" Target="mailto:rutviksanjay.joshi@heromotocorp.com" TargetMode="External"/><Relationship Id="rId31" Type="http://schemas.openxmlformats.org/officeDocument/2006/relationships/hyperlink" Target="mailto:Arvindsinh.jadeja@nayaraenergy.com" TargetMode="External"/><Relationship Id="rId52" Type="http://schemas.openxmlformats.org/officeDocument/2006/relationships/hyperlink" Target="mailto:vinay.thandar@dsmfirmenich.com" TargetMode="External"/><Relationship Id="rId73" Type="http://schemas.openxmlformats.org/officeDocument/2006/relationships/hyperlink" Target="mailto:maintedept-1@inductothermindia.com" TargetMode="External"/><Relationship Id="rId78" Type="http://schemas.openxmlformats.org/officeDocument/2006/relationships/hyperlink" Target="mailto:utility@prasadgroup.com" TargetMode="External"/><Relationship Id="rId94" Type="http://schemas.openxmlformats.org/officeDocument/2006/relationships/hyperlink" Target="mailto:ankavta@truetzschler.in" TargetMode="External"/><Relationship Id="rId99" Type="http://schemas.openxmlformats.org/officeDocument/2006/relationships/hyperlink" Target="mailto:utility@prashantgroup.com" TargetMode="External"/><Relationship Id="rId101" Type="http://schemas.openxmlformats.org/officeDocument/2006/relationships/hyperlink" Target="mailto:Suryakant.Tyagi@Polycab.com" TargetMode="External"/><Relationship Id="rId122" Type="http://schemas.openxmlformats.org/officeDocument/2006/relationships/hyperlink" Target="mailto:harshil.patel@securemeters.com" TargetMode="External"/><Relationship Id="rId143" Type="http://schemas.openxmlformats.org/officeDocument/2006/relationships/hyperlink" Target="mailto:vkthakar@eimcoelecon.in" TargetMode="External"/><Relationship Id="rId148" Type="http://schemas.openxmlformats.org/officeDocument/2006/relationships/hyperlink" Target="mailto:mjsoni1@akaaish.com" TargetMode="External"/><Relationship Id="rId164" Type="http://schemas.openxmlformats.org/officeDocument/2006/relationships/hyperlink" Target="mailto:gvpatel@akaaish.com" TargetMode="External"/><Relationship Id="rId169" Type="http://schemas.openxmlformats.org/officeDocument/2006/relationships/hyperlink" Target="mailto:Vinodkumar_prajapati@intaspharma.com" TargetMode="External"/><Relationship Id="rId185" Type="http://schemas.openxmlformats.org/officeDocument/2006/relationships/hyperlink" Target="mailto:Kalpesh_Panchal@milacron.com" TargetMode="External"/><Relationship Id="rId4" Type="http://schemas.openxmlformats.org/officeDocument/2006/relationships/hyperlink" Target="mailto:Niteshkumar.PATEL@dsm-firmenich.com" TargetMode="External"/><Relationship Id="rId9" Type="http://schemas.openxmlformats.org/officeDocument/2006/relationships/hyperlink" Target="mailto:rutviksanjay.joshi@heromotocorp.com" TargetMode="External"/><Relationship Id="rId180" Type="http://schemas.openxmlformats.org/officeDocument/2006/relationships/hyperlink" Target="mailto:ajthakkar@akaaish.com" TargetMode="External"/><Relationship Id="rId26" Type="http://schemas.openxmlformats.org/officeDocument/2006/relationships/hyperlink" Target="mailto:ankavta@truetzschler.in" TargetMode="External"/><Relationship Id="rId47" Type="http://schemas.openxmlformats.org/officeDocument/2006/relationships/hyperlink" Target="mailto:Madan.Singh@Securemeters.Com" TargetMode="External"/><Relationship Id="rId68" Type="http://schemas.openxmlformats.org/officeDocument/2006/relationships/hyperlink" Target="mailto:Arvind.Pardeshi@gevernova.com" TargetMode="External"/><Relationship Id="rId89" Type="http://schemas.openxmlformats.org/officeDocument/2006/relationships/hyperlink" Target="mailto:Kalpesh_Panchal@milacron.com" TargetMode="External"/><Relationship Id="rId112" Type="http://schemas.openxmlformats.org/officeDocument/2006/relationships/hyperlink" Target="mailto:shah.nn@boschrexroth.co.in" TargetMode="External"/><Relationship Id="rId133" Type="http://schemas.openxmlformats.org/officeDocument/2006/relationships/hyperlink" Target="mailto:Sachin.Rathod@burckhardtcompression.com" TargetMode="External"/><Relationship Id="rId154" Type="http://schemas.openxmlformats.org/officeDocument/2006/relationships/hyperlink" Target="mailto:anarkhede@yokohama-oht.com" TargetMode="External"/><Relationship Id="rId175" Type="http://schemas.openxmlformats.org/officeDocument/2006/relationships/hyperlink" Target="mailto:Vinodkumar_prajapati@intaspharma.com" TargetMode="External"/><Relationship Id="rId196" Type="http://schemas.openxmlformats.org/officeDocument/2006/relationships/hyperlink" Target="mailto:Niteshkumar.PATEL@dsm-firmenich.com" TargetMode="External"/><Relationship Id="rId200" Type="http://schemas.openxmlformats.org/officeDocument/2006/relationships/vmlDrawing" Target="../drawings/vmlDrawing4.vml"/><Relationship Id="rId16" Type="http://schemas.openxmlformats.org/officeDocument/2006/relationships/hyperlink" Target="mailto:Biresh.Banerjee@khs.com" TargetMode="External"/><Relationship Id="rId37" Type="http://schemas.openxmlformats.org/officeDocument/2006/relationships/hyperlink" Target="mailto:Rajev.Jain@viatris.com" TargetMode="External"/><Relationship Id="rId58" Type="http://schemas.openxmlformats.org/officeDocument/2006/relationships/hyperlink" Target="mailto:Sunil.kumar@securemeters.com" TargetMode="External"/><Relationship Id="rId79" Type="http://schemas.openxmlformats.org/officeDocument/2006/relationships/hyperlink" Target="mailto:utility@prasadgroup.com" TargetMode="External"/><Relationship Id="rId102" Type="http://schemas.openxmlformats.org/officeDocument/2006/relationships/hyperlink" Target="mailto:Suryakant.Tyagi@Polycab.com" TargetMode="External"/><Relationship Id="rId123" Type="http://schemas.openxmlformats.org/officeDocument/2006/relationships/hyperlink" Target="mailto:shahjgn@schaeffler.com" TargetMode="External"/><Relationship Id="rId144" Type="http://schemas.openxmlformats.org/officeDocument/2006/relationships/hyperlink" Target="mailto:gjsoni@elecon.com" TargetMode="External"/><Relationship Id="rId90" Type="http://schemas.openxmlformats.org/officeDocument/2006/relationships/hyperlink" Target="mailto:Kalpesh_Panchal@milacron.com" TargetMode="External"/><Relationship Id="rId165" Type="http://schemas.openxmlformats.org/officeDocument/2006/relationships/hyperlink" Target="mailto:piyushk_parmar@intaspharma.com" TargetMode="External"/><Relationship Id="rId186" Type="http://schemas.openxmlformats.org/officeDocument/2006/relationships/hyperlink" Target="mailto:Kalpesh_Panchal@milacron.com" TargetMode="External"/><Relationship Id="rId27" Type="http://schemas.openxmlformats.org/officeDocument/2006/relationships/hyperlink" Target="mailto:ankavta@truetzschler.in" TargetMode="External"/><Relationship Id="rId48" Type="http://schemas.openxmlformats.org/officeDocument/2006/relationships/hyperlink" Target="mailto:Madan.Singh@Securemeters.Com" TargetMode="External"/><Relationship Id="rId69" Type="http://schemas.openxmlformats.org/officeDocument/2006/relationships/hyperlink" Target="mailto:Arvind.Pardeshi@gevernova.com" TargetMode="External"/><Relationship Id="rId113" Type="http://schemas.openxmlformats.org/officeDocument/2006/relationships/hyperlink" Target="mailto:shah.nn@boschrexroth.co.in" TargetMode="External"/><Relationship Id="rId134" Type="http://schemas.openxmlformats.org/officeDocument/2006/relationships/hyperlink" Target="mailto:maintedept-1@inductothermindia.com" TargetMode="External"/><Relationship Id="rId80" Type="http://schemas.openxmlformats.org/officeDocument/2006/relationships/hyperlink" Target="mailto:shahjgn@schaeffler.com" TargetMode="External"/><Relationship Id="rId155" Type="http://schemas.openxmlformats.org/officeDocument/2006/relationships/hyperlink" Target="mailto:vkthakar@eimcoelecon.in" TargetMode="External"/><Relationship Id="rId176" Type="http://schemas.openxmlformats.org/officeDocument/2006/relationships/hyperlink" Target="mailto:Vinodkumar_prajapati@intaspharma.com" TargetMode="External"/><Relationship Id="rId197" Type="http://schemas.openxmlformats.org/officeDocument/2006/relationships/hyperlink" Target="mailto:mverma@forcemotors.com" TargetMode="External"/><Relationship Id="rId201" Type="http://schemas.openxmlformats.org/officeDocument/2006/relationships/table" Target="../tables/table4.xml"/><Relationship Id="rId17" Type="http://schemas.openxmlformats.org/officeDocument/2006/relationships/hyperlink" Target="mailto:Biresh.Banerjee@khs.com" TargetMode="External"/><Relationship Id="rId38" Type="http://schemas.openxmlformats.org/officeDocument/2006/relationships/hyperlink" Target="mailto:Rajev.Jain@viatris.com" TargetMode="External"/><Relationship Id="rId59" Type="http://schemas.openxmlformats.org/officeDocument/2006/relationships/hyperlink" Target="mailto:Sunil.kumar@securemeters.com" TargetMode="External"/><Relationship Id="rId103" Type="http://schemas.openxmlformats.org/officeDocument/2006/relationships/hyperlink" Target="mailto:Hirenkumar.Patel@kbl.co.in" TargetMode="External"/><Relationship Id="rId124" Type="http://schemas.openxmlformats.org/officeDocument/2006/relationships/hyperlink" Target="mailto:utility@prasadgroup.com" TargetMode="External"/><Relationship Id="rId70" Type="http://schemas.openxmlformats.org/officeDocument/2006/relationships/hyperlink" Target="mailto:maintedept-1@inductothermindia.com" TargetMode="External"/><Relationship Id="rId91" Type="http://schemas.openxmlformats.org/officeDocument/2006/relationships/hyperlink" Target="mailto:Kalpesh_Panchal@milacron.com" TargetMode="External"/><Relationship Id="rId145" Type="http://schemas.openxmlformats.org/officeDocument/2006/relationships/hyperlink" Target="mailto:adi.pandey@in.abb.com" TargetMode="External"/><Relationship Id="rId166" Type="http://schemas.openxmlformats.org/officeDocument/2006/relationships/hyperlink" Target="mailto:jaikoindustries2011@gmail.com" TargetMode="External"/><Relationship Id="rId187" Type="http://schemas.openxmlformats.org/officeDocument/2006/relationships/hyperlink" Target="mailto:Kalpesh_Panchal@milacron.com" TargetMode="External"/><Relationship Id="rId1" Type="http://schemas.openxmlformats.org/officeDocument/2006/relationships/hyperlink" Target="mailto:krunal.patel@kolsitegroup.com" TargetMode="External"/><Relationship Id="rId28" Type="http://schemas.openxmlformats.org/officeDocument/2006/relationships/hyperlink" Target="mailto:prasanna.manogaran@fermator.com" TargetMode="External"/><Relationship Id="rId49" Type="http://schemas.openxmlformats.org/officeDocument/2006/relationships/hyperlink" Target="mailto:Madan.Singh@Securemeters.Com" TargetMode="External"/><Relationship Id="rId114" Type="http://schemas.openxmlformats.org/officeDocument/2006/relationships/hyperlink" Target="mailto:shah.nn@boschrexroth.co.in" TargetMode="External"/><Relationship Id="rId60" Type="http://schemas.openxmlformats.org/officeDocument/2006/relationships/hyperlink" Target="mailto:Dharmendra.yadav@securemeters.com" TargetMode="External"/><Relationship Id="rId81" Type="http://schemas.openxmlformats.org/officeDocument/2006/relationships/hyperlink" Target="mailto:maintenance.sanand@bhavani.co.in" TargetMode="External"/><Relationship Id="rId135" Type="http://schemas.openxmlformats.org/officeDocument/2006/relationships/hyperlink" Target="mailto:Rajev.Jain@viatris.com" TargetMode="External"/><Relationship Id="rId156" Type="http://schemas.openxmlformats.org/officeDocument/2006/relationships/hyperlink" Target="mailto:vkthakar@eimcoelecon.in" TargetMode="External"/><Relationship Id="rId177" Type="http://schemas.openxmlformats.org/officeDocument/2006/relationships/hyperlink" Target="mailto:Vinodkumar_prajapati@intaspharma.com" TargetMode="External"/><Relationship Id="rId198" Type="http://schemas.openxmlformats.org/officeDocument/2006/relationships/hyperlink" Target="mailto:gjsoni@elecon.com" TargetMode="External"/><Relationship Id="rId202" Type="http://schemas.openxmlformats.org/officeDocument/2006/relationships/comments" Target="../comments3.xml"/><Relationship Id="rId18" Type="http://schemas.openxmlformats.org/officeDocument/2006/relationships/hyperlink" Target="mailto:Biresh.Banerjee@khs.com" TargetMode="External"/><Relationship Id="rId39" Type="http://schemas.openxmlformats.org/officeDocument/2006/relationships/hyperlink" Target="mailto:Rajev.Jain@viatris.com" TargetMode="External"/><Relationship Id="rId50" Type="http://schemas.openxmlformats.org/officeDocument/2006/relationships/hyperlink" Target="mailto:Madan.Singh@Securemeters.Com" TargetMode="External"/><Relationship Id="rId104" Type="http://schemas.openxmlformats.org/officeDocument/2006/relationships/hyperlink" Target="mailto:nikhil.chitnis@siemensenergy.com" TargetMode="External"/><Relationship Id="rId125" Type="http://schemas.openxmlformats.org/officeDocument/2006/relationships/hyperlink" Target="mailto:gjsoni@elecon.com" TargetMode="External"/><Relationship Id="rId146" Type="http://schemas.openxmlformats.org/officeDocument/2006/relationships/hyperlink" Target="mailto:adi.pandey@in.abb.com" TargetMode="External"/><Relationship Id="rId167" Type="http://schemas.openxmlformats.org/officeDocument/2006/relationships/hyperlink" Target="mailto:purchase@jpel.in" TargetMode="External"/><Relationship Id="rId188" Type="http://schemas.openxmlformats.org/officeDocument/2006/relationships/hyperlink" Target="mailto:Biresh.Banerjee@khs.com" TargetMode="External"/><Relationship Id="rId71" Type="http://schemas.openxmlformats.org/officeDocument/2006/relationships/hyperlink" Target="mailto:maintedept-1@inductothermindia.com" TargetMode="External"/><Relationship Id="rId92" Type="http://schemas.openxmlformats.org/officeDocument/2006/relationships/hyperlink" Target="mailto:Kalpesh_Panchal@milacron.co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muralidharanm@bel.co.in" TargetMode="External"/><Relationship Id="rId21" Type="http://schemas.openxmlformats.org/officeDocument/2006/relationships/hyperlink" Target="mailto:kirankumar@autoaxle.com" TargetMode="External"/><Relationship Id="rId42" Type="http://schemas.openxmlformats.org/officeDocument/2006/relationships/hyperlink" Target="mailto:apoorvnema@bel.co.in" TargetMode="External"/><Relationship Id="rId47" Type="http://schemas.openxmlformats.org/officeDocument/2006/relationships/hyperlink" Target="mailto:Karthik.Subbarayalu@rotork.com" TargetMode="External"/><Relationship Id="rId63" Type="http://schemas.openxmlformats.org/officeDocument/2006/relationships/hyperlink" Target="mailto:Karthik.Subbarayalu@rotork.com" TargetMode="External"/><Relationship Id="rId68" Type="http://schemas.openxmlformats.org/officeDocument/2006/relationships/table" Target="../tables/table5.xml"/><Relationship Id="rId7" Type="http://schemas.openxmlformats.org/officeDocument/2006/relationships/hyperlink" Target="mailto:samuelmj@cumi.murugappa.com" TargetMode="External"/><Relationship Id="rId2" Type="http://schemas.openxmlformats.org/officeDocument/2006/relationships/hyperlink" Target="mailto:gopi.deshapande@honda2wheelersindia.com" TargetMode="External"/><Relationship Id="rId16" Type="http://schemas.openxmlformats.org/officeDocument/2006/relationships/hyperlink" Target="mailto:kirankumar@autoaxle.com" TargetMode="External"/><Relationship Id="rId29" Type="http://schemas.openxmlformats.org/officeDocument/2006/relationships/hyperlink" Target="mailto:Shivaram.V@honda.hmsi.in" TargetMode="External"/><Relationship Id="rId11" Type="http://schemas.openxmlformats.org/officeDocument/2006/relationships/hyperlink" Target="mailto:sureshpn@bel.co.in" TargetMode="External"/><Relationship Id="rId24" Type="http://schemas.openxmlformats.org/officeDocument/2006/relationships/hyperlink" Target="mailto:shashikumar.s@honda2wheelersindia.com" TargetMode="External"/><Relationship Id="rId32" Type="http://schemas.openxmlformats.org/officeDocument/2006/relationships/hyperlink" Target="mailto:gatigennavar@pragatibelgaum.co.in" TargetMode="External"/><Relationship Id="rId37" Type="http://schemas.openxmlformats.org/officeDocument/2006/relationships/hyperlink" Target="mailto:BALASUBRAMANIAN1.S@TITAN.CO.IN" TargetMode="External"/><Relationship Id="rId40" Type="http://schemas.openxmlformats.org/officeDocument/2006/relationships/hyperlink" Target="mailto:rakesh.m@honda.hmsi.in" TargetMode="External"/><Relationship Id="rId45" Type="http://schemas.openxmlformats.org/officeDocument/2006/relationships/hyperlink" Target="mailto:selvakumar.r@iampl.co.in" TargetMode="External"/><Relationship Id="rId53" Type="http://schemas.openxmlformats.org/officeDocument/2006/relationships/hyperlink" Target="mailto:shivanandarajur@bel.co.in" TargetMode="External"/><Relationship Id="rId58" Type="http://schemas.openxmlformats.org/officeDocument/2006/relationships/hyperlink" Target="mailto:govinjis@schaeffler.com%20&#183;" TargetMode="External"/><Relationship Id="rId66" Type="http://schemas.openxmlformats.org/officeDocument/2006/relationships/printerSettings" Target="../printerSettings/printerSettings6.bin"/><Relationship Id="rId5" Type="http://schemas.openxmlformats.org/officeDocument/2006/relationships/hyperlink" Target="mailto:selvakumar@titan.co.in" TargetMode="External"/><Relationship Id="rId61" Type="http://schemas.openxmlformats.org/officeDocument/2006/relationships/hyperlink" Target="mailto:P.Ganesh@honda.hmsi.in" TargetMode="External"/><Relationship Id="rId19" Type="http://schemas.openxmlformats.org/officeDocument/2006/relationships/hyperlink" Target="mailto:kirankumar@autoaxle.com" TargetMode="External"/><Relationship Id="rId14" Type="http://schemas.openxmlformats.org/officeDocument/2006/relationships/hyperlink" Target="mailto:kirankumar@autoaxle.com" TargetMode="External"/><Relationship Id="rId22" Type="http://schemas.openxmlformats.org/officeDocument/2006/relationships/hyperlink" Target="mailto:kirankumar@autoaxle.com" TargetMode="External"/><Relationship Id="rId27" Type="http://schemas.openxmlformats.org/officeDocument/2006/relationships/hyperlink" Target="mailto:muralidharanm@bel.co.in" TargetMode="External"/><Relationship Id="rId30" Type="http://schemas.openxmlformats.org/officeDocument/2006/relationships/hyperlink" Target="mailto:gangegowda_dn@sansera.in" TargetMode="External"/><Relationship Id="rId35" Type="http://schemas.openxmlformats.org/officeDocument/2006/relationships/hyperlink" Target="mailto:amitava@bel.co.in" TargetMode="External"/><Relationship Id="rId43" Type="http://schemas.openxmlformats.org/officeDocument/2006/relationships/hyperlink" Target="mailto:msrajanikanth@tataadvancedsystems.com" TargetMode="External"/><Relationship Id="rId48" Type="http://schemas.openxmlformats.org/officeDocument/2006/relationships/hyperlink" Target="mailto:shashikumar.s@honda2wheelersindia.com" TargetMode="External"/><Relationship Id="rId56" Type="http://schemas.openxmlformats.org/officeDocument/2006/relationships/hyperlink" Target="mailto:%3cbenjamin.antony@tenneco.com" TargetMode="External"/><Relationship Id="rId64" Type="http://schemas.openxmlformats.org/officeDocument/2006/relationships/hyperlink" Target="mailto:rajkumara.h@honda2wheelersindia.com" TargetMode="External"/><Relationship Id="rId69" Type="http://schemas.openxmlformats.org/officeDocument/2006/relationships/comments" Target="../comments4.xml"/><Relationship Id="rId8" Type="http://schemas.openxmlformats.org/officeDocument/2006/relationships/hyperlink" Target="mailto:gangegowda_dn@sansera.in" TargetMode="External"/><Relationship Id="rId51" Type="http://schemas.openxmlformats.org/officeDocument/2006/relationships/hyperlink" Target="mailto:sathishj@bel.co.in" TargetMode="External"/><Relationship Id="rId3" Type="http://schemas.openxmlformats.org/officeDocument/2006/relationships/hyperlink" Target="mailto:selvakumar.r@iampl.co.in" TargetMode="External"/><Relationship Id="rId12" Type="http://schemas.openxmlformats.org/officeDocument/2006/relationships/hyperlink" Target="mailto:sureshpn@bel.co.in" TargetMode="External"/><Relationship Id="rId17" Type="http://schemas.openxmlformats.org/officeDocument/2006/relationships/hyperlink" Target="mailto:kirankumar@autoaxle.com" TargetMode="External"/><Relationship Id="rId25" Type="http://schemas.openxmlformats.org/officeDocument/2006/relationships/hyperlink" Target="mailto:muralidharanm@bel.co.in" TargetMode="External"/><Relationship Id="rId33" Type="http://schemas.openxmlformats.org/officeDocument/2006/relationships/hyperlink" Target="mailto:amitava@bel.co.in" TargetMode="External"/><Relationship Id="rId38" Type="http://schemas.openxmlformats.org/officeDocument/2006/relationships/hyperlink" Target="mailto:BALASUBRAMANIAN1.S@TITAN.CO.IN" TargetMode="External"/><Relationship Id="rId46" Type="http://schemas.openxmlformats.org/officeDocument/2006/relationships/hyperlink" Target="mailto:balachander.kannabiran@festo.com" TargetMode="External"/><Relationship Id="rId59" Type="http://schemas.openxmlformats.org/officeDocument/2006/relationships/hyperlink" Target="mailto:govinjis@schaeffler.com%20&#183;" TargetMode="External"/><Relationship Id="rId67" Type="http://schemas.openxmlformats.org/officeDocument/2006/relationships/vmlDrawing" Target="../drawings/vmlDrawing5.vml"/><Relationship Id="rId20" Type="http://schemas.openxmlformats.org/officeDocument/2006/relationships/hyperlink" Target="mailto:kirankumar@autoaxle.com" TargetMode="External"/><Relationship Id="rId41" Type="http://schemas.openxmlformats.org/officeDocument/2006/relationships/hyperlink" Target="mailto:rakesh.m@honda.hmsi.in" TargetMode="External"/><Relationship Id="rId54" Type="http://schemas.openxmlformats.org/officeDocument/2006/relationships/hyperlink" Target="mailto:govinjis@schaeffler.com%20&#183;" TargetMode="External"/><Relationship Id="rId62" Type="http://schemas.openxmlformats.org/officeDocument/2006/relationships/hyperlink" Target="mailto:mcsemrej@bel.co.in" TargetMode="External"/><Relationship Id="rId1" Type="http://schemas.openxmlformats.org/officeDocument/2006/relationships/hyperlink" Target="mailto:ganesanmanickam@cumi.murugappa.com" TargetMode="External"/><Relationship Id="rId6" Type="http://schemas.openxmlformats.org/officeDocument/2006/relationships/hyperlink" Target="mailto:selvakumar@titan.co.in" TargetMode="External"/><Relationship Id="rId15" Type="http://schemas.openxmlformats.org/officeDocument/2006/relationships/hyperlink" Target="mailto:kirankumar@autoaxle.com" TargetMode="External"/><Relationship Id="rId23" Type="http://schemas.openxmlformats.org/officeDocument/2006/relationships/hyperlink" Target="mailto:shashikumar.s@honda2wheelersindia.com" TargetMode="External"/><Relationship Id="rId28" Type="http://schemas.openxmlformats.org/officeDocument/2006/relationships/hyperlink" Target="mailto:kirankumar@autoaxle.com" TargetMode="External"/><Relationship Id="rId36" Type="http://schemas.openxmlformats.org/officeDocument/2006/relationships/hyperlink" Target="mailto:BALASUBRAMANIAN1.S@TITAN.CO.IN" TargetMode="External"/><Relationship Id="rId49" Type="http://schemas.openxmlformats.org/officeDocument/2006/relationships/hyperlink" Target="mailto:shashikumar.s@honda2wheelersindia.com" TargetMode="External"/><Relationship Id="rId57" Type="http://schemas.openxmlformats.org/officeDocument/2006/relationships/hyperlink" Target="mailto:narasimha@bilzindia.com" TargetMode="External"/><Relationship Id="rId10" Type="http://schemas.openxmlformats.org/officeDocument/2006/relationships/hyperlink" Target="mailto:jeyaselvan@hal-india.com" TargetMode="External"/><Relationship Id="rId31" Type="http://schemas.openxmlformats.org/officeDocument/2006/relationships/hyperlink" Target="mailto:pkr.jadhav@staubli.com" TargetMode="External"/><Relationship Id="rId44" Type="http://schemas.openxmlformats.org/officeDocument/2006/relationships/hyperlink" Target="mailto:prabhakars@bel.co.in" TargetMode="External"/><Relationship Id="rId52" Type="http://schemas.openxmlformats.org/officeDocument/2006/relationships/hyperlink" Target="mailto:%3cmanivannank@bel.co.in" TargetMode="External"/><Relationship Id="rId60" Type="http://schemas.openxmlformats.org/officeDocument/2006/relationships/hyperlink" Target="mailto:vsaravanan@titan.co.in" TargetMode="External"/><Relationship Id="rId65" Type="http://schemas.openxmlformats.org/officeDocument/2006/relationships/hyperlink" Target="mailto:rajkumara.h@honda2wheelersindia.com" TargetMode="External"/><Relationship Id="rId4" Type="http://schemas.openxmlformats.org/officeDocument/2006/relationships/hyperlink" Target="mailto:narasimha@bilzindia.com" TargetMode="External"/><Relationship Id="rId9" Type="http://schemas.openxmlformats.org/officeDocument/2006/relationships/hyperlink" Target="mailto:gangegowda_dn@sansera.in" TargetMode="External"/><Relationship Id="rId13" Type="http://schemas.openxmlformats.org/officeDocument/2006/relationships/hyperlink" Target="mailto:kirankumar@autoaxle.com" TargetMode="External"/><Relationship Id="rId18" Type="http://schemas.openxmlformats.org/officeDocument/2006/relationships/hyperlink" Target="mailto:kirankumar@autoaxle.com" TargetMode="External"/><Relationship Id="rId39" Type="http://schemas.openxmlformats.org/officeDocument/2006/relationships/hyperlink" Target="mailto:BALASUBRAMANIAN1.S@TITAN.CO.IN" TargetMode="External"/><Relationship Id="rId34" Type="http://schemas.openxmlformats.org/officeDocument/2006/relationships/hyperlink" Target="mailto:amitava@bel.co.in" TargetMode="External"/><Relationship Id="rId50" Type="http://schemas.openxmlformats.org/officeDocument/2006/relationships/hyperlink" Target="mailto:ashikmp@titan.co.in" TargetMode="External"/><Relationship Id="rId55" Type="http://schemas.openxmlformats.org/officeDocument/2006/relationships/hyperlink" Target="mailto:prabhakars@bel.co.in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udayshankar@toyota-kirloskar.co.in" TargetMode="External"/><Relationship Id="rId299" Type="http://schemas.openxmlformats.org/officeDocument/2006/relationships/hyperlink" Target="mailto:amolparchure@bhel.in" TargetMode="External"/><Relationship Id="rId21" Type="http://schemas.openxmlformats.org/officeDocument/2006/relationships/hyperlink" Target="mailto:chetan_kumar@toyota-kirloskar.co.in" TargetMode="External"/><Relationship Id="rId63" Type="http://schemas.openxmlformats.org/officeDocument/2006/relationships/hyperlink" Target="mailto:kackg@kkwindsolutions.com" TargetMode="External"/><Relationship Id="rId159" Type="http://schemas.openxmlformats.org/officeDocument/2006/relationships/hyperlink" Target="mailto:wed-karwar@navy.gov.in" TargetMode="External"/><Relationship Id="rId324" Type="http://schemas.openxmlformats.org/officeDocument/2006/relationships/hyperlink" Target="mailto:vinayaka@pragatiautomation.in" TargetMode="External"/><Relationship Id="rId366" Type="http://schemas.openxmlformats.org/officeDocument/2006/relationships/hyperlink" Target="mailto:Rijo.Abraham@SARTORIUS.com" TargetMode="External"/><Relationship Id="rId170" Type="http://schemas.openxmlformats.org/officeDocument/2006/relationships/hyperlink" Target="mailto:bhoopal@pragatiautomation.in" TargetMode="External"/><Relationship Id="rId226" Type="http://schemas.openxmlformats.org/officeDocument/2006/relationships/hyperlink" Target="mailto:shivajij@bel.co.in" TargetMode="External"/><Relationship Id="rId268" Type="http://schemas.openxmlformats.org/officeDocument/2006/relationships/hyperlink" Target="mailto:avinash.kovvuru@pfizer.com" TargetMode="External"/><Relationship Id="rId32" Type="http://schemas.openxmlformats.org/officeDocument/2006/relationships/hyperlink" Target="mailto:jayaramkc@acedesigners.co.in" TargetMode="External"/><Relationship Id="rId74" Type="http://schemas.openxmlformats.org/officeDocument/2006/relationships/hyperlink" Target="mailto:rakesh.parab@pfizer.com" TargetMode="External"/><Relationship Id="rId128" Type="http://schemas.openxmlformats.org/officeDocument/2006/relationships/hyperlink" Target="mailto:BIKESHKUMAR.VADAKKEDATH@in.bosch.com" TargetMode="External"/><Relationship Id="rId335" Type="http://schemas.openxmlformats.org/officeDocument/2006/relationships/hyperlink" Target="mailto:mythri.shivashankar@in.bosch.com" TargetMode="External"/><Relationship Id="rId377" Type="http://schemas.openxmlformats.org/officeDocument/2006/relationships/table" Target="../tables/table6.xml"/><Relationship Id="rId5" Type="http://schemas.openxmlformats.org/officeDocument/2006/relationships/hyperlink" Target="mailto:Rajesh.m@in.bosch.com" TargetMode="External"/><Relationship Id="rId181" Type="http://schemas.openxmlformats.org/officeDocument/2006/relationships/hyperlink" Target="mailto:Shiva.Sagar@in.bosch.com" TargetMode="External"/><Relationship Id="rId237" Type="http://schemas.openxmlformats.org/officeDocument/2006/relationships/hyperlink" Target="mailto:rajasekhar.nagudu@viatris.com" TargetMode="External"/><Relationship Id="rId279" Type="http://schemas.openxmlformats.org/officeDocument/2006/relationships/hyperlink" Target="mailto:amolparchure@bhel.in" TargetMode="External"/><Relationship Id="rId43" Type="http://schemas.openxmlformats.org/officeDocument/2006/relationships/hyperlink" Target="mailto:jayaramkc@acedesigners.co.in" TargetMode="External"/><Relationship Id="rId139" Type="http://schemas.openxmlformats.org/officeDocument/2006/relationships/hyperlink" Target="mailto:Girish.Chandra2@in.bosch.com" TargetMode="External"/><Relationship Id="rId290" Type="http://schemas.openxmlformats.org/officeDocument/2006/relationships/hyperlink" Target="mailto:amolparchure@bhel.in" TargetMode="External"/><Relationship Id="rId304" Type="http://schemas.openxmlformats.org/officeDocument/2006/relationships/hyperlink" Target="mailto:amolparchure@bhel.in" TargetMode="External"/><Relationship Id="rId346" Type="http://schemas.openxmlformats.org/officeDocument/2006/relationships/hyperlink" Target="mailto:avinash.kovvuru@pfizer.com" TargetMode="External"/><Relationship Id="rId85" Type="http://schemas.openxmlformats.org/officeDocument/2006/relationships/hyperlink" Target="mailto:amolparchure@bhel.in" TargetMode="External"/><Relationship Id="rId150" Type="http://schemas.openxmlformats.org/officeDocument/2006/relationships/hyperlink" Target="mailto:wed-karwar@navy.gov.in" TargetMode="External"/><Relationship Id="rId192" Type="http://schemas.openxmlformats.org/officeDocument/2006/relationships/hyperlink" Target="mailto:Suneel.B@in.bosch.com" TargetMode="External"/><Relationship Id="rId206" Type="http://schemas.openxmlformats.org/officeDocument/2006/relationships/hyperlink" Target="mailto:Ramesh.HL@in.bosch.com" TargetMode="External"/><Relationship Id="rId248" Type="http://schemas.openxmlformats.org/officeDocument/2006/relationships/hyperlink" Target="mailto:karthik.pattapu@technipfmc.com" TargetMode="External"/><Relationship Id="rId12" Type="http://schemas.openxmlformats.org/officeDocument/2006/relationships/hyperlink" Target="mailto:Sukumar.S@in.bosch.com" TargetMode="External"/><Relationship Id="rId108" Type="http://schemas.openxmlformats.org/officeDocument/2006/relationships/hyperlink" Target="mailto:amolparchure@bhel.in" TargetMode="External"/><Relationship Id="rId315" Type="http://schemas.openxmlformats.org/officeDocument/2006/relationships/hyperlink" Target="mailto:girish.chandra2@in.bosch.com" TargetMode="External"/><Relationship Id="rId357" Type="http://schemas.openxmlformats.org/officeDocument/2006/relationships/hyperlink" Target="mailto:Amith.Anand@in.bosch.com" TargetMode="External"/><Relationship Id="rId54" Type="http://schemas.openxmlformats.org/officeDocument/2006/relationships/hyperlink" Target="mailto:sambasiva.rao@sandvik.com" TargetMode="External"/><Relationship Id="rId96" Type="http://schemas.openxmlformats.org/officeDocument/2006/relationships/hyperlink" Target="mailto:amolparchure@bhel.in" TargetMode="External"/><Relationship Id="rId161" Type="http://schemas.openxmlformats.org/officeDocument/2006/relationships/hyperlink" Target="mailto:wed-karwar@navy.gov.in" TargetMode="External"/><Relationship Id="rId217" Type="http://schemas.openxmlformats.org/officeDocument/2006/relationships/hyperlink" Target="mailto:narasimharaop@bel.co.in" TargetMode="External"/><Relationship Id="rId259" Type="http://schemas.openxmlformats.org/officeDocument/2006/relationships/hyperlink" Target="mailto:avinash.kovvuru@pfizer.com" TargetMode="External"/><Relationship Id="rId23" Type="http://schemas.openxmlformats.org/officeDocument/2006/relationships/hyperlink" Target="mailto:bsuresha@bfw.co.in" TargetMode="External"/><Relationship Id="rId119" Type="http://schemas.openxmlformats.org/officeDocument/2006/relationships/hyperlink" Target="mailto:renuka@leos.gov.in%20/%20raghu@leos.gov.in" TargetMode="External"/><Relationship Id="rId270" Type="http://schemas.openxmlformats.org/officeDocument/2006/relationships/hyperlink" Target="mailto:avinash.kovvuru@pfizer.com" TargetMode="External"/><Relationship Id="rId326" Type="http://schemas.openxmlformats.org/officeDocument/2006/relationships/hyperlink" Target="mailto:vinayaka@pragatiautomation.in" TargetMode="External"/><Relationship Id="rId65" Type="http://schemas.openxmlformats.org/officeDocument/2006/relationships/hyperlink" Target="mailto:kackg@kkwindsolutions.com" TargetMode="External"/><Relationship Id="rId130" Type="http://schemas.openxmlformats.org/officeDocument/2006/relationships/hyperlink" Target="mailto:ninawekn@bel.co.in" TargetMode="External"/><Relationship Id="rId368" Type="http://schemas.openxmlformats.org/officeDocument/2006/relationships/hyperlink" Target="mailto:rajeev.banerjee@sandvik.com" TargetMode="External"/><Relationship Id="rId172" Type="http://schemas.openxmlformats.org/officeDocument/2006/relationships/hyperlink" Target="mailto:bhoopal@pragatiautomation.in" TargetMode="External"/><Relationship Id="rId228" Type="http://schemas.openxmlformats.org/officeDocument/2006/relationships/hyperlink" Target="mailto:shivajij@bel.co.in" TargetMode="External"/><Relationship Id="rId281" Type="http://schemas.openxmlformats.org/officeDocument/2006/relationships/hyperlink" Target="mailto:amolparchure@bhel.in" TargetMode="External"/><Relationship Id="rId337" Type="http://schemas.openxmlformats.org/officeDocument/2006/relationships/hyperlink" Target="mailto:kackg@kkwindsolutions.com" TargetMode="External"/><Relationship Id="rId34" Type="http://schemas.openxmlformats.org/officeDocument/2006/relationships/hyperlink" Target="mailto:jayaramkc@acedesigners.co.in" TargetMode="External"/><Relationship Id="rId76" Type="http://schemas.openxmlformats.org/officeDocument/2006/relationships/hyperlink" Target="mailto:amolparchure@bhel.in" TargetMode="External"/><Relationship Id="rId141" Type="http://schemas.openxmlformats.org/officeDocument/2006/relationships/hyperlink" Target="mailto:Anil.Kumawat@in.bosch.com" TargetMode="External"/><Relationship Id="rId7" Type="http://schemas.openxmlformats.org/officeDocument/2006/relationships/hyperlink" Target="mailto:maintenance.peenya@ajax-engg.com" TargetMode="External"/><Relationship Id="rId183" Type="http://schemas.openxmlformats.org/officeDocument/2006/relationships/hyperlink" Target="mailto:Shiva.Sagar@in.bosch.com" TargetMode="External"/><Relationship Id="rId239" Type="http://schemas.openxmlformats.org/officeDocument/2006/relationships/hyperlink" Target="mailto:YadunandanS@toyota-kirloskar.co.in" TargetMode="External"/><Relationship Id="rId250" Type="http://schemas.openxmlformats.org/officeDocument/2006/relationships/hyperlink" Target="mailto:girish.chandra2@in.bosch.com" TargetMode="External"/><Relationship Id="rId292" Type="http://schemas.openxmlformats.org/officeDocument/2006/relationships/hyperlink" Target="mailto:amolparchure@bhel.in" TargetMode="External"/><Relationship Id="rId306" Type="http://schemas.openxmlformats.org/officeDocument/2006/relationships/hyperlink" Target="mailto:amolparchure@bhel.in" TargetMode="External"/><Relationship Id="rId45" Type="http://schemas.openxmlformats.org/officeDocument/2006/relationships/hyperlink" Target="mailto:Mounesha.Badiger@trelleborg.com" TargetMode="External"/><Relationship Id="rId87" Type="http://schemas.openxmlformats.org/officeDocument/2006/relationships/hyperlink" Target="mailto:amolparchure@bhel.in" TargetMode="External"/><Relationship Id="rId110" Type="http://schemas.openxmlformats.org/officeDocument/2006/relationships/hyperlink" Target="mailto:madhusudhans@Amslindia.co.in" TargetMode="External"/><Relationship Id="rId348" Type="http://schemas.openxmlformats.org/officeDocument/2006/relationships/hyperlink" Target="mailto:avinash.kovvuru@pfizer.com" TargetMode="External"/><Relationship Id="rId152" Type="http://schemas.openxmlformats.org/officeDocument/2006/relationships/hyperlink" Target="mailto:wed-karwar@navy.gov.in" TargetMode="External"/><Relationship Id="rId194" Type="http://schemas.openxmlformats.org/officeDocument/2006/relationships/hyperlink" Target="mailto:Suneel.B@in.bosch.com" TargetMode="External"/><Relationship Id="rId208" Type="http://schemas.openxmlformats.org/officeDocument/2006/relationships/hyperlink" Target="mailto:Abdul.razack@in.bosch.com" TargetMode="External"/><Relationship Id="rId261" Type="http://schemas.openxmlformats.org/officeDocument/2006/relationships/hyperlink" Target="mailto:avinash.kovvuru@pfizer.com" TargetMode="External"/><Relationship Id="rId14" Type="http://schemas.openxmlformats.org/officeDocument/2006/relationships/hyperlink" Target="mailto:Sukumar.S@in.bosch.com" TargetMode="External"/><Relationship Id="rId56" Type="http://schemas.openxmlformats.org/officeDocument/2006/relationships/hyperlink" Target="mailto:narasimharaop@bel.co.in" TargetMode="External"/><Relationship Id="rId317" Type="http://schemas.openxmlformats.org/officeDocument/2006/relationships/hyperlink" Target="mailto:vinayaka@pragatiautomation.in" TargetMode="External"/><Relationship Id="rId359" Type="http://schemas.openxmlformats.org/officeDocument/2006/relationships/hyperlink" Target="mailto:AnilKumar.Nettimi@tmeic.in" TargetMode="External"/><Relationship Id="rId98" Type="http://schemas.openxmlformats.org/officeDocument/2006/relationships/hyperlink" Target="mailto:amolparchure@bhel.in" TargetMode="External"/><Relationship Id="rId121" Type="http://schemas.openxmlformats.org/officeDocument/2006/relationships/hyperlink" Target="mailto:Shiva.Malakala@aurobindo.com" TargetMode="External"/><Relationship Id="rId163" Type="http://schemas.openxmlformats.org/officeDocument/2006/relationships/hyperlink" Target="mailto:wed-karwar@navy.gov.in" TargetMode="External"/><Relationship Id="rId219" Type="http://schemas.openxmlformats.org/officeDocument/2006/relationships/hyperlink" Target="mailto:Yogesh.s@SEG-automotive.com" TargetMode="External"/><Relationship Id="rId370" Type="http://schemas.openxmlformats.org/officeDocument/2006/relationships/hyperlink" Target="mailto:rajeev.banerjee@sandvik.com" TargetMode="External"/><Relationship Id="rId230" Type="http://schemas.openxmlformats.org/officeDocument/2006/relationships/hyperlink" Target="mailto:shivajij@bel.co.in" TargetMode="External"/><Relationship Id="rId25" Type="http://schemas.openxmlformats.org/officeDocument/2006/relationships/hyperlink" Target="mailto:rajeev.banerjee@sandvik.com" TargetMode="External"/><Relationship Id="rId67" Type="http://schemas.openxmlformats.org/officeDocument/2006/relationships/hyperlink" Target="mailto:rakesh.parab@pfizer.com" TargetMode="External"/><Relationship Id="rId272" Type="http://schemas.openxmlformats.org/officeDocument/2006/relationships/hyperlink" Target="mailto:avinash.kovvuru@pfizer.com" TargetMode="External"/><Relationship Id="rId328" Type="http://schemas.openxmlformats.org/officeDocument/2006/relationships/hyperlink" Target="mailto:vinayaka@pragatiautomation.in" TargetMode="External"/><Relationship Id="rId132" Type="http://schemas.openxmlformats.org/officeDocument/2006/relationships/hyperlink" Target="mailto:ninawekn@bel.co.in" TargetMode="External"/><Relationship Id="rId174" Type="http://schemas.openxmlformats.org/officeDocument/2006/relationships/hyperlink" Target="mailto:praviirajp@bhel.in" TargetMode="External"/><Relationship Id="rId241" Type="http://schemas.openxmlformats.org/officeDocument/2006/relationships/hyperlink" Target="mailto:Naveena.S@boschrexroth.co.in" TargetMode="External"/><Relationship Id="rId36" Type="http://schemas.openxmlformats.org/officeDocument/2006/relationships/hyperlink" Target="mailto:Rijo.Abraham@SARTORIUS.com" TargetMode="External"/><Relationship Id="rId283" Type="http://schemas.openxmlformats.org/officeDocument/2006/relationships/hyperlink" Target="mailto:amolparchure@bhel.in" TargetMode="External"/><Relationship Id="rId339" Type="http://schemas.openxmlformats.org/officeDocument/2006/relationships/hyperlink" Target="mailto:Mounesha.Badiger@trelleborg.com" TargetMode="External"/><Relationship Id="rId78" Type="http://schemas.openxmlformats.org/officeDocument/2006/relationships/hyperlink" Target="mailto:amolparchure@bhel.in" TargetMode="External"/><Relationship Id="rId101" Type="http://schemas.openxmlformats.org/officeDocument/2006/relationships/hyperlink" Target="mailto:amolparchure@bhel.in" TargetMode="External"/><Relationship Id="rId143" Type="http://schemas.openxmlformats.org/officeDocument/2006/relationships/hyperlink" Target="mailto:Mounesha.Badiger@trelleborg.com" TargetMode="External"/><Relationship Id="rId185" Type="http://schemas.openxmlformats.org/officeDocument/2006/relationships/hyperlink" Target="mailto:Chetan.Rane@syntegon.com" TargetMode="External"/><Relationship Id="rId350" Type="http://schemas.openxmlformats.org/officeDocument/2006/relationships/hyperlink" Target="mailto:avinash.kovvuru@pfizer.com" TargetMode="External"/><Relationship Id="rId9" Type="http://schemas.openxmlformats.org/officeDocument/2006/relationships/hyperlink" Target="mailto:praviirajp@bhel.in" TargetMode="External"/><Relationship Id="rId210" Type="http://schemas.openxmlformats.org/officeDocument/2006/relationships/hyperlink" Target="mailto:Rajesh.m@in.bosch.com" TargetMode="External"/><Relationship Id="rId26" Type="http://schemas.openxmlformats.org/officeDocument/2006/relationships/hyperlink" Target="mailto:rajeev.banerjee@sandvik.com" TargetMode="External"/><Relationship Id="rId231" Type="http://schemas.openxmlformats.org/officeDocument/2006/relationships/hyperlink" Target="mailto:shivajij@bel.co.in" TargetMode="External"/><Relationship Id="rId252" Type="http://schemas.openxmlformats.org/officeDocument/2006/relationships/hyperlink" Target="mailto:Shashikumar.VN@in.bosch.com" TargetMode="External"/><Relationship Id="rId273" Type="http://schemas.openxmlformats.org/officeDocument/2006/relationships/hyperlink" Target="mailto:Anitha.Nagasundara@SARTORIUS.com" TargetMode="External"/><Relationship Id="rId294" Type="http://schemas.openxmlformats.org/officeDocument/2006/relationships/hyperlink" Target="mailto:amolparchure@bhel.in" TargetMode="External"/><Relationship Id="rId308" Type="http://schemas.openxmlformats.org/officeDocument/2006/relationships/hyperlink" Target="mailto:amolparchure@bhel.in" TargetMode="External"/><Relationship Id="rId329" Type="http://schemas.openxmlformats.org/officeDocument/2006/relationships/hyperlink" Target="mailto:vinayaka@pragatiautomation.in" TargetMode="External"/><Relationship Id="rId47" Type="http://schemas.openxmlformats.org/officeDocument/2006/relationships/hyperlink" Target="mailto:AnilKumar.Nettimi@tmeic.in" TargetMode="External"/><Relationship Id="rId68" Type="http://schemas.openxmlformats.org/officeDocument/2006/relationships/hyperlink" Target="mailto:rakesh.parab@pfizer.com" TargetMode="External"/><Relationship Id="rId89" Type="http://schemas.openxmlformats.org/officeDocument/2006/relationships/hyperlink" Target="mailto:amolparchure@bhel.in" TargetMode="External"/><Relationship Id="rId112" Type="http://schemas.openxmlformats.org/officeDocument/2006/relationships/hyperlink" Target="mailto:renuka@leos.gov.in%20/%20raghu@leos.gov.in" TargetMode="External"/><Relationship Id="rId133" Type="http://schemas.openxmlformats.org/officeDocument/2006/relationships/hyperlink" Target="mailto:amolparchure@bhel.in" TargetMode="External"/><Relationship Id="rId154" Type="http://schemas.openxmlformats.org/officeDocument/2006/relationships/hyperlink" Target="mailto:wed-karwar@navy.gov.in" TargetMode="External"/><Relationship Id="rId175" Type="http://schemas.openxmlformats.org/officeDocument/2006/relationships/hyperlink" Target="mailto:Ashok.MK@in.bosch.com" TargetMode="External"/><Relationship Id="rId340" Type="http://schemas.openxmlformats.org/officeDocument/2006/relationships/hyperlink" Target="mailto:yogesh.s@seg-automotive.com" TargetMode="External"/><Relationship Id="rId361" Type="http://schemas.openxmlformats.org/officeDocument/2006/relationships/hyperlink" Target="mailto:Naveena.S@boschrexroth.co.in" TargetMode="External"/><Relationship Id="rId196" Type="http://schemas.openxmlformats.org/officeDocument/2006/relationships/hyperlink" Target="mailto:Suneel.B@in.bosch.com" TargetMode="External"/><Relationship Id="rId200" Type="http://schemas.openxmlformats.org/officeDocument/2006/relationships/hyperlink" Target="mailto:Suneel.B@in.bosch.com" TargetMode="External"/><Relationship Id="rId16" Type="http://schemas.openxmlformats.org/officeDocument/2006/relationships/hyperlink" Target="mailto:Amith.Anand@in.bosch.com" TargetMode="External"/><Relationship Id="rId221" Type="http://schemas.openxmlformats.org/officeDocument/2006/relationships/hyperlink" Target="mailto:Yogesh.s@SEG-automotive.com" TargetMode="External"/><Relationship Id="rId242" Type="http://schemas.openxmlformats.org/officeDocument/2006/relationships/hyperlink" Target="mailto:Naveena.S@boschrexroth.co.in" TargetMode="External"/><Relationship Id="rId263" Type="http://schemas.openxmlformats.org/officeDocument/2006/relationships/hyperlink" Target="mailto:avinash.kovvuru@pfizer.com" TargetMode="External"/><Relationship Id="rId284" Type="http://schemas.openxmlformats.org/officeDocument/2006/relationships/hyperlink" Target="mailto:amolparchure@bhel.in" TargetMode="External"/><Relationship Id="rId319" Type="http://schemas.openxmlformats.org/officeDocument/2006/relationships/hyperlink" Target="mailto:vinayaka@pragatiautomation.in" TargetMode="External"/><Relationship Id="rId37" Type="http://schemas.openxmlformats.org/officeDocument/2006/relationships/hyperlink" Target="mailto:Rijo.Abraham@SARTORIUS.com" TargetMode="External"/><Relationship Id="rId58" Type="http://schemas.openxmlformats.org/officeDocument/2006/relationships/hyperlink" Target="mailto:narasimharaop@bel.co.in" TargetMode="External"/><Relationship Id="rId79" Type="http://schemas.openxmlformats.org/officeDocument/2006/relationships/hyperlink" Target="mailto:amolparchure@bhel.in" TargetMode="External"/><Relationship Id="rId102" Type="http://schemas.openxmlformats.org/officeDocument/2006/relationships/hyperlink" Target="mailto:amolparchure@bhel.in" TargetMode="External"/><Relationship Id="rId123" Type="http://schemas.openxmlformats.org/officeDocument/2006/relationships/hyperlink" Target="mailto:Mounesha.Badiger@trelleborg.com" TargetMode="External"/><Relationship Id="rId144" Type="http://schemas.openxmlformats.org/officeDocument/2006/relationships/hyperlink" Target="mailto:Mounesha.Badiger@trelleborg.com" TargetMode="External"/><Relationship Id="rId330" Type="http://schemas.openxmlformats.org/officeDocument/2006/relationships/hyperlink" Target="mailto:rijo.abraham@sartorius.com" TargetMode="External"/><Relationship Id="rId90" Type="http://schemas.openxmlformats.org/officeDocument/2006/relationships/hyperlink" Target="mailto:amolparchure@bhel.in" TargetMode="External"/><Relationship Id="rId165" Type="http://schemas.openxmlformats.org/officeDocument/2006/relationships/hyperlink" Target="mailto:wed-karwar@navy.gov.in" TargetMode="External"/><Relationship Id="rId186" Type="http://schemas.openxmlformats.org/officeDocument/2006/relationships/hyperlink" Target="mailto:Chetan.Rane@syntegon.com" TargetMode="External"/><Relationship Id="rId351" Type="http://schemas.openxmlformats.org/officeDocument/2006/relationships/hyperlink" Target="mailto:Rajas.keshkamat@teva.co.in" TargetMode="External"/><Relationship Id="rId372" Type="http://schemas.openxmlformats.org/officeDocument/2006/relationships/hyperlink" Target="mailto:phaneendranadh.chintala@viatris.com" TargetMode="External"/><Relationship Id="rId211" Type="http://schemas.openxmlformats.org/officeDocument/2006/relationships/hyperlink" Target="mailto:Irappa.Uppar@in.bosch.com" TargetMode="External"/><Relationship Id="rId232" Type="http://schemas.openxmlformats.org/officeDocument/2006/relationships/hyperlink" Target="mailto:raghu.n2@in.abb.com" TargetMode="External"/><Relationship Id="rId253" Type="http://schemas.openxmlformats.org/officeDocument/2006/relationships/hyperlink" Target="mailto:Shashikumar.VN@in.bosch.com" TargetMode="External"/><Relationship Id="rId274" Type="http://schemas.openxmlformats.org/officeDocument/2006/relationships/hyperlink" Target="mailto:ninawekn@bel.co.in" TargetMode="External"/><Relationship Id="rId295" Type="http://schemas.openxmlformats.org/officeDocument/2006/relationships/hyperlink" Target="mailto:amolparchure@bhel.in" TargetMode="External"/><Relationship Id="rId309" Type="http://schemas.openxmlformats.org/officeDocument/2006/relationships/hyperlink" Target="mailto:amolparchure@bhel.in" TargetMode="External"/><Relationship Id="rId27" Type="http://schemas.openxmlformats.org/officeDocument/2006/relationships/hyperlink" Target="mailto:rajeev.banerjee@sandvik.com" TargetMode="External"/><Relationship Id="rId48" Type="http://schemas.openxmlformats.org/officeDocument/2006/relationships/hyperlink" Target="mailto:raghu.n2@in.abb.com" TargetMode="External"/><Relationship Id="rId69" Type="http://schemas.openxmlformats.org/officeDocument/2006/relationships/hyperlink" Target="mailto:rakesh.parab@pfizer.com" TargetMode="External"/><Relationship Id="rId113" Type="http://schemas.openxmlformats.org/officeDocument/2006/relationships/hyperlink" Target="mailto:renuka@leos.gov.in%20/%20raghu@leos.gov.in" TargetMode="External"/><Relationship Id="rId134" Type="http://schemas.openxmlformats.org/officeDocument/2006/relationships/hyperlink" Target="mailto:amolparchure@bhel.in" TargetMode="External"/><Relationship Id="rId320" Type="http://schemas.openxmlformats.org/officeDocument/2006/relationships/hyperlink" Target="mailto:vinayaka@pragatiautomation.in" TargetMode="External"/><Relationship Id="rId80" Type="http://schemas.openxmlformats.org/officeDocument/2006/relationships/hyperlink" Target="mailto:amolparchure@bhel.in" TargetMode="External"/><Relationship Id="rId155" Type="http://schemas.openxmlformats.org/officeDocument/2006/relationships/hyperlink" Target="mailto:wed-karwar@navy.gov.in" TargetMode="External"/><Relationship Id="rId176" Type="http://schemas.openxmlformats.org/officeDocument/2006/relationships/hyperlink" Target="mailto:Shebin.Dharmaraj@in.bosch.com" TargetMode="External"/><Relationship Id="rId197" Type="http://schemas.openxmlformats.org/officeDocument/2006/relationships/hyperlink" Target="mailto:Suneel.B@in.bosch.com" TargetMode="External"/><Relationship Id="rId341" Type="http://schemas.openxmlformats.org/officeDocument/2006/relationships/hyperlink" Target="mailto:balamurali.jagannatha@in.bosch.com" TargetMode="External"/><Relationship Id="rId362" Type="http://schemas.openxmlformats.org/officeDocument/2006/relationships/hyperlink" Target="mailto:Rijo.Abraham@SARTORIUS.com" TargetMode="External"/><Relationship Id="rId201" Type="http://schemas.openxmlformats.org/officeDocument/2006/relationships/hyperlink" Target="mailto:Suneel.B@in.bosch.com" TargetMode="External"/><Relationship Id="rId222" Type="http://schemas.openxmlformats.org/officeDocument/2006/relationships/hyperlink" Target="mailto:Yogesh.s@SEG-automotive.com" TargetMode="External"/><Relationship Id="rId243" Type="http://schemas.openxmlformats.org/officeDocument/2006/relationships/hyperlink" Target="mailto:adhitya.r@hfcl.com" TargetMode="External"/><Relationship Id="rId264" Type="http://schemas.openxmlformats.org/officeDocument/2006/relationships/hyperlink" Target="mailto:avinash.kovvuru@pfizer.com" TargetMode="External"/><Relationship Id="rId285" Type="http://schemas.openxmlformats.org/officeDocument/2006/relationships/hyperlink" Target="mailto:amolparchure@bhel.in" TargetMode="External"/><Relationship Id="rId17" Type="http://schemas.openxmlformats.org/officeDocument/2006/relationships/hyperlink" Target="mailto:Amith.Anand@in.bosch.com" TargetMode="External"/><Relationship Id="rId38" Type="http://schemas.openxmlformats.org/officeDocument/2006/relationships/hyperlink" Target="mailto:Rijo.Abraham@SARTORIUS.com" TargetMode="External"/><Relationship Id="rId59" Type="http://schemas.openxmlformats.org/officeDocument/2006/relationships/hyperlink" Target="mailto:narasimharaop@bel.co.in" TargetMode="External"/><Relationship Id="rId103" Type="http://schemas.openxmlformats.org/officeDocument/2006/relationships/hyperlink" Target="mailto:amolparchure@bhel.in" TargetMode="External"/><Relationship Id="rId124" Type="http://schemas.openxmlformats.org/officeDocument/2006/relationships/hyperlink" Target="mailto:Mounesha.Badiger@trelleborg.com" TargetMode="External"/><Relationship Id="rId310" Type="http://schemas.openxmlformats.org/officeDocument/2006/relationships/hyperlink" Target="mailto:PauravPremanath.Shetty@in.bosch.com" TargetMode="External"/><Relationship Id="rId70" Type="http://schemas.openxmlformats.org/officeDocument/2006/relationships/hyperlink" Target="mailto:rakesh.parab@pfizer.com" TargetMode="External"/><Relationship Id="rId91" Type="http://schemas.openxmlformats.org/officeDocument/2006/relationships/hyperlink" Target="mailto:amolparchure@bhel.in" TargetMode="External"/><Relationship Id="rId145" Type="http://schemas.openxmlformats.org/officeDocument/2006/relationships/hyperlink" Target="mailto:Shiva.Malakala@aurobindo.com" TargetMode="External"/><Relationship Id="rId166" Type="http://schemas.openxmlformats.org/officeDocument/2006/relationships/hyperlink" Target="mailto:wed-karwar@navy.gov.in" TargetMode="External"/><Relationship Id="rId187" Type="http://schemas.openxmlformats.org/officeDocument/2006/relationships/hyperlink" Target="mailto:Chetan.Rane@syntegon.com" TargetMode="External"/><Relationship Id="rId331" Type="http://schemas.openxmlformats.org/officeDocument/2006/relationships/hyperlink" Target="mailto:narasimharaop@bel.co.in" TargetMode="External"/><Relationship Id="rId352" Type="http://schemas.openxmlformats.org/officeDocument/2006/relationships/hyperlink" Target="mailto:Rajas.keshkamat@teva.co.in" TargetMode="External"/><Relationship Id="rId373" Type="http://schemas.openxmlformats.org/officeDocument/2006/relationships/hyperlink" Target="mailto:rajeev.banerjee@sandvik.com" TargetMode="External"/><Relationship Id="rId1" Type="http://schemas.openxmlformats.org/officeDocument/2006/relationships/hyperlink" Target="mailto:mkv@reitzindia.com" TargetMode="External"/><Relationship Id="rId212" Type="http://schemas.openxmlformats.org/officeDocument/2006/relationships/hyperlink" Target="mailto:Shebin.Dharmaraj@in.bosch.com" TargetMode="External"/><Relationship Id="rId233" Type="http://schemas.openxmlformats.org/officeDocument/2006/relationships/hyperlink" Target="mailto:raghu.n2@in.abb.com" TargetMode="External"/><Relationship Id="rId254" Type="http://schemas.openxmlformats.org/officeDocument/2006/relationships/hyperlink" Target="mailto:avinash.kovvuru@pfizer.com" TargetMode="External"/><Relationship Id="rId28" Type="http://schemas.openxmlformats.org/officeDocument/2006/relationships/hyperlink" Target="mailto:rajeev.banerjee@sandvik.com" TargetMode="External"/><Relationship Id="rId49" Type="http://schemas.openxmlformats.org/officeDocument/2006/relationships/hyperlink" Target="mailto:planning@precisionmouldtech.com" TargetMode="External"/><Relationship Id="rId114" Type="http://schemas.openxmlformats.org/officeDocument/2006/relationships/hyperlink" Target="mailto:udayshankar@toyota-kirloskar.co.in" TargetMode="External"/><Relationship Id="rId275" Type="http://schemas.openxmlformats.org/officeDocument/2006/relationships/hyperlink" Target="mailto:rajeev.banerjee@sandvik.com" TargetMode="External"/><Relationship Id="rId296" Type="http://schemas.openxmlformats.org/officeDocument/2006/relationships/hyperlink" Target="mailto:amolparchure@bhel.in" TargetMode="External"/><Relationship Id="rId300" Type="http://schemas.openxmlformats.org/officeDocument/2006/relationships/hyperlink" Target="mailto:amolparchure@bhel.in" TargetMode="External"/><Relationship Id="rId60" Type="http://schemas.openxmlformats.org/officeDocument/2006/relationships/hyperlink" Target="mailto:narasimharaop@bel.co.in" TargetMode="External"/><Relationship Id="rId81" Type="http://schemas.openxmlformats.org/officeDocument/2006/relationships/hyperlink" Target="mailto:amolparchure@bhel.in" TargetMode="External"/><Relationship Id="rId135" Type="http://schemas.openxmlformats.org/officeDocument/2006/relationships/hyperlink" Target="mailto:Guruprasad.Shenoy@boschrexroth.co.in" TargetMode="External"/><Relationship Id="rId156" Type="http://schemas.openxmlformats.org/officeDocument/2006/relationships/hyperlink" Target="mailto:wed-karwar@navy.gov.in" TargetMode="External"/><Relationship Id="rId177" Type="http://schemas.openxmlformats.org/officeDocument/2006/relationships/hyperlink" Target="mailto:amolparchure@bhel.in" TargetMode="External"/><Relationship Id="rId198" Type="http://schemas.openxmlformats.org/officeDocument/2006/relationships/hyperlink" Target="mailto:Suneel.B@in.bosch.com" TargetMode="External"/><Relationship Id="rId321" Type="http://schemas.openxmlformats.org/officeDocument/2006/relationships/hyperlink" Target="mailto:vinayaka@pragatiautomation.in" TargetMode="External"/><Relationship Id="rId342" Type="http://schemas.openxmlformats.org/officeDocument/2006/relationships/hyperlink" Target="mailto:avinash.kovvuru@pfizer.com" TargetMode="External"/><Relationship Id="rId363" Type="http://schemas.openxmlformats.org/officeDocument/2006/relationships/hyperlink" Target="mailto:Rijo.Abraham@SARTORIUS.com" TargetMode="External"/><Relationship Id="rId202" Type="http://schemas.openxmlformats.org/officeDocument/2006/relationships/hyperlink" Target="mailto:Suneel.B@in.bosch.com" TargetMode="External"/><Relationship Id="rId223" Type="http://schemas.openxmlformats.org/officeDocument/2006/relationships/hyperlink" Target="mailto:shivajij@bel.co.in" TargetMode="External"/><Relationship Id="rId244" Type="http://schemas.openxmlformats.org/officeDocument/2006/relationships/hyperlink" Target="mailto:adhitya.r@hfcl.com" TargetMode="External"/><Relationship Id="rId18" Type="http://schemas.openxmlformats.org/officeDocument/2006/relationships/hyperlink" Target="mailto:shivajij@bel.co.in" TargetMode="External"/><Relationship Id="rId39" Type="http://schemas.openxmlformats.org/officeDocument/2006/relationships/hyperlink" Target="mailto:Rijo.Abraham@SARTORIUS.com" TargetMode="External"/><Relationship Id="rId265" Type="http://schemas.openxmlformats.org/officeDocument/2006/relationships/hyperlink" Target="mailto:avinash.kovvuru@pfizer.com" TargetMode="External"/><Relationship Id="rId286" Type="http://schemas.openxmlformats.org/officeDocument/2006/relationships/hyperlink" Target="mailto:amolparchure@bhel.in" TargetMode="External"/><Relationship Id="rId50" Type="http://schemas.openxmlformats.org/officeDocument/2006/relationships/hyperlink" Target="mailto:raghu.n2@in.abb.com" TargetMode="External"/><Relationship Id="rId104" Type="http://schemas.openxmlformats.org/officeDocument/2006/relationships/hyperlink" Target="mailto:amolparchure@bhel.in" TargetMode="External"/><Relationship Id="rId125" Type="http://schemas.openxmlformats.org/officeDocument/2006/relationships/hyperlink" Target="mailto:Mounesha.Badiger@trelleborg.com" TargetMode="External"/><Relationship Id="rId146" Type="http://schemas.openxmlformats.org/officeDocument/2006/relationships/hyperlink" Target="mailto:Shiva.Malakala@aurobindo.com" TargetMode="External"/><Relationship Id="rId167" Type="http://schemas.openxmlformats.org/officeDocument/2006/relationships/hyperlink" Target="mailto:bhoopal@pragatiautomation.in" TargetMode="External"/><Relationship Id="rId188" Type="http://schemas.openxmlformats.org/officeDocument/2006/relationships/hyperlink" Target="mailto:Chetan.Rane@syntegon.com" TargetMode="External"/><Relationship Id="rId311" Type="http://schemas.openxmlformats.org/officeDocument/2006/relationships/hyperlink" Target="mailto:amolparchure@bhel.in" TargetMode="External"/><Relationship Id="rId332" Type="http://schemas.openxmlformats.org/officeDocument/2006/relationships/hyperlink" Target="mailto:madhusudhans@Amslindia.co.in" TargetMode="External"/><Relationship Id="rId353" Type="http://schemas.openxmlformats.org/officeDocument/2006/relationships/hyperlink" Target="mailto:bsuresha@bfw.co.in" TargetMode="External"/><Relationship Id="rId374" Type="http://schemas.openxmlformats.org/officeDocument/2006/relationships/hyperlink" Target="mailto:AnilKumar.Nettimi@tmeic.in" TargetMode="External"/><Relationship Id="rId71" Type="http://schemas.openxmlformats.org/officeDocument/2006/relationships/hyperlink" Target="mailto:rakesh.parab@pfizer.com" TargetMode="External"/><Relationship Id="rId92" Type="http://schemas.openxmlformats.org/officeDocument/2006/relationships/hyperlink" Target="mailto:amolparchure@bhel.in" TargetMode="External"/><Relationship Id="rId213" Type="http://schemas.openxmlformats.org/officeDocument/2006/relationships/hyperlink" Target="mailto:narasimharaop@bel.co.in" TargetMode="External"/><Relationship Id="rId234" Type="http://schemas.openxmlformats.org/officeDocument/2006/relationships/hyperlink" Target="mailto:&#160;Balamurali.Jagannatha@in.bosch.com" TargetMode="External"/><Relationship Id="rId2" Type="http://schemas.openxmlformats.org/officeDocument/2006/relationships/hyperlink" Target="mailto:amolparchure@bhel.in" TargetMode="External"/><Relationship Id="rId29" Type="http://schemas.openxmlformats.org/officeDocument/2006/relationships/hyperlink" Target="mailto:rajeev.banerjee@sandvik.com" TargetMode="External"/><Relationship Id="rId255" Type="http://schemas.openxmlformats.org/officeDocument/2006/relationships/hyperlink" Target="mailto:avinash.kovvuru@pfizer.com" TargetMode="External"/><Relationship Id="rId276" Type="http://schemas.openxmlformats.org/officeDocument/2006/relationships/hyperlink" Target="mailto:amolparchure@bhel.in" TargetMode="External"/><Relationship Id="rId297" Type="http://schemas.openxmlformats.org/officeDocument/2006/relationships/hyperlink" Target="mailto:amolparchure@bhel.in" TargetMode="External"/><Relationship Id="rId40" Type="http://schemas.openxmlformats.org/officeDocument/2006/relationships/hyperlink" Target="mailto:Rijo.Abraham@SARTORIUS.com" TargetMode="External"/><Relationship Id="rId115" Type="http://schemas.openxmlformats.org/officeDocument/2006/relationships/hyperlink" Target="mailto:udayshankar@toyota-kirloskar.co.in" TargetMode="External"/><Relationship Id="rId136" Type="http://schemas.openxmlformats.org/officeDocument/2006/relationships/hyperlink" Target="mailto:rajeev.banerjee@sandvik.com" TargetMode="External"/><Relationship Id="rId157" Type="http://schemas.openxmlformats.org/officeDocument/2006/relationships/hyperlink" Target="mailto:wed-karwar@navy.gov.in" TargetMode="External"/><Relationship Id="rId178" Type="http://schemas.openxmlformats.org/officeDocument/2006/relationships/hyperlink" Target="mailto:raghu.n2@in.abb.com" TargetMode="External"/><Relationship Id="rId301" Type="http://schemas.openxmlformats.org/officeDocument/2006/relationships/hyperlink" Target="mailto:amolparchure@bhel.in" TargetMode="External"/><Relationship Id="rId322" Type="http://schemas.openxmlformats.org/officeDocument/2006/relationships/hyperlink" Target="mailto:vinayaka@pragatiautomation.in" TargetMode="External"/><Relationship Id="rId343" Type="http://schemas.openxmlformats.org/officeDocument/2006/relationships/hyperlink" Target="mailto:avinash.kovvuru@pfizer.com" TargetMode="External"/><Relationship Id="rId364" Type="http://schemas.openxmlformats.org/officeDocument/2006/relationships/hyperlink" Target="mailto:Rijo.Abraham@SARTORIUS.com" TargetMode="External"/><Relationship Id="rId61" Type="http://schemas.openxmlformats.org/officeDocument/2006/relationships/hyperlink" Target="mailto:narasimharaop@bel.co.in" TargetMode="External"/><Relationship Id="rId82" Type="http://schemas.openxmlformats.org/officeDocument/2006/relationships/hyperlink" Target="mailto:amolparchure@bhel.in" TargetMode="External"/><Relationship Id="rId199" Type="http://schemas.openxmlformats.org/officeDocument/2006/relationships/hyperlink" Target="mailto:Suneel.B@in.bosch.com" TargetMode="External"/><Relationship Id="rId203" Type="http://schemas.openxmlformats.org/officeDocument/2006/relationships/hyperlink" Target="mailto:Suneel.B@in.bosch.com" TargetMode="External"/><Relationship Id="rId19" Type="http://schemas.openxmlformats.org/officeDocument/2006/relationships/hyperlink" Target="mailto:AnilKumar.Nettimi@tmeic.in" TargetMode="External"/><Relationship Id="rId224" Type="http://schemas.openxmlformats.org/officeDocument/2006/relationships/hyperlink" Target="mailto:shivajij@bel.co.in" TargetMode="External"/><Relationship Id="rId245" Type="http://schemas.openxmlformats.org/officeDocument/2006/relationships/hyperlink" Target="mailto:adhitya.r@hfcl.com" TargetMode="External"/><Relationship Id="rId266" Type="http://schemas.openxmlformats.org/officeDocument/2006/relationships/hyperlink" Target="mailto:avinash.kovvuru@pfizer.com" TargetMode="External"/><Relationship Id="rId287" Type="http://schemas.openxmlformats.org/officeDocument/2006/relationships/hyperlink" Target="mailto:amolparchure@bhel.in" TargetMode="External"/><Relationship Id="rId30" Type="http://schemas.openxmlformats.org/officeDocument/2006/relationships/hyperlink" Target="mailto:Rajas.keshkamat@teva.co.in" TargetMode="External"/><Relationship Id="rId105" Type="http://schemas.openxmlformats.org/officeDocument/2006/relationships/hyperlink" Target="mailto:amolparchure@bhel.in" TargetMode="External"/><Relationship Id="rId126" Type="http://schemas.openxmlformats.org/officeDocument/2006/relationships/hyperlink" Target="mailto:Mounesha.Badiger@trelleborg.com" TargetMode="External"/><Relationship Id="rId147" Type="http://schemas.openxmlformats.org/officeDocument/2006/relationships/hyperlink" Target="mailto:Shiva.Malakala@aurobindo.com" TargetMode="External"/><Relationship Id="rId168" Type="http://schemas.openxmlformats.org/officeDocument/2006/relationships/hyperlink" Target="mailto:bhoopal@pragatiautomation.in" TargetMode="External"/><Relationship Id="rId312" Type="http://schemas.openxmlformats.org/officeDocument/2006/relationships/hyperlink" Target="mailto:amolparchure@bhel.in" TargetMode="External"/><Relationship Id="rId333" Type="http://schemas.openxmlformats.org/officeDocument/2006/relationships/hyperlink" Target="mailto:madhusudhans@Amslindia.co.in" TargetMode="External"/><Relationship Id="rId354" Type="http://schemas.openxmlformats.org/officeDocument/2006/relationships/hyperlink" Target="mailto:bsuresha@bfw.co.in" TargetMode="External"/><Relationship Id="rId51" Type="http://schemas.openxmlformats.org/officeDocument/2006/relationships/hyperlink" Target="mailto:raghu.n2@in.abb.com" TargetMode="External"/><Relationship Id="rId72" Type="http://schemas.openxmlformats.org/officeDocument/2006/relationships/hyperlink" Target="mailto:rakesh.parab@pfizer.com" TargetMode="External"/><Relationship Id="rId93" Type="http://schemas.openxmlformats.org/officeDocument/2006/relationships/hyperlink" Target="mailto:amolparchure@bhel.in" TargetMode="External"/><Relationship Id="rId189" Type="http://schemas.openxmlformats.org/officeDocument/2006/relationships/hyperlink" Target="mailto:Suneel.B@in.bosch.com" TargetMode="External"/><Relationship Id="rId375" Type="http://schemas.openxmlformats.org/officeDocument/2006/relationships/printerSettings" Target="../printerSettings/printerSettings7.bin"/><Relationship Id="rId3" Type="http://schemas.openxmlformats.org/officeDocument/2006/relationships/hyperlink" Target="mailto:Yogesh.s@SEG-automotive.com" TargetMode="External"/><Relationship Id="rId214" Type="http://schemas.openxmlformats.org/officeDocument/2006/relationships/hyperlink" Target="mailto:jayaramkc@acedesigners.co.in" TargetMode="External"/><Relationship Id="rId235" Type="http://schemas.openxmlformats.org/officeDocument/2006/relationships/hyperlink" Target="mailto:maintenance.peenya@ajax-engg.com" TargetMode="External"/><Relationship Id="rId256" Type="http://schemas.openxmlformats.org/officeDocument/2006/relationships/hyperlink" Target="mailto:avinash.kovvuru@pfizer.com" TargetMode="External"/><Relationship Id="rId277" Type="http://schemas.openxmlformats.org/officeDocument/2006/relationships/hyperlink" Target="mailto:amolparchure@bhel.in" TargetMode="External"/><Relationship Id="rId298" Type="http://schemas.openxmlformats.org/officeDocument/2006/relationships/hyperlink" Target="mailto:amolparchure@bhel.in" TargetMode="External"/><Relationship Id="rId116" Type="http://schemas.openxmlformats.org/officeDocument/2006/relationships/hyperlink" Target="mailto:udayshankar@toyota-kirloskar.co.in" TargetMode="External"/><Relationship Id="rId137" Type="http://schemas.openxmlformats.org/officeDocument/2006/relationships/hyperlink" Target="mailto:Natarajan.Annamalai@in.bosch.com" TargetMode="External"/><Relationship Id="rId158" Type="http://schemas.openxmlformats.org/officeDocument/2006/relationships/hyperlink" Target="mailto:wed-karwar@navy.gov.in" TargetMode="External"/><Relationship Id="rId302" Type="http://schemas.openxmlformats.org/officeDocument/2006/relationships/hyperlink" Target="mailto:amolparchure@bhel.in" TargetMode="External"/><Relationship Id="rId323" Type="http://schemas.openxmlformats.org/officeDocument/2006/relationships/hyperlink" Target="mailto:vinayaka@pragatiautomation.in" TargetMode="External"/><Relationship Id="rId344" Type="http://schemas.openxmlformats.org/officeDocument/2006/relationships/hyperlink" Target="mailto:avinash.kovvuru@pfizer.com" TargetMode="External"/><Relationship Id="rId20" Type="http://schemas.openxmlformats.org/officeDocument/2006/relationships/hyperlink" Target="mailto:AnilKumar.Nettimi@tmeic.in" TargetMode="External"/><Relationship Id="rId41" Type="http://schemas.openxmlformats.org/officeDocument/2006/relationships/hyperlink" Target="mailto:mkv@reitzindia.com" TargetMode="External"/><Relationship Id="rId62" Type="http://schemas.openxmlformats.org/officeDocument/2006/relationships/hyperlink" Target="mailto:kackg@kkwindsolutions.com" TargetMode="External"/><Relationship Id="rId83" Type="http://schemas.openxmlformats.org/officeDocument/2006/relationships/hyperlink" Target="mailto:amolparchure@bhel.in" TargetMode="External"/><Relationship Id="rId179" Type="http://schemas.openxmlformats.org/officeDocument/2006/relationships/hyperlink" Target="mailto:Rajas.keshkamat@teva.co.in" TargetMode="External"/><Relationship Id="rId365" Type="http://schemas.openxmlformats.org/officeDocument/2006/relationships/hyperlink" Target="mailto:Rijo.Abraham@SARTORIUS.com" TargetMode="External"/><Relationship Id="rId190" Type="http://schemas.openxmlformats.org/officeDocument/2006/relationships/hyperlink" Target="mailto:Suneel.B@in.bosch.com" TargetMode="External"/><Relationship Id="rId204" Type="http://schemas.openxmlformats.org/officeDocument/2006/relationships/hyperlink" Target="mailto:Rijo.Abraham@SARTORIUS.com" TargetMode="External"/><Relationship Id="rId225" Type="http://schemas.openxmlformats.org/officeDocument/2006/relationships/hyperlink" Target="mailto:shivajij@bel.co.in" TargetMode="External"/><Relationship Id="rId246" Type="http://schemas.openxmlformats.org/officeDocument/2006/relationships/hyperlink" Target="mailto:rijo.abraham@sartorius.com" TargetMode="External"/><Relationship Id="rId267" Type="http://schemas.openxmlformats.org/officeDocument/2006/relationships/hyperlink" Target="mailto:avinash.kovvuru@pfizer.com" TargetMode="External"/><Relationship Id="rId288" Type="http://schemas.openxmlformats.org/officeDocument/2006/relationships/hyperlink" Target="mailto:amolparchure@bhel.in" TargetMode="External"/><Relationship Id="rId106" Type="http://schemas.openxmlformats.org/officeDocument/2006/relationships/hyperlink" Target="mailto:amolparchure@bhel.in" TargetMode="External"/><Relationship Id="rId127" Type="http://schemas.openxmlformats.org/officeDocument/2006/relationships/hyperlink" Target="mailto:Mounesha.Badiger@trelleborg.com" TargetMode="External"/><Relationship Id="rId313" Type="http://schemas.openxmlformats.org/officeDocument/2006/relationships/hyperlink" Target="mailto:amolparchure@bhel.in" TargetMode="External"/><Relationship Id="rId10" Type="http://schemas.openxmlformats.org/officeDocument/2006/relationships/hyperlink" Target="mailto:vagyalakavath@bel.co.in" TargetMode="External"/><Relationship Id="rId31" Type="http://schemas.openxmlformats.org/officeDocument/2006/relationships/hyperlink" Target="mailto:Rajas.keshkamat@teva.co.in" TargetMode="External"/><Relationship Id="rId52" Type="http://schemas.openxmlformats.org/officeDocument/2006/relationships/hyperlink" Target="mailto:amolparchure@bhel.in" TargetMode="External"/><Relationship Id="rId73" Type="http://schemas.openxmlformats.org/officeDocument/2006/relationships/hyperlink" Target="mailto:rakesh.parab@pfizer.com" TargetMode="External"/><Relationship Id="rId94" Type="http://schemas.openxmlformats.org/officeDocument/2006/relationships/hyperlink" Target="mailto:amolparchure@bhel.in" TargetMode="External"/><Relationship Id="rId148" Type="http://schemas.openxmlformats.org/officeDocument/2006/relationships/hyperlink" Target="mailto:wed-karwar@navy.gov.in" TargetMode="External"/><Relationship Id="rId169" Type="http://schemas.openxmlformats.org/officeDocument/2006/relationships/hyperlink" Target="mailto:bhoopal@pragatiautomation.in" TargetMode="External"/><Relationship Id="rId334" Type="http://schemas.openxmlformats.org/officeDocument/2006/relationships/hyperlink" Target="mailto:shivajij@bel.co.in" TargetMode="External"/><Relationship Id="rId355" Type="http://schemas.openxmlformats.org/officeDocument/2006/relationships/hyperlink" Target="mailto:Amith.Anand@in.bosch.com" TargetMode="External"/><Relationship Id="rId376" Type="http://schemas.openxmlformats.org/officeDocument/2006/relationships/vmlDrawing" Target="../drawings/vmlDrawing6.vml"/><Relationship Id="rId4" Type="http://schemas.openxmlformats.org/officeDocument/2006/relationships/hyperlink" Target="mailto:Rajesh.m@in.bosch.com" TargetMode="External"/><Relationship Id="rId180" Type="http://schemas.openxmlformats.org/officeDocument/2006/relationships/hyperlink" Target="mailto:Shiva.Sagar@in.bosch.com" TargetMode="External"/><Relationship Id="rId215" Type="http://schemas.openxmlformats.org/officeDocument/2006/relationships/hyperlink" Target="mailto:narasimharaop@bel.co.in" TargetMode="External"/><Relationship Id="rId236" Type="http://schemas.openxmlformats.org/officeDocument/2006/relationships/hyperlink" Target="mailto:rajeev.banerjee@sandvik.com" TargetMode="External"/><Relationship Id="rId257" Type="http://schemas.openxmlformats.org/officeDocument/2006/relationships/hyperlink" Target="mailto:avinash.kovvuru@pfizer.com" TargetMode="External"/><Relationship Id="rId278" Type="http://schemas.openxmlformats.org/officeDocument/2006/relationships/hyperlink" Target="mailto:amolparchure@bhel.in" TargetMode="External"/><Relationship Id="rId303" Type="http://schemas.openxmlformats.org/officeDocument/2006/relationships/hyperlink" Target="mailto:amolparchure@bhel.in" TargetMode="External"/><Relationship Id="rId42" Type="http://schemas.openxmlformats.org/officeDocument/2006/relationships/hyperlink" Target="mailto:Ashok.MK@in.bosch.com" TargetMode="External"/><Relationship Id="rId84" Type="http://schemas.openxmlformats.org/officeDocument/2006/relationships/hyperlink" Target="mailto:amolparchure@bhel.in" TargetMode="External"/><Relationship Id="rId138" Type="http://schemas.openxmlformats.org/officeDocument/2006/relationships/hyperlink" Target="mailto:Natarajan.Annamalai@in.bosch.com" TargetMode="External"/><Relationship Id="rId345" Type="http://schemas.openxmlformats.org/officeDocument/2006/relationships/hyperlink" Target="mailto:avinash.kovvuru@pfizer.com" TargetMode="External"/><Relationship Id="rId191" Type="http://schemas.openxmlformats.org/officeDocument/2006/relationships/hyperlink" Target="mailto:Suneel.B@in.bosch.com" TargetMode="External"/><Relationship Id="rId205" Type="http://schemas.openxmlformats.org/officeDocument/2006/relationships/hyperlink" Target="mailto:kackg@kkwindsolutions.com" TargetMode="External"/><Relationship Id="rId247" Type="http://schemas.openxmlformats.org/officeDocument/2006/relationships/hyperlink" Target="mailto:jayaramkc@acedesigners.co.in" TargetMode="External"/><Relationship Id="rId107" Type="http://schemas.openxmlformats.org/officeDocument/2006/relationships/hyperlink" Target="mailto:amolparchure@bhel.in" TargetMode="External"/><Relationship Id="rId289" Type="http://schemas.openxmlformats.org/officeDocument/2006/relationships/hyperlink" Target="mailto:amolparchure@bhel.in" TargetMode="External"/><Relationship Id="rId11" Type="http://schemas.openxmlformats.org/officeDocument/2006/relationships/hyperlink" Target="mailto:amolparchure@bhel.in" TargetMode="External"/><Relationship Id="rId53" Type="http://schemas.openxmlformats.org/officeDocument/2006/relationships/hyperlink" Target="mailto:jayaramkc@acedesigners.co.in" TargetMode="External"/><Relationship Id="rId149" Type="http://schemas.openxmlformats.org/officeDocument/2006/relationships/hyperlink" Target="mailto:wed-karwar@navy.gov.in" TargetMode="External"/><Relationship Id="rId314" Type="http://schemas.openxmlformats.org/officeDocument/2006/relationships/hyperlink" Target="mailto:amolparchure@bhel.in" TargetMode="External"/><Relationship Id="rId356" Type="http://schemas.openxmlformats.org/officeDocument/2006/relationships/hyperlink" Target="mailto:Amith.Anand@in.bosch.com" TargetMode="External"/><Relationship Id="rId95" Type="http://schemas.openxmlformats.org/officeDocument/2006/relationships/hyperlink" Target="mailto:amolparchure@bhel.in" TargetMode="External"/><Relationship Id="rId160" Type="http://schemas.openxmlformats.org/officeDocument/2006/relationships/hyperlink" Target="mailto:wed-karwar@navy.gov.in" TargetMode="External"/><Relationship Id="rId216" Type="http://schemas.openxmlformats.org/officeDocument/2006/relationships/hyperlink" Target="mailto:bsuresha@bfw.co.in" TargetMode="External"/><Relationship Id="rId258" Type="http://schemas.openxmlformats.org/officeDocument/2006/relationships/hyperlink" Target="mailto:avinash.kovvuru@pfizer.com" TargetMode="External"/><Relationship Id="rId22" Type="http://schemas.openxmlformats.org/officeDocument/2006/relationships/hyperlink" Target="mailto:bsuresha@bfw.co.in" TargetMode="External"/><Relationship Id="rId64" Type="http://schemas.openxmlformats.org/officeDocument/2006/relationships/hyperlink" Target="mailto:kackg@kkwindsolutions.com" TargetMode="External"/><Relationship Id="rId118" Type="http://schemas.openxmlformats.org/officeDocument/2006/relationships/hyperlink" Target="mailto:udayshankar@toyota-kirloskar.co.in" TargetMode="External"/><Relationship Id="rId325" Type="http://schemas.openxmlformats.org/officeDocument/2006/relationships/hyperlink" Target="mailto:vinayaka@pragatiautomation.in" TargetMode="External"/><Relationship Id="rId367" Type="http://schemas.openxmlformats.org/officeDocument/2006/relationships/hyperlink" Target="mailto:rajeev.banerjee@sandvik.com" TargetMode="External"/><Relationship Id="rId171" Type="http://schemas.openxmlformats.org/officeDocument/2006/relationships/hyperlink" Target="mailto:bhoopal@pragatiautomation.in" TargetMode="External"/><Relationship Id="rId227" Type="http://schemas.openxmlformats.org/officeDocument/2006/relationships/hyperlink" Target="mailto:shivajij@bel.co.in" TargetMode="External"/><Relationship Id="rId269" Type="http://schemas.openxmlformats.org/officeDocument/2006/relationships/hyperlink" Target="mailto:avinash.kovvuru@pfizer.com" TargetMode="External"/><Relationship Id="rId33" Type="http://schemas.openxmlformats.org/officeDocument/2006/relationships/hyperlink" Target="mailto:jayaramkc@acedesigners.co.in" TargetMode="External"/><Relationship Id="rId129" Type="http://schemas.openxmlformats.org/officeDocument/2006/relationships/hyperlink" Target="mailto:ninawekn@bel.co.in" TargetMode="External"/><Relationship Id="rId280" Type="http://schemas.openxmlformats.org/officeDocument/2006/relationships/hyperlink" Target="mailto:amolparchure@bhel.in" TargetMode="External"/><Relationship Id="rId336" Type="http://schemas.openxmlformats.org/officeDocument/2006/relationships/hyperlink" Target="mailto:mkv@reitzindia.com" TargetMode="External"/><Relationship Id="rId75" Type="http://schemas.openxmlformats.org/officeDocument/2006/relationships/hyperlink" Target="mailto:amolparchure@bhel.in" TargetMode="External"/><Relationship Id="rId140" Type="http://schemas.openxmlformats.org/officeDocument/2006/relationships/hyperlink" Target="mailto:Anil.Kumawat@in.bosch.com" TargetMode="External"/><Relationship Id="rId182" Type="http://schemas.openxmlformats.org/officeDocument/2006/relationships/hyperlink" Target="mailto:Shiva.Sagar@in.bosch.com" TargetMode="External"/><Relationship Id="rId6" Type="http://schemas.openxmlformats.org/officeDocument/2006/relationships/hyperlink" Target="mailto:esbelmc@bel.co.in" TargetMode="External"/><Relationship Id="rId238" Type="http://schemas.openxmlformats.org/officeDocument/2006/relationships/hyperlink" Target="mailto:avinash.kovvuru@pfizer.com" TargetMode="External"/><Relationship Id="rId291" Type="http://schemas.openxmlformats.org/officeDocument/2006/relationships/hyperlink" Target="mailto:amolparchure@bhel.in" TargetMode="External"/><Relationship Id="rId305" Type="http://schemas.openxmlformats.org/officeDocument/2006/relationships/hyperlink" Target="mailto:amolparchure@bhel.in" TargetMode="External"/><Relationship Id="rId347" Type="http://schemas.openxmlformats.org/officeDocument/2006/relationships/hyperlink" Target="mailto:avinash.kovvuru@pfizer.com" TargetMode="External"/><Relationship Id="rId44" Type="http://schemas.openxmlformats.org/officeDocument/2006/relationships/hyperlink" Target="mailto:Ramkumar.Shakthi@in.bosch.com" TargetMode="External"/><Relationship Id="rId86" Type="http://schemas.openxmlformats.org/officeDocument/2006/relationships/hyperlink" Target="mailto:amolparchure@bhel.in" TargetMode="External"/><Relationship Id="rId151" Type="http://schemas.openxmlformats.org/officeDocument/2006/relationships/hyperlink" Target="mailto:wed-karwar@navy.gov.in" TargetMode="External"/><Relationship Id="rId193" Type="http://schemas.openxmlformats.org/officeDocument/2006/relationships/hyperlink" Target="mailto:Suneel.B@in.bosch.com" TargetMode="External"/><Relationship Id="rId207" Type="http://schemas.openxmlformats.org/officeDocument/2006/relationships/hyperlink" Target="mailto:Abdul.razack@in.bosch.com" TargetMode="External"/><Relationship Id="rId249" Type="http://schemas.openxmlformats.org/officeDocument/2006/relationships/hyperlink" Target="mailto:karthik.pattapu@technipfmc.com" TargetMode="External"/><Relationship Id="rId13" Type="http://schemas.openxmlformats.org/officeDocument/2006/relationships/hyperlink" Target="mailto:C.Chikkaramanna@in.bosch.com" TargetMode="External"/><Relationship Id="rId109" Type="http://schemas.openxmlformats.org/officeDocument/2006/relationships/hyperlink" Target="mailto:madhusudhans@Amslindia.co.in" TargetMode="External"/><Relationship Id="rId260" Type="http://schemas.openxmlformats.org/officeDocument/2006/relationships/hyperlink" Target="mailto:avinash.kovvuru@pfizer.com" TargetMode="External"/><Relationship Id="rId316" Type="http://schemas.openxmlformats.org/officeDocument/2006/relationships/hyperlink" Target="mailto:rajeev.banerjee@sandvik.com" TargetMode="External"/><Relationship Id="rId55" Type="http://schemas.openxmlformats.org/officeDocument/2006/relationships/hyperlink" Target="mailto:madhusudhans@amslindia.co.in" TargetMode="External"/><Relationship Id="rId97" Type="http://schemas.openxmlformats.org/officeDocument/2006/relationships/hyperlink" Target="mailto:amolparchure@bhel.in" TargetMode="External"/><Relationship Id="rId120" Type="http://schemas.openxmlformats.org/officeDocument/2006/relationships/hyperlink" Target="mailto:avinash.kovvuru@pfizer.com" TargetMode="External"/><Relationship Id="rId358" Type="http://schemas.openxmlformats.org/officeDocument/2006/relationships/hyperlink" Target="mailto:AnilKumar.Nettimi@tmeic.in" TargetMode="External"/><Relationship Id="rId162" Type="http://schemas.openxmlformats.org/officeDocument/2006/relationships/hyperlink" Target="mailto:wed-karwar@navy.gov.in" TargetMode="External"/><Relationship Id="rId218" Type="http://schemas.openxmlformats.org/officeDocument/2006/relationships/hyperlink" Target="mailto:akshay.dubey@epiroc.com" TargetMode="External"/><Relationship Id="rId271" Type="http://schemas.openxmlformats.org/officeDocument/2006/relationships/hyperlink" Target="mailto:avinash.kovvuru@pfizer.com" TargetMode="External"/><Relationship Id="rId24" Type="http://schemas.openxmlformats.org/officeDocument/2006/relationships/hyperlink" Target="mailto:N.Nityananda@schenckprocess.com" TargetMode="External"/><Relationship Id="rId66" Type="http://schemas.openxmlformats.org/officeDocument/2006/relationships/hyperlink" Target="mailto:rakesh.parab@pfizer.com" TargetMode="External"/><Relationship Id="rId131" Type="http://schemas.openxmlformats.org/officeDocument/2006/relationships/hyperlink" Target="mailto:ninawekn@bel.co.in" TargetMode="External"/><Relationship Id="rId327" Type="http://schemas.openxmlformats.org/officeDocument/2006/relationships/hyperlink" Target="mailto:vinayaka@pragatiautomation.in" TargetMode="External"/><Relationship Id="rId369" Type="http://schemas.openxmlformats.org/officeDocument/2006/relationships/hyperlink" Target="mailto:rajeev.banerjee@sandvik.com" TargetMode="External"/><Relationship Id="rId173" Type="http://schemas.openxmlformats.org/officeDocument/2006/relationships/hyperlink" Target="mailto:bhoopal@pragatiautomation.in" TargetMode="External"/><Relationship Id="rId229" Type="http://schemas.openxmlformats.org/officeDocument/2006/relationships/hyperlink" Target="mailto:shivajij@bel.co.in" TargetMode="External"/><Relationship Id="rId240" Type="http://schemas.openxmlformats.org/officeDocument/2006/relationships/hyperlink" Target="mailto:YadunandanS@toyota-kirloskar.co.in" TargetMode="External"/><Relationship Id="rId35" Type="http://schemas.openxmlformats.org/officeDocument/2006/relationships/hyperlink" Target="mailto:jayaramkc@acedesigners.co.in" TargetMode="External"/><Relationship Id="rId77" Type="http://schemas.openxmlformats.org/officeDocument/2006/relationships/hyperlink" Target="mailto:amolparchure@bhel.in" TargetMode="External"/><Relationship Id="rId100" Type="http://schemas.openxmlformats.org/officeDocument/2006/relationships/hyperlink" Target="mailto:amolparchure@bhel.in" TargetMode="External"/><Relationship Id="rId282" Type="http://schemas.openxmlformats.org/officeDocument/2006/relationships/hyperlink" Target="mailto:amolparchure@bhel.in" TargetMode="External"/><Relationship Id="rId338" Type="http://schemas.openxmlformats.org/officeDocument/2006/relationships/hyperlink" Target="mailto:bikeshkumar.vadakkedath@in.bosch.com" TargetMode="External"/><Relationship Id="rId8" Type="http://schemas.openxmlformats.org/officeDocument/2006/relationships/hyperlink" Target="mailto:Rajasekhar.Nagudu@viatris.com" TargetMode="External"/><Relationship Id="rId142" Type="http://schemas.openxmlformats.org/officeDocument/2006/relationships/hyperlink" Target="mailto:Chetan.Rane@syntegon.com" TargetMode="External"/><Relationship Id="rId184" Type="http://schemas.openxmlformats.org/officeDocument/2006/relationships/hyperlink" Target="mailto:Irappa.Uppar@in.bosch.com" TargetMode="External"/><Relationship Id="rId251" Type="http://schemas.openxmlformats.org/officeDocument/2006/relationships/hyperlink" Target="mailto:Shashikumar.VN@in.bosch.com" TargetMode="External"/><Relationship Id="rId46" Type="http://schemas.openxmlformats.org/officeDocument/2006/relationships/hyperlink" Target="mailto:rajeev.banerjee@sandvik.com" TargetMode="External"/><Relationship Id="rId293" Type="http://schemas.openxmlformats.org/officeDocument/2006/relationships/hyperlink" Target="mailto:amolparchure@bhel.in" TargetMode="External"/><Relationship Id="rId307" Type="http://schemas.openxmlformats.org/officeDocument/2006/relationships/hyperlink" Target="mailto:amolparchure@bhel.in" TargetMode="External"/><Relationship Id="rId349" Type="http://schemas.openxmlformats.org/officeDocument/2006/relationships/hyperlink" Target="mailto:avinash.kovvuru@pfizer.com" TargetMode="External"/><Relationship Id="rId88" Type="http://schemas.openxmlformats.org/officeDocument/2006/relationships/hyperlink" Target="mailto:amolparchure@bhel.in" TargetMode="External"/><Relationship Id="rId111" Type="http://schemas.openxmlformats.org/officeDocument/2006/relationships/hyperlink" Target="mailto:Vinod.B@boschrexroth.co.in" TargetMode="External"/><Relationship Id="rId153" Type="http://schemas.openxmlformats.org/officeDocument/2006/relationships/hyperlink" Target="mailto:wed-karwar@navy.gov.in" TargetMode="External"/><Relationship Id="rId195" Type="http://schemas.openxmlformats.org/officeDocument/2006/relationships/hyperlink" Target="mailto:Suneel.B@in.bosch.com" TargetMode="External"/><Relationship Id="rId209" Type="http://schemas.openxmlformats.org/officeDocument/2006/relationships/hyperlink" Target="mailto:Rajesh.m@in.bosch.com" TargetMode="External"/><Relationship Id="rId360" Type="http://schemas.openxmlformats.org/officeDocument/2006/relationships/hyperlink" Target="mailto:C.Chikkaramanna@in.bosch.com" TargetMode="External"/><Relationship Id="rId220" Type="http://schemas.openxmlformats.org/officeDocument/2006/relationships/hyperlink" Target="mailto:Yogesh.s@SEG-automotive.com" TargetMode="External"/><Relationship Id="rId15" Type="http://schemas.openxmlformats.org/officeDocument/2006/relationships/hyperlink" Target="mailto:Amith.Anand@in.bosch.com" TargetMode="External"/><Relationship Id="rId57" Type="http://schemas.openxmlformats.org/officeDocument/2006/relationships/hyperlink" Target="mailto:narasimharaop@bel.co.in" TargetMode="External"/><Relationship Id="rId262" Type="http://schemas.openxmlformats.org/officeDocument/2006/relationships/hyperlink" Target="mailto:avinash.kovvuru@pfizer.com" TargetMode="External"/><Relationship Id="rId318" Type="http://schemas.openxmlformats.org/officeDocument/2006/relationships/hyperlink" Target="mailto:vinayaka@pragatiautomation.in" TargetMode="External"/><Relationship Id="rId99" Type="http://schemas.openxmlformats.org/officeDocument/2006/relationships/hyperlink" Target="mailto:amolparchure@bhel.in" TargetMode="External"/><Relationship Id="rId122" Type="http://schemas.openxmlformats.org/officeDocument/2006/relationships/hyperlink" Target="mailto:Mounesha.Badiger@trelleborg.com" TargetMode="External"/><Relationship Id="rId164" Type="http://schemas.openxmlformats.org/officeDocument/2006/relationships/hyperlink" Target="mailto:wed-karwar@navy.gov.in" TargetMode="External"/><Relationship Id="rId371" Type="http://schemas.openxmlformats.org/officeDocument/2006/relationships/hyperlink" Target="mailto:rajeev.banerjee@sandvik.com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harirao.s@addison.co.in" TargetMode="External"/><Relationship Id="rId21" Type="http://schemas.openxmlformats.org/officeDocument/2006/relationships/hyperlink" Target="mailto:abinaya.r@timken.com" TargetMode="External"/><Relationship Id="rId42" Type="http://schemas.openxmlformats.org/officeDocument/2006/relationships/hyperlink" Target="mailto:gokhul.s@turboenergy.co.in" TargetMode="External"/><Relationship Id="rId47" Type="http://schemas.openxmlformats.org/officeDocument/2006/relationships/hyperlink" Target="mailto:j.viswanathan@fermator.com" TargetMode="External"/><Relationship Id="rId63" Type="http://schemas.openxmlformats.org/officeDocument/2006/relationships/hyperlink" Target="mailto:sasi.kumaran@daimlertruck.com" TargetMode="External"/><Relationship Id="rId68" Type="http://schemas.openxmlformats.org/officeDocument/2006/relationships/hyperlink" Target="mailto:ganga.lakshmi@zf.com" TargetMode="External"/><Relationship Id="rId84" Type="http://schemas.openxmlformats.org/officeDocument/2006/relationships/hyperlink" Target="mailto:logistics@addison.co.in" TargetMode="External"/><Relationship Id="rId89" Type="http://schemas.openxmlformats.org/officeDocument/2006/relationships/vmlDrawing" Target="../drawings/vmlDrawing8.vml"/><Relationship Id="rId16" Type="http://schemas.openxmlformats.org/officeDocument/2006/relationships/hyperlink" Target="mailto:jagadeesan.d@sfl.co.in" TargetMode="External"/><Relationship Id="rId11" Type="http://schemas.openxmlformats.org/officeDocument/2006/relationships/hyperlink" Target="mailto:sanju.prakash@velan.com" TargetMode="External"/><Relationship Id="rId32" Type="http://schemas.openxmlformats.org/officeDocument/2006/relationships/hyperlink" Target="mailto:bharthasarathi@elgi.com" TargetMode="External"/><Relationship Id="rId37" Type="http://schemas.openxmlformats.org/officeDocument/2006/relationships/hyperlink" Target="mailto:Balamurugan.D@fst.com" TargetMode="External"/><Relationship Id="rId53" Type="http://schemas.openxmlformats.org/officeDocument/2006/relationships/hyperlink" Target="mailto:bharthasarathi@elgi.com" TargetMode="External"/><Relationship Id="rId58" Type="http://schemas.openxmlformats.org/officeDocument/2006/relationships/hyperlink" Target="mailto:anandaraj@kiml.motherson.com" TargetMode="External"/><Relationship Id="rId74" Type="http://schemas.openxmlformats.org/officeDocument/2006/relationships/hyperlink" Target="mailto:jagadeesan.d@sfl.co.in" TargetMode="External"/><Relationship Id="rId79" Type="http://schemas.openxmlformats.org/officeDocument/2006/relationships/hyperlink" Target="mailto:R.Elangovan@ksb.com" TargetMode="External"/><Relationship Id="rId5" Type="http://schemas.openxmlformats.org/officeDocument/2006/relationships/hyperlink" Target="mailto:sanju.prakash@velan.com" TargetMode="External"/><Relationship Id="rId90" Type="http://schemas.openxmlformats.org/officeDocument/2006/relationships/table" Target="../tables/table7.xml"/><Relationship Id="rId14" Type="http://schemas.openxmlformats.org/officeDocument/2006/relationships/hyperlink" Target="mailto:gokhul.s@turboenergy.co.in" TargetMode="External"/><Relationship Id="rId22" Type="http://schemas.openxmlformats.org/officeDocument/2006/relationships/hyperlink" Target="mailto:abinaya.r@timken.com" TargetMode="External"/><Relationship Id="rId27" Type="http://schemas.openxmlformats.org/officeDocument/2006/relationships/hyperlink" Target="mailto:harirao.s@addison.co.in" TargetMode="External"/><Relationship Id="rId30" Type="http://schemas.openxmlformats.org/officeDocument/2006/relationships/hyperlink" Target="mailto:Nidheesh.P@ksb.com" TargetMode="External"/><Relationship Id="rId35" Type="http://schemas.openxmlformats.org/officeDocument/2006/relationships/hyperlink" Target="mailto:bharthasarathi@elgi.com" TargetMode="External"/><Relationship Id="rId43" Type="http://schemas.openxmlformats.org/officeDocument/2006/relationships/hyperlink" Target="mailto:gokhul.s@turboenergy.co.in" TargetMode="External"/><Relationship Id="rId48" Type="http://schemas.openxmlformats.org/officeDocument/2006/relationships/hyperlink" Target="mailto:lremaintenance@abishowatech.co.in" TargetMode="External"/><Relationship Id="rId56" Type="http://schemas.openxmlformats.org/officeDocument/2006/relationships/hyperlink" Target="mailto:logistics@addison.co.in" TargetMode="External"/><Relationship Id="rId64" Type="http://schemas.openxmlformats.org/officeDocument/2006/relationships/hyperlink" Target="mailto:krishnaswamy.muralidharan@rotork.com" TargetMode="External"/><Relationship Id="rId69" Type="http://schemas.openxmlformats.org/officeDocument/2006/relationships/hyperlink" Target="mailto:arunkumar.sankaran@allisontransmission.com" TargetMode="External"/><Relationship Id="rId77" Type="http://schemas.openxmlformats.org/officeDocument/2006/relationships/hyperlink" Target="mailto:R.Elangovan@ksb.com" TargetMode="External"/><Relationship Id="rId8" Type="http://schemas.openxmlformats.org/officeDocument/2006/relationships/hyperlink" Target="mailto:maintenance@tsugami.co.in" TargetMode="External"/><Relationship Id="rId51" Type="http://schemas.openxmlformats.org/officeDocument/2006/relationships/hyperlink" Target="mailto:sanju.prakash@velan.com" TargetMode="External"/><Relationship Id="rId72" Type="http://schemas.openxmlformats.org/officeDocument/2006/relationships/hyperlink" Target="mailto:soundar.rajan@motherson.com" TargetMode="External"/><Relationship Id="rId80" Type="http://schemas.openxmlformats.org/officeDocument/2006/relationships/hyperlink" Target="mailto:sanju.prakash@velan.com" TargetMode="External"/><Relationship Id="rId85" Type="http://schemas.openxmlformats.org/officeDocument/2006/relationships/hyperlink" Target="mailto:sanju.prakash@velan.com" TargetMode="External"/><Relationship Id="rId3" Type="http://schemas.openxmlformats.org/officeDocument/2006/relationships/hyperlink" Target="mailto:((Email))" TargetMode="External"/><Relationship Id="rId12" Type="http://schemas.openxmlformats.org/officeDocument/2006/relationships/hyperlink" Target="mailto:dhineshkr@itwautomotive.in" TargetMode="External"/><Relationship Id="rId17" Type="http://schemas.openxmlformats.org/officeDocument/2006/relationships/hyperlink" Target="mailto:jagadeesan.d@sfl.co.in" TargetMode="External"/><Relationship Id="rId25" Type="http://schemas.openxmlformats.org/officeDocument/2006/relationships/hyperlink" Target="mailto:harirao.s@addison.co.in" TargetMode="External"/><Relationship Id="rId33" Type="http://schemas.openxmlformats.org/officeDocument/2006/relationships/hyperlink" Target="mailto:c.boopathi@argo-hytos.com" TargetMode="External"/><Relationship Id="rId38" Type="http://schemas.openxmlformats.org/officeDocument/2006/relationships/hyperlink" Target="mailto:R.Elangovan@ksb.com" TargetMode="External"/><Relationship Id="rId46" Type="http://schemas.openxmlformats.org/officeDocument/2006/relationships/hyperlink" Target="mailto:Srinivasan.R3@in.bosch.com" TargetMode="External"/><Relationship Id="rId59" Type="http://schemas.openxmlformats.org/officeDocument/2006/relationships/hyperlink" Target="mailto:jagadeesan.d@sfl.co.in" TargetMode="External"/><Relationship Id="rId67" Type="http://schemas.openxmlformats.org/officeDocument/2006/relationships/hyperlink" Target="mailto:sanju.prakash@velan.com" TargetMode="External"/><Relationship Id="rId20" Type="http://schemas.openxmlformats.org/officeDocument/2006/relationships/hyperlink" Target="mailto:abinaya.r@timken.com" TargetMode="External"/><Relationship Id="rId41" Type="http://schemas.openxmlformats.org/officeDocument/2006/relationships/hyperlink" Target="mailto:Srinivasan.R3@in.bosch.com" TargetMode="External"/><Relationship Id="rId54" Type="http://schemas.openxmlformats.org/officeDocument/2006/relationships/hyperlink" Target="mailto:logistics@addison.co.in" TargetMode="External"/><Relationship Id="rId62" Type="http://schemas.openxmlformats.org/officeDocument/2006/relationships/hyperlink" Target="mailto:anandaraj@kiml.motherson.com" TargetMode="External"/><Relationship Id="rId70" Type="http://schemas.openxmlformats.org/officeDocument/2006/relationships/hyperlink" Target="mailto:ganga.lakshmi@zf.com" TargetMode="External"/><Relationship Id="rId75" Type="http://schemas.openxmlformats.org/officeDocument/2006/relationships/hyperlink" Target="mailto:ganesh.raj@mahindra.com" TargetMode="External"/><Relationship Id="rId83" Type="http://schemas.openxmlformats.org/officeDocument/2006/relationships/hyperlink" Target="mailto:soundar.rajan@motherson.com" TargetMode="External"/><Relationship Id="rId88" Type="http://schemas.openxmlformats.org/officeDocument/2006/relationships/vmlDrawing" Target="../drawings/vmlDrawing7.vml"/><Relationship Id="rId91" Type="http://schemas.openxmlformats.org/officeDocument/2006/relationships/comments" Target="../comments5.xml"/><Relationship Id="rId1" Type="http://schemas.openxmlformats.org/officeDocument/2006/relationships/hyperlink" Target="mailto:dhineshkr@itwautomotive.in" TargetMode="External"/><Relationship Id="rId6" Type="http://schemas.openxmlformats.org/officeDocument/2006/relationships/hyperlink" Target="mailto:soundar.rajan@motherson.com" TargetMode="External"/><Relationship Id="rId15" Type="http://schemas.openxmlformats.org/officeDocument/2006/relationships/hyperlink" Target="mailto:gokuldass.venkatesan@zf.com" TargetMode="External"/><Relationship Id="rId23" Type="http://schemas.openxmlformats.org/officeDocument/2006/relationships/hyperlink" Target="mailto:abinaya.r@timken.com" TargetMode="External"/><Relationship Id="rId28" Type="http://schemas.openxmlformats.org/officeDocument/2006/relationships/hyperlink" Target="mailto:R.Elangovan@ksb.com" TargetMode="External"/><Relationship Id="rId36" Type="http://schemas.openxmlformats.org/officeDocument/2006/relationships/hyperlink" Target="mailto:ashok.r@allisontransmission.com" TargetMode="External"/><Relationship Id="rId49" Type="http://schemas.openxmlformats.org/officeDocument/2006/relationships/hyperlink" Target="mailto:abinaya.r@timken.com" TargetMode="External"/><Relationship Id="rId57" Type="http://schemas.openxmlformats.org/officeDocument/2006/relationships/hyperlink" Target="mailto:vijayakanth.r@rialto.co.in" TargetMode="External"/><Relationship Id="rId10" Type="http://schemas.openxmlformats.org/officeDocument/2006/relationships/hyperlink" Target="mailto:gokuldass.venkatesan@zf.com" TargetMode="External"/><Relationship Id="rId31" Type="http://schemas.openxmlformats.org/officeDocument/2006/relationships/hyperlink" Target="mailto:bharthasarathi@elgi.com" TargetMode="External"/><Relationship Id="rId44" Type="http://schemas.openxmlformats.org/officeDocument/2006/relationships/hyperlink" Target="mailto:c.boopathi@argo-hytos.com" TargetMode="External"/><Relationship Id="rId52" Type="http://schemas.openxmlformats.org/officeDocument/2006/relationships/hyperlink" Target="mailto:R.Elangovan@ksb.com" TargetMode="External"/><Relationship Id="rId60" Type="http://schemas.openxmlformats.org/officeDocument/2006/relationships/hyperlink" Target="mailto:maintenance@tsugami.co.in" TargetMode="External"/><Relationship Id="rId65" Type="http://schemas.openxmlformats.org/officeDocument/2006/relationships/hyperlink" Target="mailto:ganesh.raj@mahindra.com" TargetMode="External"/><Relationship Id="rId73" Type="http://schemas.openxmlformats.org/officeDocument/2006/relationships/hyperlink" Target="mailto:soundar.rajan@motherson.com" TargetMode="External"/><Relationship Id="rId78" Type="http://schemas.openxmlformats.org/officeDocument/2006/relationships/hyperlink" Target="mailto:R.Elangovan@ksb.com" TargetMode="External"/><Relationship Id="rId81" Type="http://schemas.openxmlformats.org/officeDocument/2006/relationships/hyperlink" Target="mailto:j.viswanathan@fermator.com" TargetMode="External"/><Relationship Id="rId86" Type="http://schemas.openxmlformats.org/officeDocument/2006/relationships/hyperlink" Target="mailto:dhineshkr@itwautomotive.in" TargetMode="External"/><Relationship Id="rId4" Type="http://schemas.openxmlformats.org/officeDocument/2006/relationships/hyperlink" Target="mailto:((Email))" TargetMode="External"/><Relationship Id="rId9" Type="http://schemas.openxmlformats.org/officeDocument/2006/relationships/hyperlink" Target="mailto:gokuldass.venkatesan@zf.com" TargetMode="External"/><Relationship Id="rId13" Type="http://schemas.openxmlformats.org/officeDocument/2006/relationships/hyperlink" Target="mailto:nsureshb@visteon.com" TargetMode="External"/><Relationship Id="rId18" Type="http://schemas.openxmlformats.org/officeDocument/2006/relationships/hyperlink" Target="mailto:gokuldass.venkatesan@zf.com" TargetMode="External"/><Relationship Id="rId39" Type="http://schemas.openxmlformats.org/officeDocument/2006/relationships/hyperlink" Target="mailto:abinaya.r@timken.com" TargetMode="External"/><Relationship Id="rId34" Type="http://schemas.openxmlformats.org/officeDocument/2006/relationships/hyperlink" Target="mailto:c.boopathi@argo-hytos.com" TargetMode="External"/><Relationship Id="rId50" Type="http://schemas.openxmlformats.org/officeDocument/2006/relationships/hyperlink" Target="mailto:sparespr.inductivestipl1@salcomp.com" TargetMode="External"/><Relationship Id="rId55" Type="http://schemas.openxmlformats.org/officeDocument/2006/relationships/hyperlink" Target="mailto:Harikrishnan.Purushothaman@fst.com" TargetMode="External"/><Relationship Id="rId76" Type="http://schemas.openxmlformats.org/officeDocument/2006/relationships/hyperlink" Target="mailto:R.Elangovan@ksb.com" TargetMode="External"/><Relationship Id="rId7" Type="http://schemas.openxmlformats.org/officeDocument/2006/relationships/hyperlink" Target="mailto:vijay@nilpeter.co.in" TargetMode="External"/><Relationship Id="rId71" Type="http://schemas.openxmlformats.org/officeDocument/2006/relationships/hyperlink" Target="mailto:abinaya.r@timken.com" TargetMode="External"/><Relationship Id="rId92" Type="http://schemas.microsoft.com/office/2017/10/relationships/threadedComment" Target="../threadedComments/threadedComment2.xml"/><Relationship Id="rId2" Type="http://schemas.openxmlformats.org/officeDocument/2006/relationships/hyperlink" Target="mailto:((Email))" TargetMode="External"/><Relationship Id="rId29" Type="http://schemas.openxmlformats.org/officeDocument/2006/relationships/hyperlink" Target="mailto:R.Elangovan@ksb.com" TargetMode="External"/><Relationship Id="rId24" Type="http://schemas.openxmlformats.org/officeDocument/2006/relationships/hyperlink" Target="mailto:abinaya.r@timken.com" TargetMode="External"/><Relationship Id="rId40" Type="http://schemas.openxmlformats.org/officeDocument/2006/relationships/hyperlink" Target="mailto:gokuldass.venkatesan@zf.com" TargetMode="External"/><Relationship Id="rId45" Type="http://schemas.openxmlformats.org/officeDocument/2006/relationships/hyperlink" Target="mailto:dhineshkr@itwautomotive.in" TargetMode="External"/><Relationship Id="rId66" Type="http://schemas.openxmlformats.org/officeDocument/2006/relationships/hyperlink" Target="mailto:sanju.prakash@velan.com" TargetMode="External"/><Relationship Id="rId87" Type="http://schemas.openxmlformats.org/officeDocument/2006/relationships/printerSettings" Target="../printerSettings/printerSettings8.bin"/><Relationship Id="rId61" Type="http://schemas.openxmlformats.org/officeDocument/2006/relationships/hyperlink" Target="mailto:maintenance@tsugami.co.in" TargetMode="External"/><Relationship Id="rId82" Type="http://schemas.openxmlformats.org/officeDocument/2006/relationships/hyperlink" Target="mailto:logistics@addison.co.in" TargetMode="External"/><Relationship Id="rId19" Type="http://schemas.openxmlformats.org/officeDocument/2006/relationships/hyperlink" Target="mailto:abinaya.r@timken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himanshu1.khandelwal@heromotocorp.com" TargetMode="External"/><Relationship Id="rId18" Type="http://schemas.openxmlformats.org/officeDocument/2006/relationships/hyperlink" Target="mailto:sachin-1.kumar@jcb.com" TargetMode="External"/><Relationship Id="rId26" Type="http://schemas.openxmlformats.org/officeDocument/2006/relationships/hyperlink" Target="mailto:satendranegi@bel.co.in" TargetMode="External"/><Relationship Id="rId39" Type="http://schemas.openxmlformats.org/officeDocument/2006/relationships/hyperlink" Target="mailto:kapil.dutt@escortskubota.com" TargetMode="External"/><Relationship Id="rId21" Type="http://schemas.openxmlformats.org/officeDocument/2006/relationships/hyperlink" Target="mailto:lalitsharma@bluestarindia.com" TargetMode="External"/><Relationship Id="rId34" Type="http://schemas.openxmlformats.org/officeDocument/2006/relationships/hyperlink" Target="mailto:shyam.singh1@tatamotors.com" TargetMode="External"/><Relationship Id="rId42" Type="http://schemas.openxmlformats.org/officeDocument/2006/relationships/hyperlink" Target="mailto:govind.r@in.bosch.com" TargetMode="External"/><Relationship Id="rId47" Type="http://schemas.openxmlformats.org/officeDocument/2006/relationships/hyperlink" Target="mailto:sunil.abrol@sonalika.com" TargetMode="External"/><Relationship Id="rId50" Type="http://schemas.openxmlformats.org/officeDocument/2006/relationships/hyperlink" Target="mailto:rahul.tyagi2@knorr-bremse.com" TargetMode="External"/><Relationship Id="rId55" Type="http://schemas.openxmlformats.org/officeDocument/2006/relationships/hyperlink" Target="mailto:kamal.kant@heromotocorp.com" TargetMode="External"/><Relationship Id="rId7" Type="http://schemas.openxmlformats.org/officeDocument/2006/relationships/hyperlink" Target="mailto:naveenk@subros.com" TargetMode="External"/><Relationship Id="rId2" Type="http://schemas.openxmlformats.org/officeDocument/2006/relationships/hyperlink" Target="mailto:brijlalmeena@bel.co.in" TargetMode="External"/><Relationship Id="rId16" Type="http://schemas.openxmlformats.org/officeDocument/2006/relationships/hyperlink" Target="mailto:himanshu1.khandelwal@heromotocorp.com" TargetMode="External"/><Relationship Id="rId29" Type="http://schemas.openxmlformats.org/officeDocument/2006/relationships/hyperlink" Target="mailto:satendranegi@bel.co.in" TargetMode="External"/><Relationship Id="rId11" Type="http://schemas.openxmlformats.org/officeDocument/2006/relationships/hyperlink" Target="mailto:vikas.sharma@escortskubota.com" TargetMode="External"/><Relationship Id="rId24" Type="http://schemas.openxmlformats.org/officeDocument/2006/relationships/hyperlink" Target="mailto:nareshk.yadav@in.bosch.com" TargetMode="External"/><Relationship Id="rId32" Type="http://schemas.openxmlformats.org/officeDocument/2006/relationships/hyperlink" Target="mailto:naveenk@subros.com" TargetMode="External"/><Relationship Id="rId37" Type="http://schemas.openxmlformats.org/officeDocument/2006/relationships/hyperlink" Target="mailto:kamal.kant@heromotocorp.com" TargetMode="External"/><Relationship Id="rId40" Type="http://schemas.openxmlformats.org/officeDocument/2006/relationships/hyperlink" Target="mailto:virender.yadav@jcb.com" TargetMode="External"/><Relationship Id="rId45" Type="http://schemas.openxmlformats.org/officeDocument/2006/relationships/hyperlink" Target="mailto:laxmi_datt@sansera.in" TargetMode="External"/><Relationship Id="rId53" Type="http://schemas.openxmlformats.org/officeDocument/2006/relationships/hyperlink" Target="mailto:lalitsharma@bluestarindia.com" TargetMode="External"/><Relationship Id="rId58" Type="http://schemas.openxmlformats.org/officeDocument/2006/relationships/vmlDrawing" Target="../drawings/vmlDrawing9.vml"/><Relationship Id="rId5" Type="http://schemas.openxmlformats.org/officeDocument/2006/relationships/hyperlink" Target="mailto:gaurav1@heromotocorp.com" TargetMode="External"/><Relationship Id="rId61" Type="http://schemas.microsoft.com/office/2017/10/relationships/threadedComment" Target="../threadedComments/threadedComment3.xml"/><Relationship Id="rId19" Type="http://schemas.openxmlformats.org/officeDocument/2006/relationships/hyperlink" Target="mailto:rajesh.sharma@escortskubota.com" TargetMode="External"/><Relationship Id="rId14" Type="http://schemas.openxmlformats.org/officeDocument/2006/relationships/hyperlink" Target="mailto:biswajit.d@in.bosch.com" TargetMode="External"/><Relationship Id="rId22" Type="http://schemas.openxmlformats.org/officeDocument/2006/relationships/hyperlink" Target="mailto:sushilchaudhary@bluestarindia.com" TargetMode="External"/><Relationship Id="rId27" Type="http://schemas.openxmlformats.org/officeDocument/2006/relationships/hyperlink" Target="mailto:nikhil2.gupta@heromotocorp.com" TargetMode="External"/><Relationship Id="rId30" Type="http://schemas.openxmlformats.org/officeDocument/2006/relationships/hyperlink" Target="mailto:rahul.tyagi2@knorr-bremse.com" TargetMode="External"/><Relationship Id="rId35" Type="http://schemas.openxmlformats.org/officeDocument/2006/relationships/hyperlink" Target="mailto:ppc_plant4@sansera.in" TargetMode="External"/><Relationship Id="rId43" Type="http://schemas.openxmlformats.org/officeDocument/2006/relationships/hyperlink" Target="mailto:govind.r@in.bosch.com" TargetMode="External"/><Relationship Id="rId48" Type="http://schemas.openxmlformats.org/officeDocument/2006/relationships/hyperlink" Target="mailto:govind.r@in.bosch.com" TargetMode="External"/><Relationship Id="rId56" Type="http://schemas.openxmlformats.org/officeDocument/2006/relationships/hyperlink" Target="mailto:tushar.vats@heromotocorp.com" TargetMode="External"/><Relationship Id="rId8" Type="http://schemas.openxmlformats.org/officeDocument/2006/relationships/hyperlink" Target="mailto:neel.arya@escortskubota.com" TargetMode="External"/><Relationship Id="rId51" Type="http://schemas.openxmlformats.org/officeDocument/2006/relationships/hyperlink" Target="mailto:kapil.dutt@escortskubota.com" TargetMode="External"/><Relationship Id="rId3" Type="http://schemas.openxmlformats.org/officeDocument/2006/relationships/hyperlink" Target="mailto:shyam.singh1@tatamotors.com" TargetMode="External"/><Relationship Id="rId12" Type="http://schemas.openxmlformats.org/officeDocument/2006/relationships/hyperlink" Target="mailto:arun.sharma3@escortskubota.com" TargetMode="External"/><Relationship Id="rId17" Type="http://schemas.openxmlformats.org/officeDocument/2006/relationships/hyperlink" Target="mailto:sunil.abrol@sonalika.com" TargetMode="External"/><Relationship Id="rId25" Type="http://schemas.openxmlformats.org/officeDocument/2006/relationships/hyperlink" Target="mailto:biswajit.d@in.bosch.com" TargetMode="External"/><Relationship Id="rId33" Type="http://schemas.openxmlformats.org/officeDocument/2006/relationships/hyperlink" Target="mailto:laxmi_datt@sansera.in" TargetMode="External"/><Relationship Id="rId38" Type="http://schemas.openxmlformats.org/officeDocument/2006/relationships/hyperlink" Target="mailto:arun.sharma3@escortskubota.com" TargetMode="External"/><Relationship Id="rId46" Type="http://schemas.openxmlformats.org/officeDocument/2006/relationships/hyperlink" Target="mailto:sunil.chauhan2@maruti.co.in" TargetMode="External"/><Relationship Id="rId59" Type="http://schemas.openxmlformats.org/officeDocument/2006/relationships/table" Target="../tables/table8.xml"/><Relationship Id="rId20" Type="http://schemas.openxmlformats.org/officeDocument/2006/relationships/hyperlink" Target="mailto:kamal.kant@heromotocorp.com" TargetMode="External"/><Relationship Id="rId41" Type="http://schemas.openxmlformats.org/officeDocument/2006/relationships/hyperlink" Target="mailto:lalitsharma@bluestarindia.com" TargetMode="External"/><Relationship Id="rId54" Type="http://schemas.openxmlformats.org/officeDocument/2006/relationships/hyperlink" Target="mailto:shubhamkumar.kaushik@maruti.co.in" TargetMode="External"/><Relationship Id="rId1" Type="http://schemas.openxmlformats.org/officeDocument/2006/relationships/hyperlink" Target="mailto:himanshu1.khandelwal@heromotocorp.com" TargetMode="External"/><Relationship Id="rId6" Type="http://schemas.openxmlformats.org/officeDocument/2006/relationships/hyperlink" Target="mailto:rajeev.kumarsaini@fst.com" TargetMode="External"/><Relationship Id="rId15" Type="http://schemas.openxmlformats.org/officeDocument/2006/relationships/hyperlink" Target="mailto:sureskumarsaini@bel.co.in" TargetMode="External"/><Relationship Id="rId23" Type="http://schemas.openxmlformats.org/officeDocument/2006/relationships/hyperlink" Target="mailto:sushilchaudhary@bluestarindia.com" TargetMode="External"/><Relationship Id="rId28" Type="http://schemas.openxmlformats.org/officeDocument/2006/relationships/hyperlink" Target="mailto:biswajit.d@in.bosch.com" TargetMode="External"/><Relationship Id="rId36" Type="http://schemas.openxmlformats.org/officeDocument/2006/relationships/hyperlink" Target="mailto:alokk.singh@bhel.in" TargetMode="External"/><Relationship Id="rId49" Type="http://schemas.openxmlformats.org/officeDocument/2006/relationships/hyperlink" Target="mailto:sandeep.bhatt@daikinindia.com" TargetMode="External"/><Relationship Id="rId57" Type="http://schemas.openxmlformats.org/officeDocument/2006/relationships/printerSettings" Target="../printerSettings/printerSettings9.bin"/><Relationship Id="rId10" Type="http://schemas.openxmlformats.org/officeDocument/2006/relationships/hyperlink" Target="mailto:arun.sharma3@escortskubota.com" TargetMode="External"/><Relationship Id="rId31" Type="http://schemas.openxmlformats.org/officeDocument/2006/relationships/hyperlink" Target="mailto:rajeev.kumarsaini@fst.com" TargetMode="External"/><Relationship Id="rId44" Type="http://schemas.openxmlformats.org/officeDocument/2006/relationships/hyperlink" Target="mailto:shyam.singh1@tatamotors.com" TargetMode="External"/><Relationship Id="rId52" Type="http://schemas.openxmlformats.org/officeDocument/2006/relationships/hyperlink" Target="mailto:lalitsharma@bluestarindia.com" TargetMode="External"/><Relationship Id="rId60" Type="http://schemas.openxmlformats.org/officeDocument/2006/relationships/comments" Target="../comments6.xml"/><Relationship Id="rId4" Type="http://schemas.openxmlformats.org/officeDocument/2006/relationships/hyperlink" Target="mailto:sushilchaudhary@bluestarindia.com" TargetMode="External"/><Relationship Id="rId9" Type="http://schemas.openxmlformats.org/officeDocument/2006/relationships/hyperlink" Target="mailto:mohan.kant@heromotocorp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rahul.tyagi2@knorr-bremse.com" TargetMode="External"/><Relationship Id="rId13" Type="http://schemas.openxmlformats.org/officeDocument/2006/relationships/hyperlink" Target="mailto:harishvishvakar@bharatpetroleum.in" TargetMode="External"/><Relationship Id="rId18" Type="http://schemas.openxmlformats.org/officeDocument/2006/relationships/hyperlink" Target="mailto:deepakkumarjain@bharatpetroleum.in" TargetMode="External"/><Relationship Id="rId26" Type="http://schemas.openxmlformats.org/officeDocument/2006/relationships/table" Target="../tables/table9.xml"/><Relationship Id="rId3" Type="http://schemas.openxmlformats.org/officeDocument/2006/relationships/hyperlink" Target="mailto:ppc_plant4@sansera.in" TargetMode="External"/><Relationship Id="rId21" Type="http://schemas.openxmlformats.org/officeDocument/2006/relationships/hyperlink" Target="mailto:arun.kandera@subros.com" TargetMode="External"/><Relationship Id="rId7" Type="http://schemas.openxmlformats.org/officeDocument/2006/relationships/hyperlink" Target="mailto:rahul.tyagi2@knorr-bremse.com" TargetMode="External"/><Relationship Id="rId12" Type="http://schemas.openxmlformats.org/officeDocument/2006/relationships/hyperlink" Target="mailto:harishvishvakar@bharatpetroleum.in" TargetMode="External"/><Relationship Id="rId17" Type="http://schemas.openxmlformats.org/officeDocument/2006/relationships/hyperlink" Target="mailto:deepakkumarjain@bharatpetroleum.in" TargetMode="External"/><Relationship Id="rId25" Type="http://schemas.openxmlformats.org/officeDocument/2006/relationships/vmlDrawing" Target="../drawings/vmlDrawing10.vml"/><Relationship Id="rId2" Type="http://schemas.openxmlformats.org/officeDocument/2006/relationships/hyperlink" Target="mailto:ppc_plant4@sansera.in" TargetMode="External"/><Relationship Id="rId16" Type="http://schemas.openxmlformats.org/officeDocument/2006/relationships/hyperlink" Target="mailto:deepakkumarjain@bharatpetroleum.in" TargetMode="External"/><Relationship Id="rId20" Type="http://schemas.openxmlformats.org/officeDocument/2006/relationships/hyperlink" Target="mailto:nninfra737@gmail.com" TargetMode="External"/><Relationship Id="rId1" Type="http://schemas.openxmlformats.org/officeDocument/2006/relationships/hyperlink" Target="mailto:inderjit_singh@yanmar.com" TargetMode="External"/><Relationship Id="rId6" Type="http://schemas.openxmlformats.org/officeDocument/2006/relationships/hyperlink" Target="mailto:ramsakal@bel.co.in" TargetMode="External"/><Relationship Id="rId11" Type="http://schemas.openxmlformats.org/officeDocument/2006/relationships/hyperlink" Target="mailto:yogendra.yadav@cnh.com" TargetMode="External"/><Relationship Id="rId24" Type="http://schemas.openxmlformats.org/officeDocument/2006/relationships/printerSettings" Target="../printerSettings/printerSettings10.bin"/><Relationship Id="rId5" Type="http://schemas.openxmlformats.org/officeDocument/2006/relationships/hyperlink" Target="mailto:nareshkumar.sharma@armor-iimak.com" TargetMode="External"/><Relationship Id="rId15" Type="http://schemas.openxmlformats.org/officeDocument/2006/relationships/hyperlink" Target="mailto:sunil1.kumar@lohiagroup.com" TargetMode="External"/><Relationship Id="rId23" Type="http://schemas.openxmlformats.org/officeDocument/2006/relationships/hyperlink" Target="mailto:deepanshu.varshney@procx.in" TargetMode="External"/><Relationship Id="rId28" Type="http://schemas.microsoft.com/office/2017/10/relationships/threadedComment" Target="../threadedComments/threadedComment4.xml"/><Relationship Id="rId10" Type="http://schemas.openxmlformats.org/officeDocument/2006/relationships/hyperlink" Target="mailto:imp04@eastmanhandtools.com" TargetMode="External"/><Relationship Id="rId19" Type="http://schemas.openxmlformats.org/officeDocument/2006/relationships/hyperlink" Target="mailto:nninfra737@gmail.com" TargetMode="External"/><Relationship Id="rId4" Type="http://schemas.openxmlformats.org/officeDocument/2006/relationships/hyperlink" Target="mailto:arun.kandera@subros.com" TargetMode="External"/><Relationship Id="rId9" Type="http://schemas.openxmlformats.org/officeDocument/2006/relationships/hyperlink" Target="mailto:ramsakal@bel.co.in" TargetMode="External"/><Relationship Id="rId14" Type="http://schemas.openxmlformats.org/officeDocument/2006/relationships/hyperlink" Target="mailto:dhanpal_singh@yanmar.com" TargetMode="External"/><Relationship Id="rId22" Type="http://schemas.openxmlformats.org/officeDocument/2006/relationships/hyperlink" Target="mailto:arun.sharma3@escortskubota.com" TargetMode="External"/><Relationship Id="rId27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tapan.sahoo@tatacummins.com" TargetMode="External"/><Relationship Id="rId18" Type="http://schemas.openxmlformats.org/officeDocument/2006/relationships/hyperlink" Target="mailto:badrinath.jha@snpl.com.np" TargetMode="External"/><Relationship Id="rId26" Type="http://schemas.openxmlformats.org/officeDocument/2006/relationships/hyperlink" Target="mailto:sandip.das@tatahitachi.co.in" TargetMode="External"/><Relationship Id="rId3" Type="http://schemas.openxmlformats.org/officeDocument/2006/relationships/hyperlink" Target="mailto:pravat.kumar@hal-india.co.in" TargetMode="External"/><Relationship Id="rId21" Type="http://schemas.openxmlformats.org/officeDocument/2006/relationships/hyperlink" Target="mailto:tapan.sahoo@tatacummins.com" TargetMode="External"/><Relationship Id="rId34" Type="http://schemas.microsoft.com/office/2017/10/relationships/threadedComment" Target="../threadedComments/threadedComment5.xml"/><Relationship Id="rId7" Type="http://schemas.openxmlformats.org/officeDocument/2006/relationships/hyperlink" Target="mailto:tapan.sahoo@tatacummins.com" TargetMode="External"/><Relationship Id="rId12" Type="http://schemas.openxmlformats.org/officeDocument/2006/relationships/hyperlink" Target="mailto:tapan.sahoo@tatacummins.com" TargetMode="External"/><Relationship Id="rId17" Type="http://schemas.openxmlformats.org/officeDocument/2006/relationships/hyperlink" Target="mailto:shiva.kharel@snpl.com.np" TargetMode="External"/><Relationship Id="rId25" Type="http://schemas.openxmlformats.org/officeDocument/2006/relationships/hyperlink" Target="mailto:mukesh.s@tatamotors.com" TargetMode="External"/><Relationship Id="rId33" Type="http://schemas.openxmlformats.org/officeDocument/2006/relationships/comments" Target="../comments8.xml"/><Relationship Id="rId2" Type="http://schemas.openxmlformats.org/officeDocument/2006/relationships/hyperlink" Target="mailto:priyabrata.samal@hal-india.co.in" TargetMode="External"/><Relationship Id="rId16" Type="http://schemas.openxmlformats.org/officeDocument/2006/relationships/hyperlink" Target="mailto:mukesh.s@tatamotors.com" TargetMode="External"/><Relationship Id="rId20" Type="http://schemas.openxmlformats.org/officeDocument/2006/relationships/hyperlink" Target="mailto:barun.panda@addverb.com" TargetMode="External"/><Relationship Id="rId29" Type="http://schemas.openxmlformats.org/officeDocument/2006/relationships/hyperlink" Target="mailto:anuraag.ghosh@itc.in" TargetMode="External"/><Relationship Id="rId1" Type="http://schemas.openxmlformats.org/officeDocument/2006/relationships/hyperlink" Target="mailto:shiva.kharel@snpl.com.np" TargetMode="External"/><Relationship Id="rId6" Type="http://schemas.openxmlformats.org/officeDocument/2006/relationships/hyperlink" Target="mailto:subhasish.dhal@tatapower.com" TargetMode="External"/><Relationship Id="rId11" Type="http://schemas.openxmlformats.org/officeDocument/2006/relationships/hyperlink" Target="mailto:tapan.sahoo@tatacummins.com" TargetMode="External"/><Relationship Id="rId24" Type="http://schemas.openxmlformats.org/officeDocument/2006/relationships/hyperlink" Target="mailto:tapan.sahoo@tatacummins.com" TargetMode="External"/><Relationship Id="rId32" Type="http://schemas.openxmlformats.org/officeDocument/2006/relationships/table" Target="../tables/table10.xml"/><Relationship Id="rId5" Type="http://schemas.openxmlformats.org/officeDocument/2006/relationships/hyperlink" Target="mailto:kumar.ritesh@itc.in" TargetMode="External"/><Relationship Id="rId15" Type="http://schemas.openxmlformats.org/officeDocument/2006/relationships/hyperlink" Target="mailto:mukesh.s@tatamotors.com" TargetMode="External"/><Relationship Id="rId23" Type="http://schemas.openxmlformats.org/officeDocument/2006/relationships/hyperlink" Target="mailto:barun.panda@addverb.com" TargetMode="External"/><Relationship Id="rId28" Type="http://schemas.openxmlformats.org/officeDocument/2006/relationships/hyperlink" Target="mailto:manoj.mandal1@tatasteel.com" TargetMode="External"/><Relationship Id="rId10" Type="http://schemas.openxmlformats.org/officeDocument/2006/relationships/hyperlink" Target="mailto:sushilchoubey@tatapower.com" TargetMode="External"/><Relationship Id="rId19" Type="http://schemas.openxmlformats.org/officeDocument/2006/relationships/hyperlink" Target="mailto:Info.nrsales@gmail.com" TargetMode="External"/><Relationship Id="rId31" Type="http://schemas.openxmlformats.org/officeDocument/2006/relationships/vmlDrawing" Target="../drawings/vmlDrawing11.vml"/><Relationship Id="rId4" Type="http://schemas.openxmlformats.org/officeDocument/2006/relationships/hyperlink" Target="mailto:partho.bhattacharyya@tatapower.com" TargetMode="External"/><Relationship Id="rId9" Type="http://schemas.openxmlformats.org/officeDocument/2006/relationships/hyperlink" Target="mailto:tapan.sahoo@tatacummins.com" TargetMode="External"/><Relationship Id="rId14" Type="http://schemas.openxmlformats.org/officeDocument/2006/relationships/hyperlink" Target="mailto:shiva.kharel@snpl.com.np" TargetMode="External"/><Relationship Id="rId22" Type="http://schemas.openxmlformats.org/officeDocument/2006/relationships/hyperlink" Target="mailto:pravat.kumar@hal-india.co.in" TargetMode="External"/><Relationship Id="rId27" Type="http://schemas.openxmlformats.org/officeDocument/2006/relationships/hyperlink" Target="mailto:dhabaleswar.naik@hal-india.co.in" TargetMode="External"/><Relationship Id="rId30" Type="http://schemas.openxmlformats.org/officeDocument/2006/relationships/printerSettings" Target="../printerSettings/printerSettings11.bin"/><Relationship Id="rId35" Type="http://schemas.microsoft.com/office/2019/04/relationships/namedSheetView" Target="../namedSheetViews/namedSheetView1.xml"/><Relationship Id="rId8" Type="http://schemas.openxmlformats.org/officeDocument/2006/relationships/hyperlink" Target="mailto:mukesh.s@tatamotors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855E-DC33-46D2-B29D-10249FD2D91D}">
  <dimension ref="B1:AZ177"/>
  <sheetViews>
    <sheetView tabSelected="1" topLeftCell="A3" zoomScale="70" zoomScaleNormal="70" zoomScalePageLayoutView="80" workbookViewId="0">
      <selection activeCell="F13" sqref="F13"/>
    </sheetView>
  </sheetViews>
  <sheetFormatPr defaultColWidth="8.44140625" defaultRowHeight="13.8"/>
  <cols>
    <col min="1" max="1" width="4.44140625" style="9" customWidth="1"/>
    <col min="2" max="2" width="23.44140625" style="9" customWidth="1"/>
    <col min="3" max="3" width="18.5546875" style="9" bestFit="1" customWidth="1"/>
    <col min="4" max="4" width="31.44140625" style="9" customWidth="1"/>
    <col min="5" max="5" width="26.109375" style="9" customWidth="1"/>
    <col min="6" max="6" width="25.5546875" style="9" bestFit="1" customWidth="1"/>
    <col min="7" max="7" width="21.5546875" style="9" bestFit="1" customWidth="1"/>
    <col min="8" max="8" width="26.5546875" style="9" customWidth="1"/>
    <col min="9" max="9" width="18.44140625" style="9" customWidth="1"/>
    <col min="10" max="10" width="27.5546875" style="9" customWidth="1"/>
    <col min="11" max="11" width="20.44140625" style="9" bestFit="1" customWidth="1"/>
    <col min="12" max="12" width="17.44140625" style="9" bestFit="1" customWidth="1"/>
    <col min="13" max="13" width="3.5546875" style="9" customWidth="1"/>
    <col min="14" max="14" width="3.44140625" style="9" bestFit="1" customWidth="1"/>
    <col min="15" max="16" width="8.44140625" style="9"/>
    <col min="17" max="17" width="27" style="9" bestFit="1" customWidth="1"/>
    <col min="18" max="18" width="16.6640625" style="9" bestFit="1" customWidth="1"/>
    <col min="19" max="19" width="14.5546875" style="9" bestFit="1" customWidth="1"/>
    <col min="20" max="20" width="18" style="9" bestFit="1" customWidth="1"/>
    <col min="21" max="21" width="18.44140625" style="9" bestFit="1" customWidth="1"/>
    <col min="22" max="22" width="18.6640625" style="9" bestFit="1" customWidth="1"/>
    <col min="23" max="23" width="12.6640625" style="9" bestFit="1" customWidth="1"/>
    <col min="24" max="25" width="20.5546875" style="9" customWidth="1"/>
    <col min="26" max="26" width="11.5546875" style="9" customWidth="1"/>
    <col min="27" max="27" width="11.44140625" style="9" customWidth="1"/>
    <col min="28" max="28" width="15.33203125" style="9" bestFit="1" customWidth="1"/>
    <col min="29" max="29" width="20" style="9" bestFit="1" customWidth="1"/>
    <col min="30" max="30" width="15.5546875" style="9" customWidth="1"/>
    <col min="31" max="31" width="10" style="9" bestFit="1" customWidth="1"/>
    <col min="32" max="34" width="9" style="9" bestFit="1" customWidth="1"/>
    <col min="35" max="35" width="9.109375" style="9" bestFit="1" customWidth="1"/>
    <col min="36" max="39" width="8.44140625" style="9"/>
    <col min="40" max="41" width="20" style="9" bestFit="1" customWidth="1"/>
    <col min="42" max="42" width="14.44140625" style="9" customWidth="1"/>
    <col min="43" max="16384" width="8.44140625" style="9"/>
  </cols>
  <sheetData>
    <row r="1" spans="2:34" ht="34.200000000000003" thickBot="1">
      <c r="B1" s="14" t="s">
        <v>0</v>
      </c>
      <c r="C1" s="13"/>
      <c r="D1" s="13"/>
      <c r="E1" s="13"/>
      <c r="F1" s="13"/>
      <c r="G1" s="13"/>
      <c r="H1" s="13"/>
      <c r="I1" s="13"/>
      <c r="J1" s="15"/>
      <c r="K1" s="15"/>
      <c r="L1" s="15"/>
      <c r="M1" s="15"/>
      <c r="N1" s="15"/>
      <c r="O1" s="15"/>
      <c r="P1" s="15"/>
      <c r="Q1" s="15"/>
      <c r="R1" s="15"/>
      <c r="S1" s="28">
        <f>((T1*94)/12)*1000</f>
        <v>23515666.666666668</v>
      </c>
      <c r="T1" s="16">
        <v>3002</v>
      </c>
      <c r="U1" s="1339">
        <f>T1/12</f>
        <v>250.16666666666666</v>
      </c>
      <c r="V1" s="16"/>
      <c r="W1" s="16"/>
      <c r="X1" s="16"/>
    </row>
    <row r="2" spans="2:34" ht="14.4" thickTop="1"/>
    <row r="3" spans="2:34" ht="33.6">
      <c r="B3" s="3479" t="s">
        <v>1</v>
      </c>
      <c r="C3" s="3480"/>
      <c r="D3" s="3480"/>
      <c r="E3" s="3480"/>
      <c r="F3" s="3480"/>
      <c r="G3" s="3480"/>
      <c r="H3" s="3480"/>
      <c r="I3" s="3480"/>
      <c r="J3" s="3480"/>
      <c r="Q3" s="3477" t="s">
        <v>2</v>
      </c>
      <c r="R3" s="3477"/>
      <c r="S3" s="1561" t="s">
        <v>3</v>
      </c>
      <c r="T3" s="1561" t="s">
        <v>4</v>
      </c>
      <c r="U3" s="1561" t="s">
        <v>5</v>
      </c>
      <c r="V3" s="1561" t="s">
        <v>6</v>
      </c>
      <c r="W3" s="873"/>
      <c r="X3" s="3464"/>
      <c r="Y3" s="3464"/>
      <c r="Z3" s="461"/>
      <c r="AA3" s="3464"/>
      <c r="AB3" s="3464"/>
      <c r="AC3" s="3464"/>
      <c r="AD3" s="3464"/>
      <c r="AE3" s="3464"/>
    </row>
    <row r="4" spans="2:34" ht="21" customHeight="1" thickBot="1">
      <c r="B4" s="3479"/>
      <c r="C4" s="3480"/>
      <c r="D4" s="3480"/>
      <c r="E4" s="3480"/>
      <c r="F4" s="3480"/>
      <c r="G4" s="3480"/>
      <c r="H4" s="3480"/>
      <c r="I4" s="3480"/>
      <c r="J4" s="3480"/>
      <c r="Q4" s="862" t="s">
        <v>7</v>
      </c>
      <c r="R4" s="883">
        <f>SUM(S4:V4)</f>
        <v>45050692.439999998</v>
      </c>
      <c r="S4" s="874">
        <f>SUM(Yogesh!AE3+Ashraf!AE3+Rahul!AE3+Minesh!AE3)</f>
        <v>15096544</v>
      </c>
      <c r="T4" s="924">
        <f>SUM(Gajendra!AF5+Pradeep!AF4+Sasi!AF4)</f>
        <v>16046921.439999999</v>
      </c>
      <c r="U4" s="875">
        <f>SUM(Vinay!AF3+Nitin!AD4)</f>
        <v>13078516</v>
      </c>
      <c r="V4" s="875">
        <f>Pankaj!AF3</f>
        <v>828711</v>
      </c>
      <c r="W4" s="461"/>
      <c r="X4" s="461"/>
      <c r="Y4" s="461"/>
      <c r="Z4" s="461"/>
      <c r="AA4" s="462" t="s">
        <v>8</v>
      </c>
      <c r="AB4" s="463"/>
      <c r="AC4" s="463"/>
      <c r="AD4" s="463"/>
      <c r="AE4" s="463"/>
    </row>
    <row r="5" spans="2:34" ht="24" thickBot="1">
      <c r="B5" s="164" t="s">
        <v>9</v>
      </c>
      <c r="C5" s="165" t="s">
        <v>10</v>
      </c>
      <c r="D5" s="166" t="s">
        <v>11</v>
      </c>
      <c r="E5" s="165" t="s">
        <v>12</v>
      </c>
      <c r="F5" s="166" t="s">
        <v>13</v>
      </c>
      <c r="G5" s="409" t="s">
        <v>14</v>
      </c>
      <c r="H5" s="414" t="s">
        <v>15</v>
      </c>
      <c r="I5" s="421" t="s">
        <v>16</v>
      </c>
      <c r="J5" s="423" t="s">
        <v>17</v>
      </c>
      <c r="Q5" s="862" t="s">
        <v>18</v>
      </c>
      <c r="R5" s="883">
        <f t="shared" ref="R5:R15" si="0">SUM(S5:V5)</f>
        <v>21122868.84</v>
      </c>
      <c r="S5" s="874">
        <f>SUM(Yogesh!AE4+Ashraf!AE4+Rahul!AE4+Minesh!AE4)</f>
        <v>7548651</v>
      </c>
      <c r="T5" s="924">
        <f>SUM(Gajendra!AF6+Pradeep!AF5+Sasi!AF5)</f>
        <v>6939439.8399999999</v>
      </c>
      <c r="U5" s="875">
        <f>SUM(Vinay!AF4+Nitin!AD5)</f>
        <v>6400898</v>
      </c>
      <c r="V5" s="875">
        <f>Pankaj!AF4</f>
        <v>233880</v>
      </c>
      <c r="W5" s="912" t="s">
        <v>19</v>
      </c>
      <c r="X5" s="912" t="s">
        <v>20</v>
      </c>
      <c r="Y5" s="914" t="s">
        <v>21</v>
      </c>
      <c r="Z5" s="465"/>
      <c r="AA5" s="935" t="s">
        <v>22</v>
      </c>
      <c r="AB5" s="935" t="s">
        <v>2</v>
      </c>
      <c r="AC5" s="935" t="s">
        <v>23</v>
      </c>
      <c r="AD5" s="625" t="s">
        <v>24</v>
      </c>
      <c r="AE5" s="625" t="s">
        <v>3</v>
      </c>
      <c r="AF5" s="625" t="s">
        <v>4</v>
      </c>
      <c r="AG5" s="625" t="s">
        <v>5</v>
      </c>
      <c r="AH5" s="625" t="s">
        <v>6</v>
      </c>
    </row>
    <row r="6" spans="2:34" ht="24" thickBot="1">
      <c r="B6" s="161" t="s">
        <v>3</v>
      </c>
      <c r="C6" s="148">
        <f>Yogesh!B4+Ashraf!B5+Minesh!B4+Rahul!B4</f>
        <v>529</v>
      </c>
      <c r="D6" s="152">
        <f>C28</f>
        <v>201107949</v>
      </c>
      <c r="E6" s="156">
        <f>D28</f>
        <v>132310920</v>
      </c>
      <c r="F6" s="405">
        <f>Yogesh!V5+Ashraf!V6+Rahul!V5+Minesh!V5</f>
        <v>47022033</v>
      </c>
      <c r="G6" s="411">
        <f>E28</f>
        <v>128881401</v>
      </c>
      <c r="H6" s="459">
        <v>121446000</v>
      </c>
      <c r="I6" s="422">
        <f>(H6-G6)/-H6</f>
        <v>6.1223926683464255E-2</v>
      </c>
      <c r="J6" s="424">
        <f>H6-G6</f>
        <v>-7435401</v>
      </c>
      <c r="Q6" s="862" t="s">
        <v>25</v>
      </c>
      <c r="R6" s="883">
        <f t="shared" si="0"/>
        <v>24059431.879999999</v>
      </c>
      <c r="S6" s="874">
        <f>SUM(Yogesh!AE5+Ashraf!AE5+Rahul!AE5+Minesh!AE5)</f>
        <v>10061774</v>
      </c>
      <c r="T6" s="924">
        <f>SUM(Gajendra!AF7+Pradeep!AF6+Sasi!AF6)</f>
        <v>10184993.879999999</v>
      </c>
      <c r="U6" s="875">
        <f>SUM(Vinay!AF5+Nitin!AD6)</f>
        <v>2708802</v>
      </c>
      <c r="V6" s="875">
        <f>Pankaj!AF5</f>
        <v>1103862</v>
      </c>
      <c r="W6" s="913">
        <f>SUM(R4:R6)</f>
        <v>90232993.159999996</v>
      </c>
      <c r="X6" s="912">
        <f>S1*3</f>
        <v>70547000</v>
      </c>
      <c r="Y6" s="915">
        <f>SUM(W6-X6)/X6</f>
        <v>0.2790479135895218</v>
      </c>
      <c r="Z6" s="466"/>
      <c r="AA6" s="919" t="s">
        <v>26</v>
      </c>
      <c r="AB6" s="919">
        <f>SUM(AE6:AH6)</f>
        <v>39877565</v>
      </c>
      <c r="AC6" s="920">
        <f t="shared" ref="AC6:AC16" si="1">(AB6/$S$97)/1000</f>
        <v>428.79102150537631</v>
      </c>
      <c r="AD6" s="625" t="s">
        <v>27</v>
      </c>
      <c r="AE6" s="625">
        <v>9286760</v>
      </c>
      <c r="AF6" s="625">
        <v>12347508</v>
      </c>
      <c r="AG6" s="625">
        <v>17539857</v>
      </c>
      <c r="AH6" s="625">
        <v>703440</v>
      </c>
    </row>
    <row r="7" spans="2:34" ht="24" thickBot="1">
      <c r="B7" s="162" t="s">
        <v>4</v>
      </c>
      <c r="C7" s="149">
        <f>Gajendra!B5+Pradeep!B4+Sasi!B4</f>
        <v>354</v>
      </c>
      <c r="D7" s="153">
        <f>C45</f>
        <v>176864021.59</v>
      </c>
      <c r="E7" s="157">
        <f>D45</f>
        <v>95676326.610000014</v>
      </c>
      <c r="F7" s="406">
        <f>Gajendra!V6+Pradeep!V5+Sasi!V5</f>
        <v>63631579.32</v>
      </c>
      <c r="G7" s="412">
        <f>E45</f>
        <v>100601530</v>
      </c>
      <c r="H7" s="459">
        <v>107487000</v>
      </c>
      <c r="I7" s="422">
        <f>(H7-G7)/-H7</f>
        <v>-6.4058630345995335E-2</v>
      </c>
      <c r="J7" s="424">
        <f>H7-G7</f>
        <v>6885470</v>
      </c>
      <c r="Q7" s="862" t="s">
        <v>28</v>
      </c>
      <c r="R7" s="883">
        <f t="shared" si="0"/>
        <v>61495166.519999996</v>
      </c>
      <c r="S7" s="874">
        <f>SUM(Yogesh!AE6+Ashraf!AE6+Rahul!AE6+Minesh!AE6)</f>
        <v>38455613</v>
      </c>
      <c r="T7" s="924">
        <f>SUM(Gajendra!AF8+Pradeep!AF7+Sasi!AF7)</f>
        <v>13886378.52</v>
      </c>
      <c r="U7" s="875">
        <f>SUM(Vinay!AF6+Nitin!AD7)</f>
        <v>9153175</v>
      </c>
      <c r="V7" s="875">
        <f>Pankaj!AF6</f>
        <v>0</v>
      </c>
      <c r="W7" s="464"/>
      <c r="X7" s="464"/>
      <c r="Y7" s="466"/>
      <c r="Z7" s="466"/>
      <c r="AA7" s="919" t="s">
        <v>29</v>
      </c>
      <c r="AB7" s="919">
        <f t="shared" ref="AB7:AB10" si="2">SUM(AE7:AH7)</f>
        <v>24653350.079999998</v>
      </c>
      <c r="AC7" s="920">
        <f t="shared" si="1"/>
        <v>265.08978580645157</v>
      </c>
      <c r="AD7" s="625" t="s">
        <v>25</v>
      </c>
      <c r="AE7" s="625">
        <v>8359399</v>
      </c>
      <c r="AF7" s="625">
        <v>15286310.079999998</v>
      </c>
      <c r="AG7" s="625">
        <v>1007641</v>
      </c>
      <c r="AH7" s="625">
        <v>0</v>
      </c>
    </row>
    <row r="8" spans="2:34" ht="24" thickBot="1">
      <c r="B8" s="162" t="s">
        <v>5</v>
      </c>
      <c r="C8" s="149">
        <f>Nitin!B4+Vinay!B4</f>
        <v>172</v>
      </c>
      <c r="D8" s="153">
        <f>C62</f>
        <v>101408542</v>
      </c>
      <c r="E8" s="157">
        <f>D62</f>
        <v>25743743</v>
      </c>
      <c r="F8" s="406">
        <f>Vinay!V5+Nitin!V5</f>
        <v>43216777</v>
      </c>
      <c r="G8" s="413">
        <f>E62</f>
        <v>31713749</v>
      </c>
      <c r="H8" s="459">
        <v>39086000</v>
      </c>
      <c r="I8" s="422">
        <f>(H8-G8)/-H8</f>
        <v>-0.1886161541216804</v>
      </c>
      <c r="J8" s="424">
        <f>H8-G8</f>
        <v>7372251</v>
      </c>
      <c r="Q8" s="862" t="s">
        <v>30</v>
      </c>
      <c r="R8" s="883">
        <f t="shared" si="0"/>
        <v>26287546.800000001</v>
      </c>
      <c r="S8" s="874">
        <f>SUM(Yogesh!AE7+Ashraf!AE7+Rahul!AE7+Minesh!AE7)</f>
        <v>15750042</v>
      </c>
      <c r="T8" s="874">
        <f>SUM(Gajendra!AF9+Pradeep!AF8+Sasi!AF8)</f>
        <v>4930834.8</v>
      </c>
      <c r="U8" s="875">
        <f>Vinay!AF7+Nitin!AF8</f>
        <v>4567340</v>
      </c>
      <c r="V8" s="875">
        <f>Pankaj!AF7</f>
        <v>1039330</v>
      </c>
      <c r="W8" s="912" t="s">
        <v>31</v>
      </c>
      <c r="X8" s="912" t="s">
        <v>32</v>
      </c>
      <c r="Y8" s="914" t="s">
        <v>21</v>
      </c>
      <c r="Z8" s="466"/>
      <c r="AA8" s="919" t="s">
        <v>33</v>
      </c>
      <c r="AB8" s="919">
        <f>SUM(AE8:AH8)</f>
        <v>53554063.100000001</v>
      </c>
      <c r="AC8" s="920">
        <f t="shared" si="1"/>
        <v>575.85014086021511</v>
      </c>
      <c r="AD8" s="625" t="s">
        <v>28</v>
      </c>
      <c r="AE8" s="625">
        <v>35536379</v>
      </c>
      <c r="AF8" s="625">
        <v>16382704.100000001</v>
      </c>
      <c r="AG8" s="625">
        <v>1634980</v>
      </c>
      <c r="AH8" s="625">
        <v>0</v>
      </c>
    </row>
    <row r="9" spans="2:34" ht="24" thickBot="1">
      <c r="B9" s="163" t="s">
        <v>6</v>
      </c>
      <c r="C9" s="150">
        <f>Pankaj!B4</f>
        <v>29</v>
      </c>
      <c r="D9" s="154">
        <f>C79</f>
        <v>12643664</v>
      </c>
      <c r="E9" s="158">
        <f>D79</f>
        <v>4782292.4000000004</v>
      </c>
      <c r="F9" s="407">
        <f>Pankaj!V5</f>
        <v>7778194.5999999996</v>
      </c>
      <c r="G9" s="413">
        <f>E79</f>
        <v>5968893</v>
      </c>
      <c r="H9" s="460">
        <v>11167000</v>
      </c>
      <c r="I9" s="422">
        <f>(H9-G9)/-H9</f>
        <v>-0.4654882242321125</v>
      </c>
      <c r="J9" s="425">
        <f>H9-G9</f>
        <v>5198107</v>
      </c>
      <c r="Q9" s="862" t="s">
        <v>34</v>
      </c>
      <c r="R9" s="883">
        <f t="shared" si="0"/>
        <v>25930489</v>
      </c>
      <c r="S9" s="874">
        <f>SUM(Yogesh!AE8+Ashraf!AE8+Rahul!AE8+Minesh!AE8)</f>
        <v>16934646</v>
      </c>
      <c r="T9" s="874">
        <f>SUM(Gajendra!AF10+Pradeep!AF9+Sasi!AF9)</f>
        <v>3121332</v>
      </c>
      <c r="U9" s="875">
        <f>SUM(Vinay!AF8+Nitin!AF9)</f>
        <v>5874511</v>
      </c>
      <c r="V9" s="875">
        <f>Pankaj!AF8</f>
        <v>0</v>
      </c>
      <c r="W9" s="913">
        <f>SUM(R7:R9)</f>
        <v>113713202.31999999</v>
      </c>
      <c r="X9" s="912">
        <f>S1*3</f>
        <v>70547000</v>
      </c>
      <c r="Y9" s="915">
        <f>SUM(W9-X9)/X9</f>
        <v>0.61187863863807102</v>
      </c>
      <c r="Z9" s="466"/>
      <c r="AA9" s="919" t="s">
        <v>35</v>
      </c>
      <c r="AB9" s="919">
        <f t="shared" si="2"/>
        <v>45486915.799999997</v>
      </c>
      <c r="AC9" s="920">
        <f t="shared" si="1"/>
        <v>489.10662150537632</v>
      </c>
      <c r="AD9" s="625" t="s">
        <v>30</v>
      </c>
      <c r="AE9" s="625">
        <v>27968195</v>
      </c>
      <c r="AF9" s="625">
        <v>9505075.8000000007</v>
      </c>
      <c r="AG9" s="625">
        <v>6429763</v>
      </c>
      <c r="AH9" s="625">
        <v>1583882</v>
      </c>
    </row>
    <row r="10" spans="2:34" ht="24" thickBot="1">
      <c r="B10" s="160" t="s">
        <v>36</v>
      </c>
      <c r="C10" s="151">
        <f t="shared" ref="C10:E10" si="3">SUM(C6:C9)</f>
        <v>1084</v>
      </c>
      <c r="D10" s="155">
        <f t="shared" si="3"/>
        <v>492024176.59000003</v>
      </c>
      <c r="E10" s="159">
        <f t="shared" si="3"/>
        <v>258513282.01000002</v>
      </c>
      <c r="F10" s="408">
        <f>SUM(F6:F9)</f>
        <v>161648583.91999999</v>
      </c>
      <c r="G10" s="410">
        <f>SUM(G6:G9)</f>
        <v>267165573</v>
      </c>
      <c r="H10" s="415">
        <f>SUM(H6:H9)</f>
        <v>279186000</v>
      </c>
      <c r="I10" s="422">
        <f>(H10-G10)/-H10</f>
        <v>-4.3055264232447182E-2</v>
      </c>
      <c r="J10" s="426">
        <f>H10-G10</f>
        <v>12020427</v>
      </c>
      <c r="Q10" s="862" t="s">
        <v>37</v>
      </c>
      <c r="R10" s="883">
        <f t="shared" si="0"/>
        <v>25780849.210000001</v>
      </c>
      <c r="S10" s="874">
        <f>SUM(Yogesh!AE9+Ashraf!AE9+Rahul!AE9+Minesh!AE9)</f>
        <v>8768673</v>
      </c>
      <c r="T10" s="874">
        <f>SUM(Gajendra!AF11+Pradeep!AF10+Sasi!AF10)</f>
        <v>14634990.210000001</v>
      </c>
      <c r="U10" s="875">
        <f>SUM(Vinay!AD12+Nitin!AD10)</f>
        <v>1972332</v>
      </c>
      <c r="V10" s="875">
        <f>Pankaj!AF9</f>
        <v>404854</v>
      </c>
      <c r="W10" s="467"/>
      <c r="X10" s="464"/>
      <c r="Y10" s="466"/>
      <c r="Z10" s="466"/>
      <c r="AA10" s="919" t="s">
        <v>38</v>
      </c>
      <c r="AB10" s="919">
        <f t="shared" si="2"/>
        <v>37217079</v>
      </c>
      <c r="AC10" s="920">
        <f t="shared" si="1"/>
        <v>400.18364516129031</v>
      </c>
      <c r="AD10" s="625" t="s">
        <v>34</v>
      </c>
      <c r="AE10" s="625">
        <v>24125701</v>
      </c>
      <c r="AF10" s="625">
        <v>11748673</v>
      </c>
      <c r="AG10" s="625">
        <v>1203007</v>
      </c>
      <c r="AH10" s="625">
        <v>139698</v>
      </c>
    </row>
    <row r="11" spans="2:34" ht="23.4">
      <c r="B11" s="102"/>
      <c r="C11" s="23"/>
      <c r="D11" s="103"/>
      <c r="E11" s="24"/>
      <c r="F11" s="24"/>
      <c r="G11" s="209"/>
      <c r="Q11" s="862" t="s">
        <v>39</v>
      </c>
      <c r="R11" s="883">
        <f t="shared" si="0"/>
        <v>38786728.280000001</v>
      </c>
      <c r="S11" s="874">
        <f>SUM(Yogesh!AE10+Ashraf!AE10+Rahul!AE10+Minesh!AE10)</f>
        <v>13636734</v>
      </c>
      <c r="T11" s="874">
        <f>SUM(Gajendra!AF12+Pradeep!AF11+Sasi!AF11)</f>
        <v>19450949.279999997</v>
      </c>
      <c r="U11" s="875">
        <f>SUM(Vinay!AF10+Nitin!AD11)</f>
        <v>5538869</v>
      </c>
      <c r="V11" s="875">
        <f>Pankaj!AF10</f>
        <v>160176</v>
      </c>
      <c r="W11" s="912" t="s">
        <v>40</v>
      </c>
      <c r="X11" s="912" t="s">
        <v>41</v>
      </c>
      <c r="Y11" s="914" t="s">
        <v>21</v>
      </c>
      <c r="Z11" s="466"/>
      <c r="AA11" s="919" t="s">
        <v>42</v>
      </c>
      <c r="AB11" s="919">
        <f t="shared" ref="AB11:AB16" si="4">SUM(AE11:AH11)</f>
        <v>23876033.210000001</v>
      </c>
      <c r="AC11" s="920">
        <f t="shared" si="1"/>
        <v>256.73153989247317</v>
      </c>
      <c r="AD11" s="625" t="s">
        <v>37</v>
      </c>
      <c r="AE11" s="625">
        <v>8954264</v>
      </c>
      <c r="AF11" s="625">
        <v>14251915.210000001</v>
      </c>
      <c r="AG11" s="625">
        <v>265000</v>
      </c>
      <c r="AH11" s="625">
        <v>404854</v>
      </c>
    </row>
    <row r="12" spans="2:34" ht="23.4">
      <c r="B12" s="167" t="s">
        <v>43</v>
      </c>
      <c r="C12" s="168"/>
      <c r="D12" s="169"/>
      <c r="E12" s="24"/>
      <c r="F12" s="24"/>
      <c r="G12" s="24"/>
      <c r="Q12" s="862" t="s">
        <v>44</v>
      </c>
      <c r="R12" s="883">
        <f t="shared" si="0"/>
        <v>35015662.5</v>
      </c>
      <c r="S12" s="874">
        <f>SUM(Yogesh!AE11+Ashraf!AE11+Rahul!AE11+Minesh!AE11)</f>
        <v>9602168</v>
      </c>
      <c r="T12" s="874">
        <f>SUM(Gajendra!AF13+Pradeep!AF12+Sasi!AF12)</f>
        <v>16361961.5</v>
      </c>
      <c r="U12" s="875">
        <f>SUM(Vinay!AF10+Nitin!AD12)</f>
        <v>8870957</v>
      </c>
      <c r="V12" s="875">
        <f>Pankaj!AF11</f>
        <v>180576</v>
      </c>
      <c r="W12" s="913">
        <f>SUM(R10:R12)</f>
        <v>99583239.99000001</v>
      </c>
      <c r="X12" s="912">
        <f>S1*3</f>
        <v>70547000</v>
      </c>
      <c r="Y12" s="915">
        <f>SUM(W12-X12)/X12</f>
        <v>0.41158716869604672</v>
      </c>
      <c r="Z12" s="466"/>
      <c r="AA12" s="919" t="s">
        <v>45</v>
      </c>
      <c r="AB12" s="919">
        <f t="shared" si="4"/>
        <v>48070993.950000003</v>
      </c>
      <c r="AC12" s="920">
        <f t="shared" si="1"/>
        <v>516.89240806451619</v>
      </c>
      <c r="AD12" s="625" t="s">
        <v>39</v>
      </c>
      <c r="AE12" s="625">
        <v>20686301</v>
      </c>
      <c r="AF12" s="625">
        <v>25365440.949999999</v>
      </c>
      <c r="AG12" s="625">
        <v>1879554</v>
      </c>
      <c r="AH12" s="625">
        <v>139698</v>
      </c>
    </row>
    <row r="13" spans="2:34" ht="19.5" customHeight="1" thickBot="1">
      <c r="G13" s="32"/>
      <c r="H13" s="9">
        <v>121446000</v>
      </c>
      <c r="K13" s="26" t="s">
        <v>46</v>
      </c>
      <c r="L13" s="27">
        <f>D28/C28</f>
        <v>0.657909946662526</v>
      </c>
      <c r="Q13" s="862" t="s">
        <v>47</v>
      </c>
      <c r="R13" s="883">
        <f t="shared" si="0"/>
        <v>34898549.600000001</v>
      </c>
      <c r="S13" s="874">
        <f>SUM(Yogesh!AE12+Ashraf!AE12+Rahul!AE12+Minesh!AE12)</f>
        <v>9102357</v>
      </c>
      <c r="T13" s="874">
        <f>SUM(Gajendra!AF14+Pradeep!AF13+Sasi!AF13)</f>
        <v>16463773.6</v>
      </c>
      <c r="U13" s="875">
        <f>SUM(Vinay!AF11+Nitin!AD13)</f>
        <v>8462431</v>
      </c>
      <c r="V13" s="875">
        <f>Pankaj!AF12</f>
        <v>869988</v>
      </c>
      <c r="AA13" s="919" t="s">
        <v>48</v>
      </c>
      <c r="AB13" s="919">
        <f t="shared" si="4"/>
        <v>0</v>
      </c>
      <c r="AC13" s="920">
        <f t="shared" si="1"/>
        <v>0</v>
      </c>
      <c r="AD13" s="625" t="s">
        <v>44</v>
      </c>
      <c r="AE13" s="625"/>
      <c r="AF13" s="625"/>
      <c r="AG13" s="625"/>
      <c r="AH13" s="625"/>
    </row>
    <row r="14" spans="2:34" ht="33.6">
      <c r="B14" s="3465" t="s">
        <v>3</v>
      </c>
      <c r="C14" s="3466"/>
      <c r="D14" s="3466"/>
      <c r="E14" s="3466"/>
      <c r="F14" s="3466"/>
      <c r="G14" s="3466"/>
      <c r="H14" s="3466"/>
      <c r="I14" s="3466"/>
      <c r="J14" s="3466"/>
      <c r="K14" s="3466"/>
      <c r="L14" s="3467"/>
      <c r="Q14" s="862" t="s">
        <v>49</v>
      </c>
      <c r="R14" s="883">
        <f t="shared" si="0"/>
        <v>45443422.939999998</v>
      </c>
      <c r="S14" s="874">
        <f>SUM(Yogesh!AE13+Ashraf!AE13+Rahul!AE13+Minesh!AE13)</f>
        <v>18982678</v>
      </c>
      <c r="T14" s="874">
        <f>SUM(Gajendra!AF15+Pradeep!AF14+Sasi!AF14)</f>
        <v>20007015.939999998</v>
      </c>
      <c r="U14" s="875">
        <f>SUM(Vinay!AF12+Nitin!AD14)</f>
        <v>3245053</v>
      </c>
      <c r="V14" s="875">
        <f>Pankaj!AF13</f>
        <v>3208676</v>
      </c>
      <c r="W14" s="912" t="s">
        <v>50</v>
      </c>
      <c r="X14" s="912" t="s">
        <v>51</v>
      </c>
      <c r="Y14" s="914" t="s">
        <v>21</v>
      </c>
      <c r="AA14" s="919" t="s">
        <v>52</v>
      </c>
      <c r="AB14" s="919">
        <f t="shared" si="4"/>
        <v>0</v>
      </c>
      <c r="AC14" s="920">
        <f t="shared" si="1"/>
        <v>0</v>
      </c>
      <c r="AD14" s="625" t="s">
        <v>47</v>
      </c>
      <c r="AE14" s="625"/>
      <c r="AF14" s="625"/>
      <c r="AG14" s="625"/>
      <c r="AH14" s="625"/>
    </row>
    <row r="15" spans="2:34" ht="18" customHeight="1" thickBot="1">
      <c r="B15" s="71" t="s">
        <v>22</v>
      </c>
      <c r="C15" s="72" t="s">
        <v>53</v>
      </c>
      <c r="D15" s="72" t="s">
        <v>54</v>
      </c>
      <c r="E15" s="73" t="s">
        <v>55</v>
      </c>
      <c r="F15" s="72" t="s">
        <v>56</v>
      </c>
      <c r="G15" s="72" t="s">
        <v>57</v>
      </c>
      <c r="H15" s="72" t="s">
        <v>58</v>
      </c>
      <c r="I15" s="74" t="s">
        <v>59</v>
      </c>
      <c r="J15" s="72" t="s">
        <v>60</v>
      </c>
      <c r="K15" s="72" t="s">
        <v>61</v>
      </c>
      <c r="L15" s="75" t="s">
        <v>60</v>
      </c>
      <c r="Q15" s="862" t="s">
        <v>62</v>
      </c>
      <c r="R15" s="883">
        <f t="shared" si="0"/>
        <v>71156885</v>
      </c>
      <c r="S15" s="874">
        <f>SUM(Yogesh!AE14+Ashraf!AE14+Rahul!AE14+Minesh!AE14)</f>
        <v>34836169</v>
      </c>
      <c r="T15" s="874">
        <f>SUM(Gajendra!AF16+Pradeep!AF15+Sasi!AF15)</f>
        <v>32235999</v>
      </c>
      <c r="U15" s="875">
        <f>SUM(Vinay!AF13+Nitin!AD15)</f>
        <v>519444</v>
      </c>
      <c r="V15" s="875">
        <f>Pankaj!AF14</f>
        <v>3565273</v>
      </c>
      <c r="W15" s="913">
        <f>SUM(R13:R15)</f>
        <v>151498857.53999999</v>
      </c>
      <c r="X15" s="912">
        <f>S1*3</f>
        <v>70547000</v>
      </c>
      <c r="Y15" s="915">
        <f>SUM(W15-X15)/X15</f>
        <v>1.1474883062355592</v>
      </c>
      <c r="AA15" s="919" t="s">
        <v>63</v>
      </c>
      <c r="AB15" s="919">
        <f t="shared" si="4"/>
        <v>0</v>
      </c>
      <c r="AC15" s="920">
        <f t="shared" si="1"/>
        <v>0</v>
      </c>
      <c r="AD15" s="625" t="s">
        <v>49</v>
      </c>
      <c r="AE15" s="625"/>
      <c r="AF15" s="625"/>
      <c r="AG15" s="625"/>
      <c r="AH15" s="625"/>
    </row>
    <row r="16" spans="2:34" ht="18" customHeight="1">
      <c r="B16" s="135" t="s">
        <v>64</v>
      </c>
      <c r="C16" s="136">
        <f>Yogesh!AC3+Ashraf!AC3+Rahul!AC3+Minesh!AC3</f>
        <v>42269479</v>
      </c>
      <c r="D16" s="136">
        <f>Yogesh!AD3+Ashraf!AD3+Rahul!AD3+Minesh!AD3</f>
        <v>13049548</v>
      </c>
      <c r="E16" s="136">
        <v>7811608</v>
      </c>
      <c r="F16" s="136">
        <f>D16-E16</f>
        <v>5237940</v>
      </c>
      <c r="G16" s="136"/>
      <c r="H16" s="136">
        <f>$H$13/12</f>
        <v>10120500</v>
      </c>
      <c r="I16" s="137">
        <f>H16-E16</f>
        <v>2308892</v>
      </c>
      <c r="J16" s="138">
        <f>(E16-H16)/E16</f>
        <v>-0.29557192321990555</v>
      </c>
      <c r="K16" s="136">
        <f>H16*4</f>
        <v>40482000</v>
      </c>
      <c r="L16" s="139">
        <f>(K16-C16)/K16</f>
        <v>-4.4154908354330322E-2</v>
      </c>
      <c r="AA16" s="919" t="s">
        <v>65</v>
      </c>
      <c r="AB16" s="919">
        <f t="shared" si="4"/>
        <v>0</v>
      </c>
      <c r="AC16" s="920">
        <f t="shared" si="1"/>
        <v>0</v>
      </c>
      <c r="AD16" s="625" t="s">
        <v>62</v>
      </c>
      <c r="AE16" s="625"/>
      <c r="AF16" s="625"/>
      <c r="AG16" s="625"/>
      <c r="AH16" s="625"/>
    </row>
    <row r="17" spans="2:25" ht="18" customHeight="1">
      <c r="B17" s="140" t="s">
        <v>66</v>
      </c>
      <c r="C17" s="136">
        <f>Yogesh!AC4+Ashraf!AC4+Rahul!AC4+Minesh!AC4</f>
        <v>14144161</v>
      </c>
      <c r="D17" s="136">
        <f>Yogesh!AD4+Ashraf!AD4+Rahul!AD4+Minesh!AD4</f>
        <v>5515905</v>
      </c>
      <c r="E17" s="141">
        <v>6378607</v>
      </c>
      <c r="F17" s="136">
        <f t="shared" ref="F17:F27" si="5">D17-E17</f>
        <v>-862702</v>
      </c>
      <c r="G17" s="141">
        <v>4650252</v>
      </c>
      <c r="H17" s="136">
        <f t="shared" ref="H17:H27" si="6">$H$13/12</f>
        <v>10120500</v>
      </c>
      <c r="I17" s="137">
        <f t="shared" ref="I17:I27" si="7">H17-E17</f>
        <v>3741893</v>
      </c>
      <c r="J17" s="138">
        <f t="shared" ref="J17:J27" si="8">(E17-H17)/E17</f>
        <v>-0.5866316893327963</v>
      </c>
      <c r="K17" s="141">
        <f t="shared" ref="K17:K27" si="9">H17*4</f>
        <v>40482000</v>
      </c>
      <c r="L17" s="143">
        <f t="shared" ref="L17:L28" si="10">(K17-C17)/K17</f>
        <v>0.65060617064374293</v>
      </c>
      <c r="Q17" s="921" t="s">
        <v>67</v>
      </c>
      <c r="R17" s="921" t="s">
        <v>68</v>
      </c>
      <c r="S17" s="921" t="s">
        <v>69</v>
      </c>
      <c r="T17" s="921" t="s">
        <v>70</v>
      </c>
      <c r="U17" s="921" t="s">
        <v>71</v>
      </c>
      <c r="V17" s="929" t="s">
        <v>3</v>
      </c>
      <c r="X17" s="921" t="s">
        <v>67</v>
      </c>
      <c r="Y17" s="921" t="s">
        <v>72</v>
      </c>
    </row>
    <row r="18" spans="2:25" ht="18" customHeight="1">
      <c r="B18" s="140" t="s">
        <v>25</v>
      </c>
      <c r="C18" s="136">
        <f>Yogesh!AC5+Ashraf!AC5+Rahul!AC5+Minesh!AC5</f>
        <v>36601272</v>
      </c>
      <c r="D18" s="136">
        <f>Yogesh!AD5+Ashraf!AD5+Rahul!AD5+Minesh!AD5</f>
        <v>12619158</v>
      </c>
      <c r="E18" s="141">
        <v>12737918</v>
      </c>
      <c r="F18" s="136">
        <f t="shared" si="5"/>
        <v>-118760</v>
      </c>
      <c r="G18" s="141">
        <v>6798827</v>
      </c>
      <c r="H18" s="136">
        <f t="shared" si="6"/>
        <v>10120500</v>
      </c>
      <c r="I18" s="137">
        <f t="shared" si="7"/>
        <v>-2617418</v>
      </c>
      <c r="J18" s="138">
        <f t="shared" si="8"/>
        <v>0.20548240301122994</v>
      </c>
      <c r="K18" s="141">
        <f t="shared" si="9"/>
        <v>40482000</v>
      </c>
      <c r="L18" s="143">
        <f t="shared" si="10"/>
        <v>9.5863050244553133E-2</v>
      </c>
      <c r="Q18" s="922" t="s">
        <v>73</v>
      </c>
      <c r="R18" s="1546">
        <f>SUMIF(Yogesh!$J$7:$J$121,"Contract",Yogesh!$N$7:$N$122)</f>
        <v>6066220</v>
      </c>
      <c r="S18" s="923">
        <f>SUMIF(Ashraf!$J$7:$J$123,"Contract",Ashraf!$N$7:$N$124)</f>
        <v>5656160</v>
      </c>
      <c r="T18" s="923">
        <f>SUMIF(Rahul!$J$7:$J$121,"Contract",Rahul!$N$7:$N$122)</f>
        <v>6519383</v>
      </c>
      <c r="U18" s="923">
        <f>SUMIF(Minesh!$J$7:$J$121,"Contract",Minesh!$N$7:$N$122)</f>
        <v>6337225</v>
      </c>
      <c r="V18" s="930">
        <f>SUM(R18:U18)</f>
        <v>24578988</v>
      </c>
      <c r="X18" s="922" t="s">
        <v>73</v>
      </c>
      <c r="Y18" s="920">
        <f t="shared" ref="Y18:Y27" si="11">SUM(R18:X18)</f>
        <v>49157976</v>
      </c>
    </row>
    <row r="19" spans="2:25" ht="18" customHeight="1">
      <c r="B19" s="140" t="s">
        <v>28</v>
      </c>
      <c r="C19" s="136">
        <f>Yogesh!AC6+Ashraf!AC6+Rahul!AC6+Minesh!AC6</f>
        <v>9380360</v>
      </c>
      <c r="D19" s="136">
        <f>Yogesh!AD6+Ashraf!AD6+Rahul!AD6+Minesh!AD6</f>
        <v>35250947</v>
      </c>
      <c r="E19" s="141">
        <v>13101611</v>
      </c>
      <c r="F19" s="136">
        <f t="shared" si="5"/>
        <v>22149336</v>
      </c>
      <c r="G19" s="141">
        <v>28944762</v>
      </c>
      <c r="H19" s="136">
        <f t="shared" si="6"/>
        <v>10120500</v>
      </c>
      <c r="I19" s="137">
        <f t="shared" si="7"/>
        <v>-2981111</v>
      </c>
      <c r="J19" s="138">
        <f t="shared" si="8"/>
        <v>0.22753774325920684</v>
      </c>
      <c r="K19" s="141">
        <f t="shared" si="9"/>
        <v>40482000</v>
      </c>
      <c r="L19" s="143">
        <f t="shared" si="10"/>
        <v>0.76828318758954595</v>
      </c>
      <c r="Q19" s="922" t="s">
        <v>74</v>
      </c>
      <c r="R19" s="1546">
        <f ca="1">SUMIF(Yogesh!$J$8:$J$122,"BD Spare",Yogesh!$N$8:S34)</f>
        <v>532632</v>
      </c>
      <c r="S19" s="923">
        <f ca="1">SUMIF(Ashraf!$J$8:$J$124,"BD Spare",Ashraf!$N$8:T35)</f>
        <v>401990</v>
      </c>
      <c r="T19" s="923">
        <f ca="1">SUMIF(Rahul!$J$8:$J$122,"BD Spare",Rahul!$N$8:U34)</f>
        <v>145900</v>
      </c>
      <c r="U19" s="923">
        <f ca="1">SUMIF(Minesh!$J$8:$J$122,"BD Spare",Minesh!$N$8:V34)</f>
        <v>0</v>
      </c>
      <c r="V19" s="930">
        <f t="shared" ref="V19:V28" ca="1" si="12">SUM(R19:U19)</f>
        <v>1080522</v>
      </c>
      <c r="X19" s="922" t="s">
        <v>74</v>
      </c>
      <c r="Y19" s="920">
        <f t="shared" ca="1" si="11"/>
        <v>2161044</v>
      </c>
    </row>
    <row r="20" spans="2:25" ht="18" customHeight="1">
      <c r="B20" s="140" t="s">
        <v>30</v>
      </c>
      <c r="C20" s="136">
        <f>Yogesh!AC7+Ashraf!AC7+Rahul!AC7+Minesh!AC7</f>
        <v>18380018</v>
      </c>
      <c r="D20" s="136">
        <f>Yogesh!AD7+Ashraf!AD7+Rahul!AD7+Minesh!AD7</f>
        <v>10887971</v>
      </c>
      <c r="E20" s="141">
        <v>28895197</v>
      </c>
      <c r="F20" s="136">
        <f t="shared" si="5"/>
        <v>-18007226</v>
      </c>
      <c r="G20" s="141">
        <v>7234307</v>
      </c>
      <c r="H20" s="136">
        <f t="shared" si="6"/>
        <v>10120500</v>
      </c>
      <c r="I20" s="137">
        <f t="shared" si="7"/>
        <v>-18774697</v>
      </c>
      <c r="J20" s="138">
        <f t="shared" si="8"/>
        <v>0.64975147945867961</v>
      </c>
      <c r="K20" s="141">
        <f t="shared" si="9"/>
        <v>40482000</v>
      </c>
      <c r="L20" s="143">
        <f t="shared" si="10"/>
        <v>0.54597060421915911</v>
      </c>
      <c r="Q20" s="922" t="s">
        <v>75</v>
      </c>
      <c r="R20" s="1546">
        <f>SUMIF(Yogesh!$J$9:$J$123,"SPP",Yogesh!$N$9:$N$124)</f>
        <v>5411008</v>
      </c>
      <c r="S20" s="923">
        <f>SUMIF(Ashraf!$J$9:$J$125,"SPP",Ashraf!$N$9:$N$126)</f>
        <v>8788209</v>
      </c>
      <c r="T20" s="923">
        <f>SUMIF(Rahul!$J$9:$J$123,"SPP",Rahul!$N$9:$N$124)</f>
        <v>4159739</v>
      </c>
      <c r="U20" s="923">
        <f>SUMIF(Minesh!$J$9:$J$123,"SPP",Minesh!$N$9:$N$124)</f>
        <v>6573780</v>
      </c>
      <c r="V20" s="930">
        <f t="shared" si="12"/>
        <v>24932736</v>
      </c>
      <c r="X20" s="922" t="s">
        <v>75</v>
      </c>
      <c r="Y20" s="920">
        <f t="shared" si="11"/>
        <v>49865472</v>
      </c>
    </row>
    <row r="21" spans="2:25" ht="18" customHeight="1">
      <c r="B21" s="140" t="s">
        <v>76</v>
      </c>
      <c r="C21" s="136">
        <f>Yogesh!AC8+Ashraf!AC8+Rahul!AC8+Minesh!AC8</f>
        <v>7996136</v>
      </c>
      <c r="D21" s="136">
        <f>Yogesh!AD8+Ashraf!AD8+Rahul!AD8+Minesh!AD8</f>
        <v>12237563</v>
      </c>
      <c r="E21" s="141">
        <v>9159288</v>
      </c>
      <c r="F21" s="136">
        <f t="shared" si="5"/>
        <v>3078275</v>
      </c>
      <c r="G21" s="141">
        <v>12189407</v>
      </c>
      <c r="H21" s="136">
        <f t="shared" si="6"/>
        <v>10120500</v>
      </c>
      <c r="I21" s="137">
        <f t="shared" si="7"/>
        <v>961212</v>
      </c>
      <c r="J21" s="138">
        <f t="shared" si="8"/>
        <v>-0.10494396507676143</v>
      </c>
      <c r="K21" s="141">
        <f t="shared" si="9"/>
        <v>40482000</v>
      </c>
      <c r="L21" s="143">
        <f t="shared" si="10"/>
        <v>0.80247675510103256</v>
      </c>
      <c r="Q21" s="922" t="s">
        <v>77</v>
      </c>
      <c r="R21" s="1546">
        <f>SUMIF(Yogesh!$J$10:$J$124,"Relocation",Yogesh!$N$10:$N$125)</f>
        <v>3348000</v>
      </c>
      <c r="S21" s="923">
        <f>SUMIF(Ashraf!$J$10:$J$126,"Relocation",Ashraf!$N$10:$N$127)</f>
        <v>2065000</v>
      </c>
      <c r="T21" s="923">
        <f>SUMIF(Rahul!$J$10:$J$124,"Relocation",Rahul!$N$10:$N$125)</f>
        <v>355000</v>
      </c>
      <c r="U21" s="923">
        <f>SUMIF(Minesh!$J$10:$J$124,"Relocation",Minesh!$N$10:$N$125)</f>
        <v>1460000</v>
      </c>
      <c r="V21" s="930">
        <f t="shared" si="12"/>
        <v>7228000</v>
      </c>
      <c r="X21" s="922" t="s">
        <v>77</v>
      </c>
      <c r="Y21" s="920">
        <f t="shared" si="11"/>
        <v>14456000</v>
      </c>
    </row>
    <row r="22" spans="2:25" ht="18" customHeight="1">
      <c r="B22" s="140" t="s">
        <v>37</v>
      </c>
      <c r="C22" s="136">
        <f>Yogesh!AC9+Ashraf!AC9+Rahul!AC9+Minesh!AC9</f>
        <v>9993977</v>
      </c>
      <c r="D22" s="136">
        <f>Yogesh!AD9+Ashraf!AD9+Rahul!AD9+Minesh!AD9</f>
        <v>8059011</v>
      </c>
      <c r="E22" s="141">
        <v>11691476</v>
      </c>
      <c r="F22" s="136">
        <f t="shared" si="5"/>
        <v>-3632465</v>
      </c>
      <c r="G22" s="141">
        <v>9044062</v>
      </c>
      <c r="H22" s="136">
        <f t="shared" si="6"/>
        <v>10120500</v>
      </c>
      <c r="I22" s="137">
        <f t="shared" si="7"/>
        <v>-1570976</v>
      </c>
      <c r="J22" s="138">
        <f t="shared" si="8"/>
        <v>0.13436934737752529</v>
      </c>
      <c r="K22" s="141">
        <f t="shared" si="9"/>
        <v>40482000</v>
      </c>
      <c r="L22" s="143">
        <f t="shared" si="10"/>
        <v>0.7531254137641421</v>
      </c>
      <c r="Q22" s="922" t="s">
        <v>78</v>
      </c>
      <c r="R22" s="1546">
        <f>SUMIF(Yogesh!$J$11:$J$125,"Software",Yogesh!$N$11:$N$126)</f>
        <v>1378000</v>
      </c>
      <c r="S22" s="923">
        <f>SUMIF(Ashraf!$J$11:$J$127,"Software",Ashraf!$N$11:$N$128)</f>
        <v>0</v>
      </c>
      <c r="T22" s="923">
        <f>SUMIF(Rahul!$J$11:$J$125,"Software",Rahul!$N$11:$N$126)</f>
        <v>0</v>
      </c>
      <c r="U22" s="923">
        <f>SUMIF(Minesh!$J$11:$J$125,"Software",Minesh!$N$11:$N$126)</f>
        <v>0</v>
      </c>
      <c r="V22" s="930">
        <f t="shared" si="12"/>
        <v>1378000</v>
      </c>
      <c r="X22" s="922" t="s">
        <v>78</v>
      </c>
      <c r="Y22" s="920">
        <f t="shared" si="11"/>
        <v>2756000</v>
      </c>
    </row>
    <row r="23" spans="2:25" ht="18" customHeight="1">
      <c r="B23" s="140" t="s">
        <v>39</v>
      </c>
      <c r="C23" s="136">
        <f>Yogesh!AC10+Ashraf!AC10+Rahul!AC10+Minesh!AC10</f>
        <v>13796991</v>
      </c>
      <c r="D23" s="136">
        <f>Yogesh!AD10+Ashraf!AD10+Rahul!AD10+Minesh!AD10</f>
        <v>8512281</v>
      </c>
      <c r="E23" s="141">
        <v>9427885</v>
      </c>
      <c r="F23" s="136">
        <f t="shared" si="5"/>
        <v>-915604</v>
      </c>
      <c r="G23" s="141">
        <v>10386133</v>
      </c>
      <c r="H23" s="136">
        <f t="shared" si="6"/>
        <v>10120500</v>
      </c>
      <c r="I23" s="137">
        <f t="shared" si="7"/>
        <v>692615</v>
      </c>
      <c r="J23" s="138">
        <f t="shared" si="8"/>
        <v>-7.3464515105986131E-2</v>
      </c>
      <c r="K23" s="141">
        <f t="shared" si="9"/>
        <v>40482000</v>
      </c>
      <c r="L23" s="143">
        <f t="shared" si="10"/>
        <v>0.65918208092485553</v>
      </c>
      <c r="Q23" s="922" t="s">
        <v>79</v>
      </c>
      <c r="R23" s="1546">
        <f>SUMIF(Yogesh!$J$12:$J$126,"BD Charges",Yogesh!$N$12:$N$127)</f>
        <v>22500</v>
      </c>
      <c r="S23" s="923">
        <f>SUMIF(Ashraf!$J$12:$J$128,"BD Charges",Ashraf!$N$12:$N$129)</f>
        <v>0</v>
      </c>
      <c r="T23" s="923">
        <f>SUMIF(Rahul!$J$12:$J$126,"BD Charges",Rahul!$N$12:$N$127)</f>
        <v>80000</v>
      </c>
      <c r="U23" s="923">
        <f>SUMIF(Minesh!$J$12:$J$126,"BD Charges",Minesh!$N$12:$N$127)</f>
        <v>106000</v>
      </c>
      <c r="V23" s="930">
        <f t="shared" si="12"/>
        <v>208500</v>
      </c>
      <c r="X23" s="922" t="s">
        <v>79</v>
      </c>
      <c r="Y23" s="920">
        <f t="shared" si="11"/>
        <v>417000</v>
      </c>
    </row>
    <row r="24" spans="2:25" ht="18" customHeight="1">
      <c r="B24" s="140" t="s">
        <v>44</v>
      </c>
      <c r="C24" s="136">
        <f>Yogesh!AC11+Ashraf!AC11+Rahul!AC11+Minesh!AC11</f>
        <v>13836161</v>
      </c>
      <c r="D24" s="136">
        <f>Yogesh!AD11+Ashraf!AD11+Rahul!AD11+Minesh!AD11</f>
        <v>5645535</v>
      </c>
      <c r="E24" s="141">
        <v>9911793</v>
      </c>
      <c r="F24" s="136">
        <f t="shared" si="5"/>
        <v>-4266258</v>
      </c>
      <c r="G24" s="141">
        <v>6448434</v>
      </c>
      <c r="H24" s="136">
        <f t="shared" si="6"/>
        <v>10120500</v>
      </c>
      <c r="I24" s="137">
        <f t="shared" si="7"/>
        <v>208707</v>
      </c>
      <c r="J24" s="138">
        <f t="shared" si="8"/>
        <v>-2.1056432473922731E-2</v>
      </c>
      <c r="K24" s="141">
        <f t="shared" si="9"/>
        <v>40482000</v>
      </c>
      <c r="L24" s="143">
        <f t="shared" si="10"/>
        <v>0.65821449039079094</v>
      </c>
      <c r="Q24" s="922" t="s">
        <v>80</v>
      </c>
      <c r="R24" s="1546">
        <f>SUMIF(Yogesh!$J$13:$J$127,"Retrofit kit",Yogesh!$N$13:$N$128)</f>
        <v>25643885</v>
      </c>
      <c r="S24" s="923">
        <f>SUMIF(Ashraf!$J$13:$J$129,"Retrofit kit",Ashraf!$N$13:$N$130)</f>
        <v>0</v>
      </c>
      <c r="T24" s="923">
        <f>SUMIF(Rahul!$J$13:$J$127,"Retrofit kit",Rahul!$N$13:$N$128)</f>
        <v>2638700</v>
      </c>
      <c r="U24" s="923">
        <f>SUMIF(Minesh!$J$13:$J$127,"Minesh",Rahul!$N$13:$N$128)</f>
        <v>0</v>
      </c>
      <c r="V24" s="930">
        <f t="shared" si="12"/>
        <v>28282585</v>
      </c>
      <c r="X24" s="922" t="s">
        <v>80</v>
      </c>
      <c r="Y24" s="920">
        <f t="shared" si="11"/>
        <v>56565170</v>
      </c>
    </row>
    <row r="25" spans="2:25" ht="18" customHeight="1">
      <c r="B25" s="140" t="s">
        <v>47</v>
      </c>
      <c r="C25" s="136">
        <f>Yogesh!AC12+Ashraf!AC12+Rahul!AC12+Minesh!AC12</f>
        <v>11308134</v>
      </c>
      <c r="D25" s="136">
        <f>Yogesh!AD12+Ashraf!AD12+Rahul!AD12+Minesh!AD12</f>
        <v>8712367</v>
      </c>
      <c r="E25" s="141">
        <v>8097887</v>
      </c>
      <c r="F25" s="136">
        <f t="shared" si="5"/>
        <v>614480</v>
      </c>
      <c r="G25" s="141">
        <v>6480022</v>
      </c>
      <c r="H25" s="136">
        <f t="shared" si="6"/>
        <v>10120500</v>
      </c>
      <c r="I25" s="137">
        <f t="shared" si="7"/>
        <v>2022613</v>
      </c>
      <c r="J25" s="138">
        <f t="shared" si="8"/>
        <v>-0.24977046481384588</v>
      </c>
      <c r="K25" s="141">
        <f t="shared" si="9"/>
        <v>40482000</v>
      </c>
      <c r="L25" s="143">
        <f t="shared" si="10"/>
        <v>0.72066266488809838</v>
      </c>
      <c r="Q25" s="922" t="s">
        <v>81</v>
      </c>
      <c r="R25" s="1546">
        <f>SUMIF(Yogesh!$J$14:$J$128,"Upgrade kit",Yogesh!$N$14:$N$129)</f>
        <v>112959</v>
      </c>
      <c r="S25" s="923">
        <f>SUMIF(Ashraf!$J$14:$J$130,"Upgrade kit",Ashraf!$N$14:$N$131)</f>
        <v>1499595</v>
      </c>
      <c r="T25" s="923">
        <f>SUMIF(Rahul!$J$14:$J$128,"Upgrade kit",Rahul!$N$14:$N$129)</f>
        <v>0</v>
      </c>
      <c r="U25" s="923">
        <f>SUMIF(Minesh!$J$14:$J$128,"Upgrade kit",Minesh!$N$14:$N$129)</f>
        <v>0</v>
      </c>
      <c r="V25" s="930">
        <f t="shared" si="12"/>
        <v>1612554</v>
      </c>
      <c r="X25" s="922" t="s">
        <v>81</v>
      </c>
      <c r="Y25" s="920">
        <f t="shared" si="11"/>
        <v>3225108</v>
      </c>
    </row>
    <row r="26" spans="2:25" ht="18" customHeight="1">
      <c r="B26" s="140" t="s">
        <v>49</v>
      </c>
      <c r="C26" s="136">
        <f>Yogesh!AC13+Ashraf!AC13+Rahul!AC13+Minesh!AC13</f>
        <v>14607524</v>
      </c>
      <c r="D26" s="136">
        <f>Yogesh!AD13+Ashraf!AD13+Rahul!AD13+Minesh!AD13</f>
        <v>6184871</v>
      </c>
      <c r="E26" s="141">
        <v>5314010</v>
      </c>
      <c r="F26" s="136">
        <f t="shared" si="5"/>
        <v>870861</v>
      </c>
      <c r="G26" s="141">
        <v>4773358</v>
      </c>
      <c r="H26" s="136">
        <f t="shared" si="6"/>
        <v>10120500</v>
      </c>
      <c r="I26" s="137">
        <f t="shared" si="7"/>
        <v>4806490</v>
      </c>
      <c r="J26" s="138">
        <f t="shared" si="8"/>
        <v>-0.90449396971402007</v>
      </c>
      <c r="K26" s="141">
        <f t="shared" si="9"/>
        <v>40482000</v>
      </c>
      <c r="L26" s="143">
        <f t="shared" si="10"/>
        <v>0.63916002173805642</v>
      </c>
      <c r="Q26" s="922" t="s">
        <v>82</v>
      </c>
      <c r="R26" s="1546">
        <f>SUMIF(Yogesh!$J$15:$J$129,"Training",Yogesh!$N$15:$N$130)</f>
        <v>0</v>
      </c>
      <c r="S26" s="923">
        <f>SUMIF(Ashraf!$J$15:$J$131,"Training",Ashraf!$N$15:$N$132)</f>
        <v>0</v>
      </c>
      <c r="T26" s="923">
        <f>SUMIF(Rahul!$J$15:$J$129,"Training",Rahul!$N$15:$N$130)</f>
        <v>0</v>
      </c>
      <c r="U26" s="923">
        <f>SUMIF(Minesh!$J$15:$J$129,"Training",Minesh!$N$15:$N$130)</f>
        <v>0</v>
      </c>
      <c r="V26" s="930">
        <f t="shared" si="12"/>
        <v>0</v>
      </c>
      <c r="X26" s="922" t="s">
        <v>82</v>
      </c>
      <c r="Y26" s="920">
        <f t="shared" si="11"/>
        <v>0</v>
      </c>
    </row>
    <row r="27" spans="2:25" ht="18" customHeight="1" thickBot="1">
      <c r="B27" s="144" t="s">
        <v>62</v>
      </c>
      <c r="C27" s="136">
        <f>Yogesh!AC14+Ashraf!AC14+Rahul!AC14+Minesh!AC14</f>
        <v>8793736</v>
      </c>
      <c r="D27" s="136">
        <f>Yogesh!AD14+Ashraf!AD14+Rahul!AD14+Minesh!AD14</f>
        <v>5635763</v>
      </c>
      <c r="E27" s="145">
        <v>6354121</v>
      </c>
      <c r="F27" s="136">
        <f t="shared" si="5"/>
        <v>-718358</v>
      </c>
      <c r="G27" s="145">
        <v>7368251</v>
      </c>
      <c r="H27" s="136">
        <f t="shared" si="6"/>
        <v>10120500</v>
      </c>
      <c r="I27" s="137">
        <f t="shared" si="7"/>
        <v>3766379</v>
      </c>
      <c r="J27" s="138">
        <f t="shared" si="8"/>
        <v>-0.5927458731113241</v>
      </c>
      <c r="K27" s="145">
        <f t="shared" si="9"/>
        <v>40482000</v>
      </c>
      <c r="L27" s="147">
        <f t="shared" si="10"/>
        <v>0.78277417123659898</v>
      </c>
      <c r="Q27" s="922" t="s">
        <v>83</v>
      </c>
      <c r="R27" s="1546">
        <f>SUMIF(Yogesh!$J$16:$J$130,"Midlife Upgrade",Yogesh!$N$16:$N$131)</f>
        <v>0</v>
      </c>
      <c r="S27" s="923">
        <f>SUMIF(Ashraf!$J$16:$J$132,"Midlife Upgrade",Ashraf!$N$16:$N$133)</f>
        <v>1846770</v>
      </c>
      <c r="T27" s="923">
        <f>SUMIF(Rahul!$J$16:$J$130,"Midlife Upgrade",Rahul!$N$16:$N$131)</f>
        <v>15947586</v>
      </c>
      <c r="U27" s="923">
        <f>SUMIF(Minesh!$J$16:$J$130,"Midlife Upgrade",Minesh!$N$16:$N$131)</f>
        <v>694970</v>
      </c>
      <c r="V27" s="930">
        <f t="shared" si="12"/>
        <v>18489326</v>
      </c>
      <c r="X27" s="922" t="s">
        <v>83</v>
      </c>
      <c r="Y27" s="920">
        <f t="shared" si="11"/>
        <v>36978652</v>
      </c>
    </row>
    <row r="28" spans="2:25" s="10" customFormat="1" ht="18.600000000000001" thickBot="1">
      <c r="B28" s="69" t="s">
        <v>36</v>
      </c>
      <c r="C28" s="70">
        <f>SUM(C16:C27)</f>
        <v>201107949</v>
      </c>
      <c r="D28" s="69">
        <f t="shared" ref="D28" si="13">SUM(D16:D27)</f>
        <v>132310920</v>
      </c>
      <c r="E28" s="70">
        <f>SUM(E16:E27)</f>
        <v>128881401</v>
      </c>
      <c r="F28" s="69">
        <f>SUM(F16:F27)</f>
        <v>3429519</v>
      </c>
      <c r="G28" s="69"/>
      <c r="H28" s="70">
        <f>SUM(H16:H27)</f>
        <v>121446000</v>
      </c>
      <c r="I28" s="104">
        <f>SUM(I16:I27)</f>
        <v>-7435401</v>
      </c>
      <c r="J28" s="76"/>
      <c r="K28" s="170">
        <f>SUM(K16:K27)</f>
        <v>485784000</v>
      </c>
      <c r="L28" s="77">
        <f t="shared" si="10"/>
        <v>0.58601364186552052</v>
      </c>
      <c r="Q28" s="919" t="s">
        <v>36</v>
      </c>
      <c r="R28" s="923">
        <f ca="1">SUM(R18:R27)</f>
        <v>42515204</v>
      </c>
      <c r="S28" s="923">
        <f ca="1">SUM(S18:S27)</f>
        <v>20257724</v>
      </c>
      <c r="T28" s="923">
        <f ca="1">SUM(T18:T27)</f>
        <v>29846308</v>
      </c>
      <c r="U28" s="923">
        <f ca="1">SUM(U18:U27)</f>
        <v>15171975</v>
      </c>
      <c r="V28" s="930">
        <f t="shared" ca="1" si="12"/>
        <v>107791211</v>
      </c>
      <c r="W28" s="9"/>
      <c r="X28" s="919" t="s">
        <v>36</v>
      </c>
      <c r="Y28" s="920">
        <f ca="1">SUM(Y18:Y27)</f>
        <v>215582422</v>
      </c>
    </row>
    <row r="29" spans="2:25" s="10" customFormat="1">
      <c r="Q29" s="9"/>
      <c r="R29" s="9"/>
      <c r="S29" s="9"/>
      <c r="T29" s="9"/>
      <c r="U29" s="9"/>
      <c r="V29" s="9"/>
      <c r="W29" s="9"/>
      <c r="X29" s="9"/>
      <c r="Y29" s="9"/>
    </row>
    <row r="30" spans="2:25" ht="18.600000000000001" thickBot="1">
      <c r="H30" s="32">
        <v>107487000</v>
      </c>
      <c r="K30" s="78" t="s">
        <v>46</v>
      </c>
      <c r="L30" s="79">
        <f>D45/C45</f>
        <v>0.540959804882157</v>
      </c>
      <c r="Q30" s="921" t="s">
        <v>67</v>
      </c>
      <c r="R30" s="921" t="s">
        <v>84</v>
      </c>
      <c r="S30" s="921" t="s">
        <v>85</v>
      </c>
      <c r="T30" s="921" t="s">
        <v>86</v>
      </c>
      <c r="U30" s="929"/>
      <c r="V30" s="929" t="s">
        <v>87</v>
      </c>
    </row>
    <row r="31" spans="2:25" ht="33.6">
      <c r="B31" s="3468" t="s">
        <v>4</v>
      </c>
      <c r="C31" s="3469"/>
      <c r="D31" s="3469"/>
      <c r="E31" s="3469"/>
      <c r="F31" s="3469"/>
      <c r="G31" s="3469"/>
      <c r="H31" s="3469"/>
      <c r="I31" s="3469"/>
      <c r="J31" s="3469"/>
      <c r="K31" s="3469"/>
      <c r="L31" s="3470"/>
      <c r="Q31" s="922" t="s">
        <v>73</v>
      </c>
      <c r="R31" s="874">
        <f>SUMIF(Gajendra!$J$7:$J$109,"Contract",Gajendra!$N$7:$N$110)</f>
        <v>5393822.9100000001</v>
      </c>
      <c r="S31" s="874">
        <f>SUMIF(Pradeep!$J$7:$J$121,"Contract",Pradeep!$N$7:$N$122)</f>
        <v>5735921</v>
      </c>
      <c r="T31" s="924">
        <f>SUMIF(Sasi!$J$7:$J$125,"Contract",Sasi!$N$7:$N$126)</f>
        <v>7382731</v>
      </c>
      <c r="U31" s="929"/>
      <c r="V31" s="930">
        <f t="shared" ref="V31:V40" si="14">SUM(R31:U31)</f>
        <v>18512474.91</v>
      </c>
      <c r="W31" s="10"/>
      <c r="X31" s="10"/>
      <c r="Y31" s="10"/>
    </row>
    <row r="32" spans="2:25" ht="18.600000000000001" thickBot="1">
      <c r="B32" s="71" t="s">
        <v>22</v>
      </c>
      <c r="C32" s="72" t="s">
        <v>53</v>
      </c>
      <c r="D32" s="72" t="s">
        <v>54</v>
      </c>
      <c r="E32" s="72" t="s">
        <v>88</v>
      </c>
      <c r="F32" s="72" t="s">
        <v>56</v>
      </c>
      <c r="G32" s="72" t="s">
        <v>57</v>
      </c>
      <c r="H32" s="72" t="s">
        <v>58</v>
      </c>
      <c r="I32" s="75" t="s">
        <v>59</v>
      </c>
      <c r="J32" s="75" t="s">
        <v>60</v>
      </c>
      <c r="K32" s="72" t="s">
        <v>61</v>
      </c>
      <c r="L32" s="75" t="s">
        <v>60</v>
      </c>
      <c r="Q32" s="922" t="s">
        <v>74</v>
      </c>
      <c r="R32" s="874">
        <f ca="1">SUMIF(Gajendra!$J$8:$J$110,"BD Spare",Gajendra!$N$8:W34)</f>
        <v>1640845.1800000002</v>
      </c>
      <c r="S32" s="874">
        <f ca="1">SUMIF(Pradeep!$J$8:$J$122,"BD Spare",Pradeep!$N$8:X34)</f>
        <v>0</v>
      </c>
      <c r="T32" s="924">
        <f ca="1">SUMIF(Sasi!$J$9:$J$126,"BD Spare",Sasi!$N$9:Y35)</f>
        <v>1894886</v>
      </c>
      <c r="U32" s="929"/>
      <c r="V32" s="930">
        <f t="shared" ca="1" si="14"/>
        <v>3535731.18</v>
      </c>
      <c r="W32" s="10"/>
      <c r="X32" s="10"/>
      <c r="Y32" s="10"/>
    </row>
    <row r="33" spans="2:25" ht="18">
      <c r="B33" s="135" t="s">
        <v>64</v>
      </c>
      <c r="C33" s="136">
        <f>Gajendra!AD5+Pradeep!AD4+Sasi!AD4</f>
        <v>25413869.920000002</v>
      </c>
      <c r="D33" s="136">
        <f>Gajendra!AE5+Pradeep!AE4+Sasi!AE4</f>
        <v>15621491.280000001</v>
      </c>
      <c r="E33" s="136">
        <v>7293960</v>
      </c>
      <c r="F33" s="136">
        <f>D33-E33</f>
        <v>8327531.2800000012</v>
      </c>
      <c r="G33" s="136"/>
      <c r="H33" s="136">
        <f>$H$30/12</f>
        <v>8957250</v>
      </c>
      <c r="I33" s="137">
        <f>H33-E33</f>
        <v>1663290</v>
      </c>
      <c r="J33" s="138">
        <f t="shared" ref="J33:J44" si="15">(E33-H33)/E33</f>
        <v>-0.22803662208183209</v>
      </c>
      <c r="K33" s="136">
        <f>H33*4</f>
        <v>35829000</v>
      </c>
      <c r="L33" s="139">
        <f>(K33-C33)/K33</f>
        <v>0.29068994613302068</v>
      </c>
      <c r="Q33" s="922" t="s">
        <v>75</v>
      </c>
      <c r="R33" s="874">
        <f>SUMIF(Gajendra!$J$9:$J$111,"SPP",Gajendra!$N$9:$N$111)</f>
        <v>13110148.09</v>
      </c>
      <c r="S33" s="874">
        <f>SUMIF(Pradeep!$J$9:$J$123,"SPP",Pradeep!$N$9:$N$124)</f>
        <v>6566455</v>
      </c>
      <c r="T33" s="924">
        <f>SUMIF(Sasi!$J$10:$J$127,"SPP",Sasi!$N$10:$N$128)</f>
        <v>13729354.039999999</v>
      </c>
      <c r="U33" s="929"/>
      <c r="V33" s="930">
        <f t="shared" si="14"/>
        <v>33405957.129999999</v>
      </c>
    </row>
    <row r="34" spans="2:25" ht="18">
      <c r="B34" s="140" t="s">
        <v>66</v>
      </c>
      <c r="C34" s="136">
        <f>Gajendra!AD6+Pradeep!AD5+Sasi!AD5</f>
        <v>11306007.74</v>
      </c>
      <c r="D34" s="136">
        <f>Gajendra!AE6+Pradeep!AE5+Sasi!AE5</f>
        <v>4063710.4000000004</v>
      </c>
      <c r="E34" s="141">
        <v>6764704</v>
      </c>
      <c r="F34" s="136">
        <f t="shared" ref="F34:F44" si="16">D34-E34</f>
        <v>-2700993.5999999996</v>
      </c>
      <c r="G34" s="141">
        <v>4655891</v>
      </c>
      <c r="H34" s="136">
        <f t="shared" ref="H34:H44" si="17">$H$30/12</f>
        <v>8957250</v>
      </c>
      <c r="I34" s="137">
        <f t="shared" ref="I34:I44" si="18">H34-E34</f>
        <v>2192546</v>
      </c>
      <c r="J34" s="142">
        <f t="shared" si="15"/>
        <v>-0.32411558584085864</v>
      </c>
      <c r="K34" s="141">
        <f t="shared" ref="K34:K44" si="19">H34*4</f>
        <v>35829000</v>
      </c>
      <c r="L34" s="143">
        <f t="shared" ref="L34:L44" si="20">(K34-C34)/K34</f>
        <v>0.68444534483239827</v>
      </c>
      <c r="Q34" s="922" t="s">
        <v>77</v>
      </c>
      <c r="R34" s="874">
        <f>SUMIF(Gajendra!$J$10:$J$111,"Relocation",Gajendra!$N$10:$N$111)</f>
        <v>1790070</v>
      </c>
      <c r="S34" s="874">
        <f>SUMIF(Pradeep!$J$10:$J$124,"Relocation",Pradeep!$N$10:$N$125)</f>
        <v>260000</v>
      </c>
      <c r="T34" s="924">
        <f>SUMIF(Sasi!$J$11:$J$128,"Relocation",Sasi!$N$11:$N$129)</f>
        <v>5287040</v>
      </c>
      <c r="U34" s="929"/>
      <c r="V34" s="930">
        <f t="shared" si="14"/>
        <v>7337110</v>
      </c>
    </row>
    <row r="35" spans="2:25" ht="18">
      <c r="B35" s="140" t="s">
        <v>25</v>
      </c>
      <c r="C35" s="136">
        <f>Gajendra!AD7+Pradeep!AD6+Sasi!AD6</f>
        <v>14264904.880000001</v>
      </c>
      <c r="D35" s="136">
        <f>Gajendra!AE7+Pradeep!AE6+Sasi!AE6</f>
        <v>7013109.5599999996</v>
      </c>
      <c r="E35" s="141">
        <v>9361455</v>
      </c>
      <c r="F35" s="136">
        <f t="shared" si="16"/>
        <v>-2348345.4400000004</v>
      </c>
      <c r="G35" s="141">
        <v>3686928</v>
      </c>
      <c r="H35" s="136">
        <f t="shared" si="17"/>
        <v>8957250</v>
      </c>
      <c r="I35" s="137">
        <f t="shared" si="18"/>
        <v>-404205</v>
      </c>
      <c r="J35" s="142">
        <f t="shared" si="15"/>
        <v>4.3177582971877772E-2</v>
      </c>
      <c r="K35" s="141">
        <f t="shared" si="19"/>
        <v>35829000</v>
      </c>
      <c r="L35" s="143">
        <f t="shared" si="20"/>
        <v>0.60186148427251662</v>
      </c>
      <c r="Q35" s="922" t="s">
        <v>78</v>
      </c>
      <c r="R35" s="874">
        <f>SUMIF(Gajendra!$J$11:$J$111,"Software",Gajendra!$N$11:$N$111)</f>
        <v>0</v>
      </c>
      <c r="S35" s="874">
        <f>SUMIF(Pradeep!$J$11:$J$125,"Software",Pradeep!$N$11:$N$126)</f>
        <v>0</v>
      </c>
      <c r="T35" s="924">
        <f>SUMIF(Sasi!$J$12:$J$129,"Software",Sasi!$N$12:$N$130)</f>
        <v>0</v>
      </c>
      <c r="U35" s="929"/>
      <c r="V35" s="930">
        <f t="shared" si="14"/>
        <v>0</v>
      </c>
    </row>
    <row r="36" spans="2:25" ht="18">
      <c r="B36" s="140" t="s">
        <v>28</v>
      </c>
      <c r="C36" s="136">
        <f>Gajendra!AD8+Pradeep!AD7+Sasi!AD7</f>
        <v>24355663.600000001</v>
      </c>
      <c r="D36" s="136">
        <f>Gajendra!AE8+Pradeep!AE7+Sasi!AE7</f>
        <v>8793519.5800000001</v>
      </c>
      <c r="E36" s="141">
        <v>8748821</v>
      </c>
      <c r="F36" s="136">
        <f t="shared" si="16"/>
        <v>44698.580000000075</v>
      </c>
      <c r="G36" s="141">
        <v>1700874</v>
      </c>
      <c r="H36" s="136">
        <f t="shared" si="17"/>
        <v>8957250</v>
      </c>
      <c r="I36" s="137">
        <f t="shared" si="18"/>
        <v>208429</v>
      </c>
      <c r="J36" s="142">
        <f t="shared" si="15"/>
        <v>-2.3823667211844889E-2</v>
      </c>
      <c r="K36" s="141">
        <f t="shared" si="19"/>
        <v>35829000</v>
      </c>
      <c r="L36" s="143">
        <f t="shared" si="20"/>
        <v>0.32022485695944619</v>
      </c>
      <c r="Q36" s="922" t="s">
        <v>79</v>
      </c>
      <c r="R36" s="874">
        <f>SUMIF(Gajendra!$J$12:$J$111,"BD Charges",Gajendra!$N$12:$N$111)</f>
        <v>33000</v>
      </c>
      <c r="S36" s="874">
        <f>SUMIF(Pradeep!$J$12:$J$126,"BD Charges",Pradeep!$N$12:$N$127)</f>
        <v>38500</v>
      </c>
      <c r="T36" s="924">
        <f>SUMIF(Sasi!$J$13:$J$130,"BD Charges",Sasi!$N$13:$N$131)</f>
        <v>0</v>
      </c>
      <c r="U36" s="929"/>
      <c r="V36" s="930">
        <f t="shared" si="14"/>
        <v>71500</v>
      </c>
    </row>
    <row r="37" spans="2:25" ht="18">
      <c r="B37" s="140" t="s">
        <v>30</v>
      </c>
      <c r="C37" s="136">
        <f>Gajendra!AD9+Pradeep!AD8+Sasi!AD8</f>
        <v>7475519.3300000001</v>
      </c>
      <c r="D37" s="136">
        <f>Gajendra!AE9+Pradeep!AE8+Sasi!AE8</f>
        <v>6251988</v>
      </c>
      <c r="E37" s="141">
        <v>1124932</v>
      </c>
      <c r="F37" s="136">
        <f t="shared" si="16"/>
        <v>5127056</v>
      </c>
      <c r="G37" s="141">
        <v>7883167</v>
      </c>
      <c r="H37" s="136">
        <f t="shared" si="17"/>
        <v>8957250</v>
      </c>
      <c r="I37" s="137">
        <f t="shared" si="18"/>
        <v>7832318</v>
      </c>
      <c r="J37" s="142">
        <f t="shared" si="15"/>
        <v>-6.9624812877578375</v>
      </c>
      <c r="K37" s="141">
        <f t="shared" si="19"/>
        <v>35829000</v>
      </c>
      <c r="L37" s="143">
        <f t="shared" si="20"/>
        <v>0.79135562449412489</v>
      </c>
      <c r="Q37" s="922" t="s">
        <v>80</v>
      </c>
      <c r="R37" s="874">
        <f>SUMIF(Gajendra!$J$13:$J$111,"Gajendra",Rahul!$N$13:$N$128)</f>
        <v>0</v>
      </c>
      <c r="S37" s="874">
        <f>SUMIF(Pradeep!$J$13:$J$127,"Pradeep",Rahul!$N$13:$N$128)</f>
        <v>0</v>
      </c>
      <c r="T37" s="924">
        <f>SUMIF(Sasi!$J$14:$J$131,"Retrofit kit",Sasi!$N$14:$N$132)</f>
        <v>3345258</v>
      </c>
      <c r="U37" s="929"/>
      <c r="V37" s="930">
        <f t="shared" si="14"/>
        <v>3345258</v>
      </c>
    </row>
    <row r="38" spans="2:25" ht="18">
      <c r="B38" s="140" t="s">
        <v>76</v>
      </c>
      <c r="C38" s="136">
        <f>Gajendra!AD10+Pradeep!AD9+Sasi!AD9</f>
        <v>9956476</v>
      </c>
      <c r="D38" s="136">
        <f>Gajendra!AE10+Pradeep!AE9+Sasi!AE9</f>
        <v>6489478.2000000002</v>
      </c>
      <c r="E38" s="141">
        <v>9214306</v>
      </c>
      <c r="F38" s="136">
        <f t="shared" si="16"/>
        <v>-2724827.8</v>
      </c>
      <c r="G38" s="141">
        <v>4008704</v>
      </c>
      <c r="H38" s="136">
        <f t="shared" si="17"/>
        <v>8957250</v>
      </c>
      <c r="I38" s="137">
        <f t="shared" si="18"/>
        <v>-257056</v>
      </c>
      <c r="J38" s="142">
        <f t="shared" si="15"/>
        <v>2.7897488969869245E-2</v>
      </c>
      <c r="K38" s="141">
        <f t="shared" si="19"/>
        <v>35829000</v>
      </c>
      <c r="L38" s="143">
        <f t="shared" si="20"/>
        <v>0.72211125066287085</v>
      </c>
      <c r="Q38" s="922" t="s">
        <v>81</v>
      </c>
      <c r="R38" s="874">
        <f>SUMIF(Gajendra!$J$14:$J$112,"Upgrade kit",Gajendra!$N$14:$N$113)</f>
        <v>1954675</v>
      </c>
      <c r="S38" s="874">
        <f>SUMIF(Pradeep!$J$14:$J$128,"Upgrade kit",Pradeep!$N$14:$N$129)</f>
        <v>2693572</v>
      </c>
      <c r="T38" s="924">
        <f>SUMIF(Sasi!$J$15:$J$132,"Upgrade kit",Sasi!$N$15:$N$133)</f>
        <v>1017585</v>
      </c>
      <c r="U38" s="929"/>
      <c r="V38" s="930">
        <f t="shared" si="14"/>
        <v>5665832</v>
      </c>
    </row>
    <row r="39" spans="2:25" ht="18">
      <c r="B39" s="140" t="s">
        <v>37</v>
      </c>
      <c r="C39" s="136">
        <f>Gajendra!AD11+Pradeep!AD10+Sasi!AD10</f>
        <v>19793872.800000001</v>
      </c>
      <c r="D39" s="136">
        <f>Gajendra!AE11+Pradeep!AE10+Sasi!AE10</f>
        <v>6787163.4000000004</v>
      </c>
      <c r="E39" s="141">
        <v>9229190</v>
      </c>
      <c r="F39" s="136">
        <f t="shared" si="16"/>
        <v>-2442026.5999999996</v>
      </c>
      <c r="G39" s="141">
        <v>3704956</v>
      </c>
      <c r="H39" s="136">
        <f t="shared" si="17"/>
        <v>8957250</v>
      </c>
      <c r="I39" s="137">
        <f t="shared" si="18"/>
        <v>-271940</v>
      </c>
      <c r="J39" s="142">
        <f t="shared" si="15"/>
        <v>2.9465207672612657E-2</v>
      </c>
      <c r="K39" s="141">
        <f t="shared" si="19"/>
        <v>35829000</v>
      </c>
      <c r="L39" s="143">
        <f t="shared" si="20"/>
        <v>0.44754604370761114</v>
      </c>
      <c r="Q39" s="922" t="s">
        <v>82</v>
      </c>
      <c r="R39" s="874">
        <f>SUMIF(Gajendra!$J$15:$J$113,"Training",Gajendra!$N$15:$N$114)</f>
        <v>0</v>
      </c>
      <c r="S39" s="874">
        <f>SUMIF(Pradeep!$J$15:$J$129,"Training",Pradeep!$N$15:$N$130)</f>
        <v>0</v>
      </c>
      <c r="T39" s="924">
        <f>SUMIF(Sasi!$J$16:$J$133,"Training",Sasi!$N$16:$N$134)</f>
        <v>0</v>
      </c>
      <c r="U39" s="929"/>
      <c r="V39" s="930">
        <f t="shared" si="14"/>
        <v>0</v>
      </c>
    </row>
    <row r="40" spans="2:25" ht="18">
      <c r="B40" s="140" t="s">
        <v>39</v>
      </c>
      <c r="C40" s="136">
        <f>Gajendra!AD12+Pradeep!AD11+Sasi!AD11</f>
        <v>16128864.32</v>
      </c>
      <c r="D40" s="136">
        <f>Gajendra!AE12+Pradeep!AE11+Sasi!AE11</f>
        <v>9060325.5899999999</v>
      </c>
      <c r="E40" s="141">
        <v>8493405</v>
      </c>
      <c r="F40" s="136">
        <f t="shared" si="16"/>
        <v>566920.58999999985</v>
      </c>
      <c r="G40" s="141">
        <v>6470925</v>
      </c>
      <c r="H40" s="136">
        <f t="shared" si="17"/>
        <v>8957250</v>
      </c>
      <c r="I40" s="137">
        <f t="shared" si="18"/>
        <v>463845</v>
      </c>
      <c r="J40" s="142">
        <f t="shared" si="15"/>
        <v>-5.4612372776289365E-2</v>
      </c>
      <c r="K40" s="141">
        <f t="shared" si="19"/>
        <v>35829000</v>
      </c>
      <c r="L40" s="143">
        <f t="shared" si="20"/>
        <v>0.5498377202824527</v>
      </c>
      <c r="Q40" s="922" t="s">
        <v>83</v>
      </c>
      <c r="R40" s="874">
        <f>SUMIF(Gajendra!$J$16:$J$114,"Midlife Upgrade",Gajendra!$N$16:$N$115)</f>
        <v>6822682.1600000001</v>
      </c>
      <c r="S40" s="874">
        <f>SUMIF(Pradeep!$J$16:$J$130,"Midlife Upgrade",Pradeep!$N$16:$N$131)</f>
        <v>2089731</v>
      </c>
      <c r="T40" s="924">
        <f>SUMIF(Sasi!$J$17:$J$134,"Midlife Upgrade",Sasi!$N$17:$N$135)</f>
        <v>3705155.7</v>
      </c>
      <c r="U40" s="929"/>
      <c r="V40" s="930">
        <f t="shared" si="14"/>
        <v>12617568.859999999</v>
      </c>
    </row>
    <row r="41" spans="2:25" ht="23.25" customHeight="1">
      <c r="B41" s="140" t="s">
        <v>44</v>
      </c>
      <c r="C41" s="136">
        <f>Gajendra!AD13+Pradeep!AD12+Sasi!AD12</f>
        <v>9615526</v>
      </c>
      <c r="D41" s="136">
        <f>Gajendra!AE13+Pradeep!AE12+Sasi!AE12</f>
        <v>4656791.76</v>
      </c>
      <c r="E41" s="141">
        <v>8975078</v>
      </c>
      <c r="F41" s="136">
        <f t="shared" si="16"/>
        <v>-4318286.24</v>
      </c>
      <c r="G41" s="141">
        <v>2238093</v>
      </c>
      <c r="H41" s="136">
        <f t="shared" si="17"/>
        <v>8957250</v>
      </c>
      <c r="I41" s="137">
        <f t="shared" si="18"/>
        <v>-17828</v>
      </c>
      <c r="J41" s="142">
        <f t="shared" si="15"/>
        <v>1.9863894219080882E-3</v>
      </c>
      <c r="K41" s="141">
        <f t="shared" si="19"/>
        <v>35829000</v>
      </c>
      <c r="L41" s="143">
        <f t="shared" si="20"/>
        <v>0.73162728516006592</v>
      </c>
      <c r="Q41" s="919" t="s">
        <v>36</v>
      </c>
      <c r="R41" s="874">
        <f ca="1">SUM(R31:R40)</f>
        <v>30745243.34</v>
      </c>
      <c r="S41" s="874">
        <f ca="1">SUM(S31:S40)</f>
        <v>17384179</v>
      </c>
      <c r="T41" s="924">
        <f ca="1">SUM(T31:T40)</f>
        <v>36362009.740000002</v>
      </c>
      <c r="U41" s="929"/>
      <c r="V41" s="930">
        <f ca="1">SUM(V31:V40)</f>
        <v>84491432.079999998</v>
      </c>
    </row>
    <row r="42" spans="2:25" ht="18">
      <c r="B42" s="140" t="s">
        <v>47</v>
      </c>
      <c r="C42" s="136">
        <f>Gajendra!AD14+Pradeep!AD13+Sasi!AD13</f>
        <v>22510217</v>
      </c>
      <c r="D42" s="136">
        <f>Gajendra!AE14+Pradeep!AE13+Sasi!AE13</f>
        <v>8516306.7199999988</v>
      </c>
      <c r="E42" s="141">
        <v>8399872</v>
      </c>
      <c r="F42" s="136">
        <f t="shared" si="16"/>
        <v>116434.71999999881</v>
      </c>
      <c r="G42" s="141">
        <v>7691541</v>
      </c>
      <c r="H42" s="136">
        <f t="shared" si="17"/>
        <v>8957250</v>
      </c>
      <c r="I42" s="137">
        <f t="shared" si="18"/>
        <v>557378</v>
      </c>
      <c r="J42" s="142">
        <f t="shared" si="15"/>
        <v>-6.6355534941484828E-2</v>
      </c>
      <c r="K42" s="141">
        <f t="shared" si="19"/>
        <v>35829000</v>
      </c>
      <c r="L42" s="143">
        <f t="shared" si="20"/>
        <v>0.37173192106952468</v>
      </c>
    </row>
    <row r="43" spans="2:25" ht="18">
      <c r="B43" s="140" t="s">
        <v>49</v>
      </c>
      <c r="C43" s="136">
        <f>Gajendra!AD15+Pradeep!AD14+Sasi!AD14</f>
        <v>10871279</v>
      </c>
      <c r="D43" s="136">
        <f>Gajendra!AE15+Pradeep!AE14+Sasi!AE14</f>
        <v>17857314.120000001</v>
      </c>
      <c r="E43" s="141">
        <v>11404623</v>
      </c>
      <c r="F43" s="136">
        <f t="shared" si="16"/>
        <v>6452691.120000001</v>
      </c>
      <c r="G43" s="141">
        <v>7517227</v>
      </c>
      <c r="H43" s="136">
        <f t="shared" si="17"/>
        <v>8957250</v>
      </c>
      <c r="I43" s="137">
        <f t="shared" si="18"/>
        <v>-2447373</v>
      </c>
      <c r="J43" s="142">
        <f t="shared" si="15"/>
        <v>0.21459481825922699</v>
      </c>
      <c r="K43" s="141">
        <f t="shared" si="19"/>
        <v>35829000</v>
      </c>
      <c r="L43" s="143">
        <f t="shared" si="20"/>
        <v>0.69657877696837756</v>
      </c>
      <c r="Q43" s="921" t="s">
        <v>67</v>
      </c>
      <c r="R43" s="921" t="s">
        <v>89</v>
      </c>
      <c r="S43" s="921" t="s">
        <v>90</v>
      </c>
      <c r="T43" s="921" t="s">
        <v>91</v>
      </c>
      <c r="U43" s="929"/>
      <c r="V43" s="929" t="s">
        <v>92</v>
      </c>
    </row>
    <row r="44" spans="2:25" ht="18.600000000000001" thickBot="1">
      <c r="B44" s="144" t="s">
        <v>62</v>
      </c>
      <c r="C44" s="136">
        <f>Gajendra!AD16+Pradeep!AD15+Sasi!AD15</f>
        <v>5171821</v>
      </c>
      <c r="D44" s="136">
        <f>Gajendra!AE16+Pradeep!AE15+Sasi!AE15</f>
        <v>565128</v>
      </c>
      <c r="E44" s="145">
        <v>11591184</v>
      </c>
      <c r="F44" s="136">
        <f t="shared" si="16"/>
        <v>-11026056</v>
      </c>
      <c r="G44" s="145">
        <v>2744227</v>
      </c>
      <c r="H44" s="136">
        <f t="shared" si="17"/>
        <v>8957250</v>
      </c>
      <c r="I44" s="137">
        <f t="shared" si="18"/>
        <v>-2633934</v>
      </c>
      <c r="J44" s="146">
        <f t="shared" si="15"/>
        <v>0.22723597520322342</v>
      </c>
      <c r="K44" s="145">
        <f t="shared" si="19"/>
        <v>35829000</v>
      </c>
      <c r="L44" s="147">
        <f t="shared" si="20"/>
        <v>0.85565265566998805</v>
      </c>
      <c r="Q44" s="922" t="s">
        <v>73</v>
      </c>
      <c r="R44" s="925">
        <f>SUMIF(Vinay!$J$7:$J$116,"Contract",Vinay!$N$7:$N$117)</f>
        <v>1085000</v>
      </c>
      <c r="S44" s="925">
        <f>SUMIF(Nitin!$J$7:$J$100,"Contract",Nitin!$N$7:$N$101)</f>
        <v>6015000</v>
      </c>
      <c r="T44" s="927">
        <f>SUMIF(Pankaj!$J$7:$J$121,"Contract",Pankaj!$N$7:$N$122)</f>
        <v>3554593</v>
      </c>
      <c r="U44" s="930"/>
      <c r="V44" s="930">
        <f t="shared" ref="V44:V54" si="21">SUM(R44:U44)</f>
        <v>10654593</v>
      </c>
    </row>
    <row r="45" spans="2:25" s="10" customFormat="1" ht="18.600000000000001" thickBot="1">
      <c r="B45" s="69" t="s">
        <v>36</v>
      </c>
      <c r="C45" s="69">
        <f t="shared" ref="C45:F45" si="22">SUM(C33:C44)</f>
        <v>176864021.59</v>
      </c>
      <c r="D45" s="69">
        <f t="shared" si="22"/>
        <v>95676326.610000014</v>
      </c>
      <c r="E45" s="69">
        <f t="shared" si="22"/>
        <v>100601530</v>
      </c>
      <c r="F45" s="69">
        <f t="shared" si="22"/>
        <v>-4925203.3899999997</v>
      </c>
      <c r="G45" s="69"/>
      <c r="H45" s="69">
        <f t="shared" ref="H45:I45" si="23">SUM(H33:H44)</f>
        <v>107487000</v>
      </c>
      <c r="I45" s="69">
        <f t="shared" si="23"/>
        <v>6885470</v>
      </c>
      <c r="J45" s="69"/>
      <c r="K45" s="76"/>
      <c r="L45" s="77"/>
      <c r="Q45" s="922" t="s">
        <v>74</v>
      </c>
      <c r="R45" s="925">
        <f ca="1">SUMIF(Vinay!$J$7:$J$117,"BD Spare",Vinay!$N$7:Z29)</f>
        <v>515799</v>
      </c>
      <c r="S45" s="925">
        <f ca="1">SUMIF(Nitin!$J$8:$J$101,"BD Spare",Nitin!$N$8:AA34)</f>
        <v>119428</v>
      </c>
      <c r="T45" s="927">
        <f ca="1">SUMIF(Pankaj!$J$8:$J$122,"BD Spare",Pankaj!$N$8:AB34)</f>
        <v>0</v>
      </c>
      <c r="U45" s="930"/>
      <c r="V45" s="930">
        <f t="shared" ca="1" si="21"/>
        <v>635227</v>
      </c>
      <c r="W45" s="9"/>
      <c r="X45" s="9"/>
      <c r="Y45" s="9"/>
    </row>
    <row r="46" spans="2:25" s="10" customFormat="1" ht="18">
      <c r="E46" s="404"/>
      <c r="Q46" s="922" t="s">
        <v>75</v>
      </c>
      <c r="R46" s="925">
        <f>SUMIF(Vinay!$J$9:$J$118,"SPP",Vinay!$N$9:$N$119)</f>
        <v>14220300</v>
      </c>
      <c r="S46" s="925">
        <f>SUMIF(Nitin!$J$9:$J$102,"SPP",Nitin!$N$9:$N$103)</f>
        <v>1520695</v>
      </c>
      <c r="T46" s="927">
        <f>SUMIF(Pankaj!$J$9:$J$123,"SPP",Pankaj!$N$9:$N$124)</f>
        <v>8175621</v>
      </c>
      <c r="U46" s="930"/>
      <c r="V46" s="930">
        <f t="shared" si="21"/>
        <v>23916616</v>
      </c>
      <c r="W46" s="9"/>
      <c r="X46" s="9"/>
      <c r="Y46" s="9"/>
    </row>
    <row r="47" spans="2:25" ht="18.600000000000001" thickBot="1">
      <c r="B47" s="10"/>
      <c r="C47" s="10"/>
      <c r="D47" s="10"/>
      <c r="E47" s="10"/>
      <c r="F47" s="10"/>
      <c r="G47" s="10"/>
      <c r="H47" s="10">
        <v>39086000</v>
      </c>
      <c r="K47" s="19" t="s">
        <v>46</v>
      </c>
      <c r="L47" s="20">
        <f>D62/C62</f>
        <v>0.25386168159285832</v>
      </c>
      <c r="Q47" s="922" t="s">
        <v>77</v>
      </c>
      <c r="R47" s="925">
        <f>SUMIF(Vinay!$J$9:$J$119,"Relocation",Vinay!$N$9:$N$120)</f>
        <v>0</v>
      </c>
      <c r="S47" s="925">
        <f>SUMIF(Nitin!$J$10:$J$103,"Relocation",Nitin!$N$10:$N$104)</f>
        <v>2310000</v>
      </c>
      <c r="T47" s="927">
        <f>SUMIF(Pankaj!$J$10:$J$124,"Relocation",Pankaj!$N$10:$N$125)</f>
        <v>0</v>
      </c>
      <c r="U47" s="930"/>
      <c r="V47" s="930">
        <f t="shared" si="21"/>
        <v>2310000</v>
      </c>
    </row>
    <row r="48" spans="2:25" ht="33.6">
      <c r="B48" s="3471" t="s">
        <v>5</v>
      </c>
      <c r="C48" s="3472"/>
      <c r="D48" s="3472"/>
      <c r="E48" s="3472"/>
      <c r="F48" s="3472"/>
      <c r="G48" s="3472"/>
      <c r="H48" s="3472"/>
      <c r="I48" s="3472"/>
      <c r="J48" s="3472"/>
      <c r="K48" s="3472"/>
      <c r="L48" s="3473"/>
      <c r="Q48" s="922" t="s">
        <v>78</v>
      </c>
      <c r="R48" s="925">
        <f>SUMIF(Vinay!$J$9:$J$120,"Software",Vinay!$N$9:$N$121)</f>
        <v>0</v>
      </c>
      <c r="S48" s="925">
        <f>SUMIF(Nitin!$J$11:$J$104,"Software",Nitin!$N$11:$N$105)</f>
        <v>0</v>
      </c>
      <c r="T48" s="927">
        <f>SUMIF(Pankaj!$J$11:$J$125,"Software",Pankaj!$N$11:$N$126)</f>
        <v>0</v>
      </c>
      <c r="U48" s="930"/>
      <c r="V48" s="930">
        <f t="shared" si="21"/>
        <v>0</v>
      </c>
    </row>
    <row r="49" spans="2:33" ht="18.600000000000001" thickBot="1">
      <c r="B49" s="71" t="s">
        <v>22</v>
      </c>
      <c r="C49" s="72" t="s">
        <v>53</v>
      </c>
      <c r="D49" s="72" t="s">
        <v>54</v>
      </c>
      <c r="E49" s="72" t="s">
        <v>88</v>
      </c>
      <c r="F49" s="72" t="s">
        <v>56</v>
      </c>
      <c r="G49" s="72" t="s">
        <v>57</v>
      </c>
      <c r="H49" s="72" t="s">
        <v>58</v>
      </c>
      <c r="I49" s="75" t="s">
        <v>59</v>
      </c>
      <c r="J49" s="75" t="s">
        <v>60</v>
      </c>
      <c r="K49" s="72" t="s">
        <v>61</v>
      </c>
      <c r="L49" s="75" t="s">
        <v>60</v>
      </c>
      <c r="Q49" s="922" t="s">
        <v>79</v>
      </c>
      <c r="R49" s="925">
        <f>SUMIF(Vinay!$J$10:$J$121,"BD Charges",Vinay!$N$10:$N$122)</f>
        <v>84000</v>
      </c>
      <c r="S49" s="925">
        <f>SUMIF(Nitin!$J$12:$J$105,"BD Charges",Nitin!$N$12:$N$106)</f>
        <v>55000</v>
      </c>
      <c r="T49" s="927">
        <f>SUMIF(Pankaj!$J$12:$J$126,"BD Charges",Pankaj!$N$12:$N$127)</f>
        <v>100000</v>
      </c>
      <c r="U49" s="930"/>
      <c r="V49" s="930">
        <f t="shared" si="21"/>
        <v>239000</v>
      </c>
    </row>
    <row r="50" spans="2:33" ht="18">
      <c r="B50" s="135" t="s">
        <v>64</v>
      </c>
      <c r="C50" s="136">
        <f>Vinay!AD3+Nitin!AD4</f>
        <v>13940362</v>
      </c>
      <c r="D50" s="136">
        <f>Vinay!AE3+Nitin!AE4</f>
        <v>2588719</v>
      </c>
      <c r="E50" s="136">
        <v>3061918</v>
      </c>
      <c r="F50" s="136">
        <f>D50-E50</f>
        <v>-473199</v>
      </c>
      <c r="G50" s="136"/>
      <c r="H50" s="136">
        <f>$H$47/12</f>
        <v>3257166.6666666665</v>
      </c>
      <c r="I50" s="137">
        <f>H50-E50</f>
        <v>195248.66666666651</v>
      </c>
      <c r="J50" s="138">
        <f t="shared" ref="J50:J61" si="24">(E50-H50)/E50</f>
        <v>-6.3766784958534647E-2</v>
      </c>
      <c r="K50" s="136">
        <f>H50*4</f>
        <v>13028666.666666666</v>
      </c>
      <c r="L50" s="139">
        <f>(K50-C50)/K50</f>
        <v>-6.9976103975848178E-2</v>
      </c>
      <c r="Q50" s="922" t="s">
        <v>80</v>
      </c>
      <c r="R50" s="925">
        <f>SUMIF(Vinay!$J$11:$J$122,"Retrofit kit",Vinay!$N$11:$N$123)</f>
        <v>3499890</v>
      </c>
      <c r="S50" s="925">
        <f>SUMIF(Nitin!$J$13:$J$106,"Retrofit kit",Nitin!$N$13:$N$107)</f>
        <v>0</v>
      </c>
      <c r="T50" s="927">
        <f>SUMIF(Pankaj!$J$13:$J$127,"Retrofit kit",Pankaj!$N$13:$N$128)</f>
        <v>0</v>
      </c>
      <c r="U50" s="930"/>
      <c r="V50" s="930">
        <f t="shared" si="21"/>
        <v>3499890</v>
      </c>
    </row>
    <row r="51" spans="2:33" ht="18">
      <c r="B51" s="140" t="s">
        <v>66</v>
      </c>
      <c r="C51" s="136">
        <f>Vinay!AD4+Nitin!AD5</f>
        <v>7552303</v>
      </c>
      <c r="D51" s="136">
        <f>Vinay!AE4+Nitin!AE5</f>
        <v>1910627</v>
      </c>
      <c r="E51" s="141">
        <v>2242471</v>
      </c>
      <c r="F51" s="136">
        <f t="shared" ref="F51:F61" si="25">D51-E51</f>
        <v>-331844</v>
      </c>
      <c r="G51" s="141">
        <v>201000</v>
      </c>
      <c r="H51" s="136">
        <f t="shared" ref="H51:H61" si="26">$H$47/12</f>
        <v>3257166.6666666665</v>
      </c>
      <c r="I51" s="137">
        <f t="shared" ref="I51:I61" si="27">H51-E51</f>
        <v>1014695.6666666665</v>
      </c>
      <c r="J51" s="142">
        <f t="shared" si="24"/>
        <v>-0.45248998389128176</v>
      </c>
      <c r="K51" s="141">
        <f t="shared" ref="K51:K61" si="28">H51*4</f>
        <v>13028666.666666666</v>
      </c>
      <c r="L51" s="143">
        <f t="shared" ref="L51:L61" si="29">(K51-C51)/K51</f>
        <v>0.42033185795425471</v>
      </c>
      <c r="Q51" s="922" t="s">
        <v>81</v>
      </c>
      <c r="R51" s="925">
        <f>SUMIF(Vinay!$J$12:$J$123,"Upgrade kit",Vinay!$N$12:$N$124)</f>
        <v>0</v>
      </c>
      <c r="S51" s="925">
        <f>SUMIF(Nitin!$J$14:$J$107,"Upgrade kit",Nitin!$N$14:$N$108)</f>
        <v>0</v>
      </c>
      <c r="T51" s="927">
        <f>SUMIF(Pankaj!$J$14:$J$128,"Upgrade kit",Pankaj!$N$14:$N$129)</f>
        <v>0</v>
      </c>
      <c r="U51" s="930"/>
      <c r="V51" s="930">
        <f t="shared" si="21"/>
        <v>0</v>
      </c>
    </row>
    <row r="52" spans="2:33" ht="18">
      <c r="B52" s="140" t="s">
        <v>25</v>
      </c>
      <c r="C52" s="136">
        <f>Vinay!AD5+Nitin!AD6</f>
        <v>4436233</v>
      </c>
      <c r="D52" s="136">
        <f>Vinay!AE5+Nitin!AE6</f>
        <v>2375554</v>
      </c>
      <c r="E52" s="141">
        <v>2761273</v>
      </c>
      <c r="F52" s="136">
        <f t="shared" si="25"/>
        <v>-385719</v>
      </c>
      <c r="G52" s="141">
        <v>1581693</v>
      </c>
      <c r="H52" s="136">
        <f t="shared" si="26"/>
        <v>3257166.6666666665</v>
      </c>
      <c r="I52" s="137">
        <f t="shared" si="27"/>
        <v>495893.66666666651</v>
      </c>
      <c r="J52" s="142">
        <f t="shared" si="24"/>
        <v>-0.17958878628323477</v>
      </c>
      <c r="K52" s="141">
        <f t="shared" si="28"/>
        <v>13028666.666666666</v>
      </c>
      <c r="L52" s="143">
        <f t="shared" si="29"/>
        <v>0.65950214910709715</v>
      </c>
      <c r="Q52" s="922" t="s">
        <v>82</v>
      </c>
      <c r="R52" s="925">
        <f>SUMIF(Vinay!$J$13:$J$124,"Training",Vinay!$N$13:$N$125)</f>
        <v>0</v>
      </c>
      <c r="S52" s="925">
        <f>SUMIF(Nitin!$J$15:$J$108,"Training",Nitin!$N$15:$N$109)</f>
        <v>0</v>
      </c>
      <c r="T52" s="927">
        <f>SUMIF(Pankaj!$J$15:$J$129,"Training",Pankaj!$N$15:$N$130)</f>
        <v>0</v>
      </c>
      <c r="U52" s="930"/>
      <c r="V52" s="930">
        <f t="shared" si="21"/>
        <v>0</v>
      </c>
    </row>
    <row r="53" spans="2:33" ht="18">
      <c r="B53" s="140" t="s">
        <v>28</v>
      </c>
      <c r="C53" s="136">
        <f>Vinay!AD6+Nitin!AD7</f>
        <v>7970891</v>
      </c>
      <c r="D53" s="136">
        <f>Vinay!AE6+Nitin!AE7</f>
        <v>1548932</v>
      </c>
      <c r="E53" s="141">
        <v>3008913</v>
      </c>
      <c r="F53" s="136">
        <f t="shared" si="25"/>
        <v>-1459981</v>
      </c>
      <c r="G53" s="141">
        <v>239020</v>
      </c>
      <c r="H53" s="136">
        <f t="shared" si="26"/>
        <v>3257166.6666666665</v>
      </c>
      <c r="I53" s="137">
        <f t="shared" si="27"/>
        <v>248253.66666666651</v>
      </c>
      <c r="J53" s="142">
        <f t="shared" si="24"/>
        <v>-8.250609660919625E-2</v>
      </c>
      <c r="K53" s="141">
        <f t="shared" si="28"/>
        <v>13028666.666666666</v>
      </c>
      <c r="L53" s="143">
        <f t="shared" si="29"/>
        <v>0.38820362789745688</v>
      </c>
      <c r="Q53" s="922" t="s">
        <v>83</v>
      </c>
      <c r="R53" s="925">
        <f>SUMIF(Vinay!$J$13:$J$125,"Midlife Upgrade",Vinay!$N$13:$N$126)</f>
        <v>0</v>
      </c>
      <c r="S53" s="925">
        <f>SUMIF(Nitin!$J$16:$J$109,"Midlife Upgrade",Nitin!$N$16:$N$110)</f>
        <v>3175199</v>
      </c>
      <c r="T53" s="927">
        <f>SUMIF(Pankaj!$J$16:$J$130,"Midlife Upgrade",Pankaj!$N$16:$N$131)</f>
        <v>0</v>
      </c>
      <c r="U53" s="930"/>
      <c r="V53" s="930">
        <f t="shared" si="21"/>
        <v>3175199</v>
      </c>
    </row>
    <row r="54" spans="2:33" ht="18">
      <c r="B54" s="140" t="s">
        <v>30</v>
      </c>
      <c r="C54" s="136">
        <f>Vinay!AD7+Nitin!AD8</f>
        <v>29200900</v>
      </c>
      <c r="D54" s="136">
        <f>Vinay!AE7+Nitin!AE8</f>
        <v>1868436</v>
      </c>
      <c r="E54" s="141">
        <v>704000</v>
      </c>
      <c r="F54" s="136">
        <f t="shared" si="25"/>
        <v>1164436</v>
      </c>
      <c r="G54" s="141">
        <v>1050876</v>
      </c>
      <c r="H54" s="136">
        <f t="shared" si="26"/>
        <v>3257166.6666666665</v>
      </c>
      <c r="I54" s="137">
        <f t="shared" si="27"/>
        <v>2553166.6666666665</v>
      </c>
      <c r="J54" s="142">
        <f t="shared" si="24"/>
        <v>-3.6266571969696968</v>
      </c>
      <c r="K54" s="141">
        <f t="shared" si="28"/>
        <v>13028666.666666666</v>
      </c>
      <c r="L54" s="143">
        <f t="shared" si="29"/>
        <v>-1.2412807654914804</v>
      </c>
      <c r="Q54" s="919" t="s">
        <v>36</v>
      </c>
      <c r="R54" s="926">
        <f ca="1">SUM(R44:R53)</f>
        <v>19404989</v>
      </c>
      <c r="S54" s="926">
        <f ca="1">SUM(S44:S53)</f>
        <v>13195322</v>
      </c>
      <c r="T54" s="928">
        <f ca="1">SUM(T44:T53)</f>
        <v>11830214</v>
      </c>
      <c r="U54" s="930"/>
      <c r="V54" s="930">
        <f t="shared" ca="1" si="21"/>
        <v>44430525</v>
      </c>
    </row>
    <row r="55" spans="2:33" ht="18">
      <c r="B55" s="140" t="s">
        <v>76</v>
      </c>
      <c r="C55" s="136">
        <f>Vinay!AD10+Nitin!AD9</f>
        <v>13294492</v>
      </c>
      <c r="D55" s="136">
        <f>Vinay!AE10+Nitin!AE9</f>
        <v>4583120</v>
      </c>
      <c r="E55" s="141">
        <v>3569567</v>
      </c>
      <c r="F55" s="136">
        <f t="shared" si="25"/>
        <v>1013553</v>
      </c>
      <c r="G55" s="141">
        <v>760002</v>
      </c>
      <c r="H55" s="136">
        <f t="shared" si="26"/>
        <v>3257166.6666666665</v>
      </c>
      <c r="I55" s="137">
        <f t="shared" si="27"/>
        <v>-312400.33333333349</v>
      </c>
      <c r="J55" s="142">
        <f t="shared" si="24"/>
        <v>8.7517711065048923E-2</v>
      </c>
      <c r="K55" s="141">
        <f t="shared" si="28"/>
        <v>13028666.666666666</v>
      </c>
      <c r="L55" s="143">
        <f t="shared" si="29"/>
        <v>-2.0403111088369286E-2</v>
      </c>
    </row>
    <row r="56" spans="2:33" ht="18.75" customHeight="1">
      <c r="B56" s="140" t="s">
        <v>37</v>
      </c>
      <c r="C56" s="136">
        <f>Vinay!AD11+Nitin!AD10</f>
        <v>2432396</v>
      </c>
      <c r="D56" s="136">
        <f>Vinay!AE11+Nitin!AE10</f>
        <v>1012557</v>
      </c>
      <c r="E56" s="141">
        <v>1681580</v>
      </c>
      <c r="F56" s="136">
        <f t="shared" si="25"/>
        <v>-669023</v>
      </c>
      <c r="G56" s="141">
        <v>4187972</v>
      </c>
      <c r="H56" s="136">
        <f t="shared" si="26"/>
        <v>3257166.6666666665</v>
      </c>
      <c r="I56" s="137">
        <f t="shared" si="27"/>
        <v>1575586.6666666665</v>
      </c>
      <c r="J56" s="142">
        <f t="shared" si="24"/>
        <v>-0.93696801024433363</v>
      </c>
      <c r="K56" s="141">
        <f t="shared" si="28"/>
        <v>13028666.666666666</v>
      </c>
      <c r="L56" s="143">
        <f t="shared" si="29"/>
        <v>0.81330430333111603</v>
      </c>
      <c r="P56" s="3478" t="s">
        <v>93</v>
      </c>
      <c r="Q56" s="3478"/>
      <c r="R56" s="3478"/>
      <c r="S56" s="3478"/>
      <c r="T56" s="3478"/>
      <c r="U56" s="3478"/>
    </row>
    <row r="57" spans="2:33" ht="18">
      <c r="B57" s="140" t="s">
        <v>39</v>
      </c>
      <c r="C57" s="136">
        <f>Vinay!AD12+Nitin!AD11</f>
        <v>4331125</v>
      </c>
      <c r="D57" s="136">
        <f>Vinay!AE12+Nitin!AE11</f>
        <v>1736763</v>
      </c>
      <c r="E57" s="141">
        <v>2564789</v>
      </c>
      <c r="F57" s="136">
        <f t="shared" si="25"/>
        <v>-828026</v>
      </c>
      <c r="G57" s="141">
        <v>5356496</v>
      </c>
      <c r="H57" s="136">
        <f t="shared" si="26"/>
        <v>3257166.6666666665</v>
      </c>
      <c r="I57" s="137">
        <f t="shared" si="27"/>
        <v>692377.66666666651</v>
      </c>
      <c r="J57" s="142">
        <f t="shared" si="24"/>
        <v>-0.26995502034150431</v>
      </c>
      <c r="K57" s="141">
        <f t="shared" si="28"/>
        <v>13028666.666666666</v>
      </c>
      <c r="L57" s="143">
        <f t="shared" si="29"/>
        <v>0.66756959013457506</v>
      </c>
      <c r="P57" s="933" t="s">
        <v>3</v>
      </c>
    </row>
    <row r="58" spans="2:33" ht="18">
      <c r="B58" s="140" t="s">
        <v>44</v>
      </c>
      <c r="C58" s="136">
        <f>Vinay!AD13+Nitin!AD12</f>
        <v>7302547</v>
      </c>
      <c r="D58" s="136">
        <f>Vinay!AE13+Nitin!AE12</f>
        <v>1632264</v>
      </c>
      <c r="E58" s="141">
        <v>2215665</v>
      </c>
      <c r="F58" s="136">
        <f t="shared" si="25"/>
        <v>-583401</v>
      </c>
      <c r="G58" s="141">
        <v>3603145</v>
      </c>
      <c r="H58" s="136">
        <f t="shared" si="26"/>
        <v>3257166.6666666665</v>
      </c>
      <c r="I58" s="137">
        <f t="shared" si="27"/>
        <v>1041501.6666666665</v>
      </c>
      <c r="J58" s="142">
        <f t="shared" si="24"/>
        <v>-0.47006278777101523</v>
      </c>
      <c r="K58" s="141">
        <f t="shared" si="28"/>
        <v>13028666.666666666</v>
      </c>
      <c r="L58" s="143">
        <f t="shared" si="29"/>
        <v>0.43950158624571456</v>
      </c>
      <c r="P58" s="934" t="s">
        <v>22</v>
      </c>
      <c r="Q58" s="934" t="s">
        <v>68</v>
      </c>
      <c r="R58" s="934" t="s">
        <v>69</v>
      </c>
      <c r="S58" s="934" t="s">
        <v>70</v>
      </c>
      <c r="T58" s="934" t="s">
        <v>71</v>
      </c>
      <c r="U58" s="934" t="s">
        <v>36</v>
      </c>
    </row>
    <row r="59" spans="2:33" ht="18">
      <c r="B59" s="140" t="s">
        <v>47</v>
      </c>
      <c r="C59" s="136">
        <f>Vinay!AD14+Nitin!AD13</f>
        <v>8461308</v>
      </c>
      <c r="D59" s="136">
        <f>Vinay!AE14+Nitin!AE13</f>
        <v>2612332</v>
      </c>
      <c r="E59" s="141">
        <v>4697947</v>
      </c>
      <c r="F59" s="136">
        <f t="shared" si="25"/>
        <v>-2085615</v>
      </c>
      <c r="G59" s="141">
        <v>3885984</v>
      </c>
      <c r="H59" s="136">
        <f t="shared" si="26"/>
        <v>3257166.6666666665</v>
      </c>
      <c r="I59" s="137">
        <f t="shared" si="27"/>
        <v>-1440780.3333333335</v>
      </c>
      <c r="J59" s="142">
        <f t="shared" si="24"/>
        <v>0.30668296882304835</v>
      </c>
      <c r="K59" s="141">
        <f t="shared" si="28"/>
        <v>13028666.666666666</v>
      </c>
      <c r="L59" s="143">
        <f t="shared" si="29"/>
        <v>0.35056224735199298</v>
      </c>
      <c r="P59" s="932" t="s">
        <v>26</v>
      </c>
      <c r="Q59" s="931">
        <f>Yogesh!AE4</f>
        <v>738000</v>
      </c>
      <c r="R59" s="931">
        <f>Ashraf!AE4</f>
        <v>1129500</v>
      </c>
      <c r="S59" s="931">
        <f>Rahul!AE4</f>
        <v>4146986</v>
      </c>
      <c r="T59" s="931">
        <f>Minesh!AE4</f>
        <v>1534165</v>
      </c>
      <c r="U59" s="931">
        <f>SUM(Q59:T59)</f>
        <v>7548651</v>
      </c>
      <c r="AC59" s="10"/>
      <c r="AD59" s="10"/>
      <c r="AE59" s="10"/>
      <c r="AF59" s="10"/>
      <c r="AG59" s="10"/>
    </row>
    <row r="60" spans="2:33" ht="18">
      <c r="B60" s="140" t="s">
        <v>49</v>
      </c>
      <c r="C60" s="136">
        <f>Vinay!AD14+Nitin!AD14</f>
        <v>2485985</v>
      </c>
      <c r="D60" s="136">
        <f>Vinay!AE14+Nitin!AE14</f>
        <v>3874439</v>
      </c>
      <c r="E60" s="141">
        <v>3256999</v>
      </c>
      <c r="F60" s="136">
        <f t="shared" si="25"/>
        <v>617440</v>
      </c>
      <c r="G60" s="141">
        <v>3510984</v>
      </c>
      <c r="H60" s="136">
        <f t="shared" si="26"/>
        <v>3257166.6666666665</v>
      </c>
      <c r="I60" s="137">
        <f t="shared" si="27"/>
        <v>167.66666666651145</v>
      </c>
      <c r="J60" s="142">
        <f t="shared" si="24"/>
        <v>-5.1478881837701349E-5</v>
      </c>
      <c r="K60" s="141">
        <f t="shared" si="28"/>
        <v>13028666.666666666</v>
      </c>
      <c r="L60" s="143">
        <f t="shared" si="29"/>
        <v>0.80919114260860669</v>
      </c>
      <c r="P60" s="932" t="s">
        <v>29</v>
      </c>
      <c r="Q60" s="931">
        <f>Yogesh!AE5</f>
        <v>799106</v>
      </c>
      <c r="R60" s="931">
        <f>Ashraf!AE5</f>
        <v>4226358</v>
      </c>
      <c r="S60" s="931">
        <f>Rahul!AE5</f>
        <v>4630660</v>
      </c>
      <c r="T60" s="931">
        <f>Minesh!AE5</f>
        <v>405650</v>
      </c>
      <c r="U60" s="931">
        <f t="shared" ref="U60:U69" si="30">SUM(Q60:T60)</f>
        <v>10061774</v>
      </c>
    </row>
    <row r="61" spans="2:33" ht="18.600000000000001" thickBot="1">
      <c r="B61" s="144" t="s">
        <v>62</v>
      </c>
      <c r="C61" s="136">
        <f>Vinay!AD15+Nitin!AD15</f>
        <v>0</v>
      </c>
      <c r="D61" s="136">
        <f>Vinay!AE15+Nitin!AE15</f>
        <v>0</v>
      </c>
      <c r="E61" s="145">
        <v>1948627</v>
      </c>
      <c r="F61" s="136">
        <f t="shared" si="25"/>
        <v>-1948627</v>
      </c>
      <c r="G61" s="145">
        <v>3131128</v>
      </c>
      <c r="H61" s="136">
        <f t="shared" si="26"/>
        <v>3257166.6666666665</v>
      </c>
      <c r="I61" s="137">
        <f t="shared" si="27"/>
        <v>1308539.6666666665</v>
      </c>
      <c r="J61" s="146">
        <f t="shared" si="24"/>
        <v>-0.671518801015621</v>
      </c>
      <c r="K61" s="145">
        <f t="shared" si="28"/>
        <v>13028666.666666666</v>
      </c>
      <c r="L61" s="147">
        <f t="shared" si="29"/>
        <v>1</v>
      </c>
      <c r="P61" s="932" t="s">
        <v>33</v>
      </c>
      <c r="Q61" s="931">
        <f>Yogesh!AE6</f>
        <v>29793925</v>
      </c>
      <c r="R61" s="931">
        <f>Ashraf!AE6</f>
        <v>1926050</v>
      </c>
      <c r="S61" s="931">
        <f>Rahul!AE6</f>
        <v>3799298</v>
      </c>
      <c r="T61" s="931">
        <f>Minesh!AE6</f>
        <v>2936340</v>
      </c>
      <c r="U61" s="931">
        <f t="shared" si="30"/>
        <v>38455613</v>
      </c>
    </row>
    <row r="62" spans="2:33" ht="18.600000000000001" thickBot="1">
      <c r="B62" s="69" t="s">
        <v>36</v>
      </c>
      <c r="C62" s="69">
        <f>SUM(C50:C61)</f>
        <v>101408542</v>
      </c>
      <c r="D62" s="69">
        <f t="shared" ref="D62:F62" si="31">SUM(D50:D61)</f>
        <v>25743743</v>
      </c>
      <c r="E62" s="69">
        <f t="shared" si="31"/>
        <v>31713749</v>
      </c>
      <c r="F62" s="69">
        <f t="shared" si="31"/>
        <v>-5970006</v>
      </c>
      <c r="G62" s="69"/>
      <c r="H62" s="69">
        <f t="shared" ref="H62:I62" si="32">SUM(H50:H61)</f>
        <v>39086000</v>
      </c>
      <c r="I62" s="69">
        <f t="shared" si="32"/>
        <v>7372250.9999999944</v>
      </c>
      <c r="J62" s="69"/>
      <c r="K62" s="76"/>
      <c r="L62" s="77"/>
      <c r="P62" s="932" t="s">
        <v>35</v>
      </c>
      <c r="Q62" s="931">
        <f>Yogesh!AE7</f>
        <v>2155128</v>
      </c>
      <c r="R62" s="931">
        <f>Ashraf!AE7</f>
        <v>5133652</v>
      </c>
      <c r="S62" s="931">
        <f>Rahul!AE7</f>
        <v>5936472</v>
      </c>
      <c r="T62" s="931">
        <f>Minesh!AE7</f>
        <v>2524790</v>
      </c>
      <c r="U62" s="931">
        <f t="shared" si="30"/>
        <v>15750042</v>
      </c>
    </row>
    <row r="63" spans="2:33">
      <c r="P63" s="932" t="s">
        <v>38</v>
      </c>
      <c r="Q63" s="931">
        <f>Yogesh!AE8</f>
        <v>2185972</v>
      </c>
      <c r="R63" s="931">
        <f>Ashraf!AE8</f>
        <v>6433266</v>
      </c>
      <c r="S63" s="931">
        <f>Rahul!AE8</f>
        <v>6140548</v>
      </c>
      <c r="T63" s="931">
        <f>Minesh!AE8</f>
        <v>2174860</v>
      </c>
      <c r="U63" s="931">
        <f t="shared" si="30"/>
        <v>16934646</v>
      </c>
    </row>
    <row r="64" spans="2:33" ht="18.600000000000001" thickBot="1">
      <c r="B64" s="10"/>
      <c r="C64" s="10"/>
      <c r="D64" s="10"/>
      <c r="E64" s="10"/>
      <c r="F64" s="10"/>
      <c r="G64" s="10"/>
      <c r="H64" s="10">
        <v>11167000</v>
      </c>
      <c r="K64" s="19" t="s">
        <v>46</v>
      </c>
      <c r="L64" s="20">
        <f>D79/C79</f>
        <v>0.37823627707917579</v>
      </c>
      <c r="P64" s="932" t="s">
        <v>42</v>
      </c>
      <c r="Q64" s="931">
        <f>Yogesh!AE9</f>
        <v>1752032</v>
      </c>
      <c r="R64" s="931">
        <f>Ashraf!AE9</f>
        <v>2640380</v>
      </c>
      <c r="S64" s="931">
        <f>Rahul!AE9</f>
        <v>4247261</v>
      </c>
      <c r="T64" s="931">
        <f>Minesh!AE9</f>
        <v>129000</v>
      </c>
      <c r="U64" s="931">
        <f t="shared" si="30"/>
        <v>8768673</v>
      </c>
    </row>
    <row r="65" spans="2:21" ht="27" customHeight="1">
      <c r="B65" s="3474" t="s">
        <v>6</v>
      </c>
      <c r="C65" s="3475"/>
      <c r="D65" s="3475"/>
      <c r="E65" s="3475"/>
      <c r="F65" s="3475"/>
      <c r="G65" s="3475"/>
      <c r="H65" s="3475"/>
      <c r="I65" s="3475"/>
      <c r="J65" s="3475"/>
      <c r="K65" s="3475"/>
      <c r="L65" s="3476"/>
      <c r="P65" s="932" t="s">
        <v>45</v>
      </c>
      <c r="Q65" s="931">
        <f>Yogesh!AE10</f>
        <v>2652512</v>
      </c>
      <c r="R65" s="931">
        <f>Ashraf!AE10</f>
        <v>4745016</v>
      </c>
      <c r="S65" s="931">
        <f>Rahul!AE10</f>
        <v>1809730</v>
      </c>
      <c r="T65" s="931">
        <f>Minesh!AE10</f>
        <v>4429476</v>
      </c>
      <c r="U65" s="931">
        <f t="shared" si="30"/>
        <v>13636734</v>
      </c>
    </row>
    <row r="66" spans="2:21" ht="18.600000000000001" thickBot="1">
      <c r="B66" s="71" t="s">
        <v>22</v>
      </c>
      <c r="C66" s="72" t="s">
        <v>53</v>
      </c>
      <c r="D66" s="72" t="s">
        <v>54</v>
      </c>
      <c r="E66" s="72" t="s">
        <v>88</v>
      </c>
      <c r="F66" s="72" t="s">
        <v>56</v>
      </c>
      <c r="G66" s="72" t="s">
        <v>57</v>
      </c>
      <c r="H66" s="72" t="s">
        <v>58</v>
      </c>
      <c r="I66" s="75" t="s">
        <v>59</v>
      </c>
      <c r="J66" s="75" t="s">
        <v>60</v>
      </c>
      <c r="K66" s="72" t="s">
        <v>61</v>
      </c>
      <c r="L66" s="75" t="s">
        <v>60</v>
      </c>
      <c r="P66" s="932" t="s">
        <v>48</v>
      </c>
      <c r="Q66" s="931">
        <f>Yogesh!AE11</f>
        <v>4109040</v>
      </c>
      <c r="R66" s="931">
        <f>Ashraf!AE11</f>
        <v>1273000</v>
      </c>
      <c r="S66" s="931">
        <f>Rahul!AE11</f>
        <v>1523678</v>
      </c>
      <c r="T66" s="931">
        <f>Minesh!AE11</f>
        <v>2696450</v>
      </c>
      <c r="U66" s="931">
        <f t="shared" si="30"/>
        <v>9602168</v>
      </c>
    </row>
    <row r="67" spans="2:21" ht="18">
      <c r="B67" s="135" t="s">
        <v>64</v>
      </c>
      <c r="C67" s="136">
        <f>Pankaj!AD3</f>
        <v>1893450</v>
      </c>
      <c r="D67" s="136">
        <f>Pankaj!AE3</f>
        <v>680982</v>
      </c>
      <c r="E67" s="136">
        <v>1170982</v>
      </c>
      <c r="F67" s="136">
        <f>D67-E67</f>
        <v>-490000</v>
      </c>
      <c r="G67" s="136"/>
      <c r="H67" s="136">
        <f>$H$64/12</f>
        <v>930583.33333333337</v>
      </c>
      <c r="I67" s="137">
        <f t="shared" ref="I67:I78" si="33">H67-E67</f>
        <v>-240398.66666666663</v>
      </c>
      <c r="J67" s="138">
        <f t="shared" ref="J67:J78" si="34">(E67-H67)/E67</f>
        <v>0.205296637067578</v>
      </c>
      <c r="K67" s="136">
        <f>H67*4</f>
        <v>3722333.3333333335</v>
      </c>
      <c r="L67" s="139">
        <f>(K67-C67)/K67</f>
        <v>0.49132712456344591</v>
      </c>
      <c r="P67" s="932" t="s">
        <v>52</v>
      </c>
      <c r="Q67" s="931">
        <f>Yogesh!AE12</f>
        <v>1603555</v>
      </c>
      <c r="R67" s="931">
        <f>Ashraf!AE12</f>
        <v>2694185</v>
      </c>
      <c r="S67" s="931">
        <f>Rahul!AE12</f>
        <v>2049077</v>
      </c>
      <c r="T67" s="931">
        <f>Minesh!AE12</f>
        <v>2755540</v>
      </c>
      <c r="U67" s="931">
        <f t="shared" si="30"/>
        <v>9102357</v>
      </c>
    </row>
    <row r="68" spans="2:21" ht="18">
      <c r="B68" s="140" t="s">
        <v>66</v>
      </c>
      <c r="C68" s="136">
        <f>Pankaj!AD4</f>
        <v>749147</v>
      </c>
      <c r="D68" s="136">
        <f>Pankaj!AE4</f>
        <v>134649</v>
      </c>
      <c r="E68" s="141">
        <v>199649</v>
      </c>
      <c r="F68" s="136">
        <f t="shared" ref="F68:F78" si="35">D68-E68</f>
        <v>-65000</v>
      </c>
      <c r="G68" s="141">
        <v>309200</v>
      </c>
      <c r="H68" s="136">
        <f t="shared" ref="H68:H78" si="36">$H$64/12</f>
        <v>930583.33333333337</v>
      </c>
      <c r="I68" s="137">
        <f t="shared" si="33"/>
        <v>730934.33333333337</v>
      </c>
      <c r="J68" s="142">
        <f t="shared" si="34"/>
        <v>-3.6610968917116207</v>
      </c>
      <c r="K68" s="141">
        <f t="shared" ref="K68:K78" si="37">H68*4</f>
        <v>3722333.3333333335</v>
      </c>
      <c r="L68" s="143">
        <f t="shared" ref="L68:L78" si="38">(K68-C68)/K68</f>
        <v>0.79874263454822247</v>
      </c>
      <c r="P68" s="932" t="s">
        <v>63</v>
      </c>
      <c r="Q68" s="931">
        <f>Yogesh!AE13</f>
        <v>1673209</v>
      </c>
      <c r="R68" s="931">
        <f>Ashraf!AE13</f>
        <v>8781521</v>
      </c>
      <c r="S68" s="931">
        <f>Rahul!AE13</f>
        <v>7527818</v>
      </c>
      <c r="T68" s="931">
        <f>Minesh!AE13</f>
        <v>1000130</v>
      </c>
      <c r="U68" s="931">
        <f t="shared" si="30"/>
        <v>18982678</v>
      </c>
    </row>
    <row r="69" spans="2:21" ht="18">
      <c r="B69" s="140" t="s">
        <v>25</v>
      </c>
      <c r="C69" s="136">
        <f>Pankaj!AD5</f>
        <v>1434365</v>
      </c>
      <c r="D69" s="136">
        <f>Pankaj!AE5</f>
        <v>878370</v>
      </c>
      <c r="E69" s="141">
        <v>390956</v>
      </c>
      <c r="F69" s="136">
        <f t="shared" si="35"/>
        <v>487414</v>
      </c>
      <c r="G69" s="141">
        <v>742244</v>
      </c>
      <c r="H69" s="136">
        <f t="shared" si="36"/>
        <v>930583.33333333337</v>
      </c>
      <c r="I69" s="137">
        <f t="shared" si="33"/>
        <v>539627.33333333337</v>
      </c>
      <c r="J69" s="142">
        <f t="shared" si="34"/>
        <v>-1.3802763823379955</v>
      </c>
      <c r="K69" s="141">
        <f t="shared" si="37"/>
        <v>3722333.3333333335</v>
      </c>
      <c r="L69" s="143">
        <f t="shared" si="38"/>
        <v>0.61465971165039857</v>
      </c>
      <c r="P69" s="932" t="s">
        <v>65</v>
      </c>
      <c r="Q69" s="931">
        <f>Yogesh!AE14</f>
        <v>14809392</v>
      </c>
      <c r="R69" s="931">
        <f>Ashraf!AE14</f>
        <v>8634215</v>
      </c>
      <c r="S69" s="931">
        <f>Rahul!AE14</f>
        <v>8187712</v>
      </c>
      <c r="T69" s="931">
        <f>Minesh!AE14</f>
        <v>3204850</v>
      </c>
      <c r="U69" s="931">
        <f t="shared" si="30"/>
        <v>34836169</v>
      </c>
    </row>
    <row r="70" spans="2:21" ht="18">
      <c r="B70" s="140" t="s">
        <v>28</v>
      </c>
      <c r="C70" s="136">
        <f>Pankaj!AD6</f>
        <v>264000</v>
      </c>
      <c r="D70" s="136">
        <f>Pankaj!AE6</f>
        <v>952118</v>
      </c>
      <c r="E70" s="141">
        <v>548447</v>
      </c>
      <c r="F70" s="136">
        <f t="shared" si="35"/>
        <v>403671</v>
      </c>
      <c r="G70" s="141">
        <v>1252414</v>
      </c>
      <c r="H70" s="136">
        <f t="shared" si="36"/>
        <v>930583.33333333337</v>
      </c>
      <c r="I70" s="137">
        <f t="shared" si="33"/>
        <v>382136.33333333337</v>
      </c>
      <c r="J70" s="142">
        <f t="shared" si="34"/>
        <v>-0.69676073227373547</v>
      </c>
      <c r="K70" s="141">
        <f t="shared" si="37"/>
        <v>3722333.3333333335</v>
      </c>
      <c r="L70" s="143">
        <f t="shared" si="38"/>
        <v>0.92907674397779172</v>
      </c>
      <c r="P70" s="933" t="s">
        <v>4</v>
      </c>
    </row>
    <row r="71" spans="2:21" ht="18">
      <c r="B71" s="140" t="s">
        <v>30</v>
      </c>
      <c r="C71" s="136">
        <f>Pankaj!AD7</f>
        <v>1910946</v>
      </c>
      <c r="D71" s="136">
        <f>Pankaj!AE7</f>
        <v>895062.4</v>
      </c>
      <c r="E71" s="141">
        <v>237057</v>
      </c>
      <c r="F71" s="136">
        <f t="shared" si="35"/>
        <v>658005.4</v>
      </c>
      <c r="G71" s="141">
        <v>950357</v>
      </c>
      <c r="H71" s="136">
        <f t="shared" si="36"/>
        <v>930583.33333333337</v>
      </c>
      <c r="I71" s="137">
        <f t="shared" si="33"/>
        <v>693526.33333333337</v>
      </c>
      <c r="J71" s="142">
        <f t="shared" si="34"/>
        <v>-2.9255678310842259</v>
      </c>
      <c r="K71" s="141">
        <f t="shared" si="37"/>
        <v>3722333.3333333335</v>
      </c>
      <c r="L71" s="143">
        <f t="shared" si="38"/>
        <v>0.48662684695979225</v>
      </c>
      <c r="P71" s="934" t="s">
        <v>22</v>
      </c>
      <c r="Q71" s="934" t="s">
        <v>84</v>
      </c>
      <c r="R71" s="934" t="s">
        <v>85</v>
      </c>
      <c r="S71" s="934" t="s">
        <v>86</v>
      </c>
      <c r="T71" s="934"/>
      <c r="U71" s="934" t="s">
        <v>36</v>
      </c>
    </row>
    <row r="72" spans="2:21" ht="18">
      <c r="B72" s="140" t="s">
        <v>76</v>
      </c>
      <c r="C72" s="136">
        <f>Pankaj!AD8</f>
        <v>541728</v>
      </c>
      <c r="D72" s="136">
        <f>Pankaj!AE8</f>
        <v>0</v>
      </c>
      <c r="E72" s="141">
        <v>0</v>
      </c>
      <c r="F72" s="136">
        <f t="shared" si="35"/>
        <v>0</v>
      </c>
      <c r="G72" s="141">
        <v>1823877</v>
      </c>
      <c r="H72" s="136">
        <f t="shared" si="36"/>
        <v>930583.33333333337</v>
      </c>
      <c r="I72" s="137">
        <f t="shared" si="33"/>
        <v>930583.33333333337</v>
      </c>
      <c r="J72" s="142" t="e">
        <f t="shared" si="34"/>
        <v>#DIV/0!</v>
      </c>
      <c r="K72" s="141">
        <f t="shared" si="37"/>
        <v>3722333.3333333335</v>
      </c>
      <c r="L72" s="143">
        <f t="shared" si="38"/>
        <v>0.85446547864242861</v>
      </c>
      <c r="P72" s="932" t="s">
        <v>26</v>
      </c>
      <c r="Q72" s="931">
        <f>Gajendra!AF6</f>
        <v>1618199.84</v>
      </c>
      <c r="R72" s="931">
        <f>Pradeep!AF5</f>
        <v>4397978</v>
      </c>
      <c r="S72" s="931">
        <f>Sasi!AF5</f>
        <v>923262</v>
      </c>
      <c r="T72" s="931">
        <f>Minesh!AE17</f>
        <v>0</v>
      </c>
      <c r="U72" s="931">
        <f>SUM(Q72:T72)</f>
        <v>6939439.8399999999</v>
      </c>
    </row>
    <row r="73" spans="2:21" ht="18">
      <c r="B73" s="140" t="s">
        <v>37</v>
      </c>
      <c r="C73" s="136">
        <f>Pankaj!AD9</f>
        <v>20478</v>
      </c>
      <c r="D73" s="136">
        <f>Pankaj!AE9</f>
        <v>91060</v>
      </c>
      <c r="E73" s="141">
        <v>1133105</v>
      </c>
      <c r="F73" s="136">
        <f t="shared" si="35"/>
        <v>-1042045</v>
      </c>
      <c r="G73" s="141">
        <v>874217</v>
      </c>
      <c r="H73" s="136">
        <f t="shared" si="36"/>
        <v>930583.33333333337</v>
      </c>
      <c r="I73" s="137">
        <f t="shared" si="33"/>
        <v>-202521.66666666663</v>
      </c>
      <c r="J73" s="142">
        <f t="shared" si="34"/>
        <v>0.17873159739535757</v>
      </c>
      <c r="K73" s="141">
        <f t="shared" si="37"/>
        <v>3722333.3333333335</v>
      </c>
      <c r="L73" s="143">
        <f t="shared" si="38"/>
        <v>0.99449861198173184</v>
      </c>
      <c r="P73" s="932" t="s">
        <v>29</v>
      </c>
      <c r="Q73" s="931">
        <f>Gajendra!AF7</f>
        <v>227778</v>
      </c>
      <c r="R73" s="931">
        <f>Pradeep!AF6</f>
        <v>8598354</v>
      </c>
      <c r="S73" s="931">
        <f>Sasi!AF6</f>
        <v>1358861.88</v>
      </c>
      <c r="T73" s="931">
        <f>Minesh!AE18</f>
        <v>0</v>
      </c>
      <c r="U73" s="931">
        <f t="shared" ref="U73:U82" si="39">SUM(Q73:T73)</f>
        <v>10184993.879999999</v>
      </c>
    </row>
    <row r="74" spans="2:21" ht="18">
      <c r="B74" s="140" t="s">
        <v>39</v>
      </c>
      <c r="C74" s="136">
        <f>Pankaj!AD10</f>
        <v>2068998</v>
      </c>
      <c r="D74" s="136">
        <f>Pankaj!AE10</f>
        <v>0</v>
      </c>
      <c r="E74" s="141">
        <v>362744</v>
      </c>
      <c r="F74" s="136">
        <f t="shared" si="35"/>
        <v>-362744</v>
      </c>
      <c r="G74" s="141">
        <v>531951</v>
      </c>
      <c r="H74" s="136">
        <f t="shared" si="36"/>
        <v>930583.33333333337</v>
      </c>
      <c r="I74" s="137">
        <f t="shared" si="33"/>
        <v>567839.33333333337</v>
      </c>
      <c r="J74" s="142">
        <f t="shared" si="34"/>
        <v>-1.5653996574259901</v>
      </c>
      <c r="K74" s="141">
        <f t="shared" si="37"/>
        <v>3722333.3333333335</v>
      </c>
      <c r="L74" s="143">
        <f t="shared" si="38"/>
        <v>0.44416638309304202</v>
      </c>
      <c r="P74" s="932" t="s">
        <v>33</v>
      </c>
      <c r="Q74" s="931">
        <f>Gajendra!AF8</f>
        <v>4482331.82</v>
      </c>
      <c r="R74" s="931">
        <f>Pradeep!AF7</f>
        <v>4994909</v>
      </c>
      <c r="S74" s="931">
        <f>Sasi!AF7</f>
        <v>4409137.7</v>
      </c>
      <c r="T74" s="931">
        <f>Minesh!AE19</f>
        <v>0</v>
      </c>
      <c r="U74" s="931">
        <f t="shared" si="39"/>
        <v>13886378.52</v>
      </c>
    </row>
    <row r="75" spans="2:21" ht="18">
      <c r="B75" s="140" t="s">
        <v>44</v>
      </c>
      <c r="C75" s="136">
        <f>Pankaj!AD11</f>
        <v>1673785</v>
      </c>
      <c r="D75" s="136">
        <f>Pankaj!AE11</f>
        <v>160800</v>
      </c>
      <c r="E75" s="141">
        <v>181278</v>
      </c>
      <c r="F75" s="136">
        <f t="shared" si="35"/>
        <v>-20478</v>
      </c>
      <c r="G75" s="141">
        <v>511473</v>
      </c>
      <c r="H75" s="136">
        <f t="shared" si="36"/>
        <v>930583.33333333337</v>
      </c>
      <c r="I75" s="137">
        <f t="shared" si="33"/>
        <v>749305.33333333337</v>
      </c>
      <c r="J75" s="142">
        <f t="shared" si="34"/>
        <v>-4.1334598425254772</v>
      </c>
      <c r="K75" s="141">
        <f t="shared" si="37"/>
        <v>3722333.3333333335</v>
      </c>
      <c r="L75" s="143">
        <f t="shared" si="38"/>
        <v>0.5503398406017731</v>
      </c>
      <c r="P75" s="932" t="s">
        <v>35</v>
      </c>
      <c r="Q75" s="931">
        <f>Gajendra!AF9</f>
        <v>2891108.8</v>
      </c>
      <c r="R75" s="931">
        <f>Pradeep!AF8</f>
        <v>1741036</v>
      </c>
      <c r="S75" s="931">
        <f>Sasi!AF8</f>
        <v>298690</v>
      </c>
      <c r="T75" s="931">
        <f>Minesh!AE20</f>
        <v>0</v>
      </c>
      <c r="U75" s="931">
        <f t="shared" si="39"/>
        <v>4930834.8</v>
      </c>
    </row>
    <row r="76" spans="2:21" ht="18">
      <c r="B76" s="140" t="s">
        <v>47</v>
      </c>
      <c r="C76" s="136">
        <f>Pankaj!AD12</f>
        <v>1986767</v>
      </c>
      <c r="D76" s="136">
        <f>Pankaj!AE12</f>
        <v>0</v>
      </c>
      <c r="E76" s="141">
        <v>420413</v>
      </c>
      <c r="F76" s="136">
        <f t="shared" si="35"/>
        <v>-420413</v>
      </c>
      <c r="G76" s="141">
        <v>366636</v>
      </c>
      <c r="H76" s="136">
        <f t="shared" si="36"/>
        <v>930583.33333333337</v>
      </c>
      <c r="I76" s="137">
        <f t="shared" si="33"/>
        <v>510170.33333333337</v>
      </c>
      <c r="J76" s="142">
        <f t="shared" si="34"/>
        <v>-1.2134979968110724</v>
      </c>
      <c r="K76" s="141">
        <f t="shared" si="37"/>
        <v>3722333.3333333335</v>
      </c>
      <c r="L76" s="143">
        <f t="shared" si="38"/>
        <v>0.46625763410047466</v>
      </c>
      <c r="P76" s="932" t="s">
        <v>38</v>
      </c>
      <c r="Q76" s="931">
        <f>Gajendra!AF10</f>
        <v>226708</v>
      </c>
      <c r="R76" s="931">
        <f>Pradeep!AF9</f>
        <v>394480</v>
      </c>
      <c r="S76" s="931">
        <f>Sasi!AF9</f>
        <v>2500144</v>
      </c>
      <c r="T76" s="931">
        <f>Minesh!AE21</f>
        <v>0</v>
      </c>
      <c r="U76" s="931">
        <f t="shared" si="39"/>
        <v>3121332</v>
      </c>
    </row>
    <row r="77" spans="2:21" ht="18">
      <c r="B77" s="140" t="s">
        <v>49</v>
      </c>
      <c r="C77" s="136">
        <f>Pankaj!AD13</f>
        <v>100000</v>
      </c>
      <c r="D77" s="136">
        <f>Pankaj!AE13</f>
        <v>989251</v>
      </c>
      <c r="E77" s="141">
        <v>886457</v>
      </c>
      <c r="F77" s="136">
        <f t="shared" si="35"/>
        <v>102794</v>
      </c>
      <c r="G77" s="141">
        <v>891636</v>
      </c>
      <c r="H77" s="136">
        <f t="shared" si="36"/>
        <v>930583.33333333337</v>
      </c>
      <c r="I77" s="137">
        <f t="shared" si="33"/>
        <v>44126.333333333372</v>
      </c>
      <c r="J77" s="142">
        <f t="shared" si="34"/>
        <v>-4.977831223999965E-2</v>
      </c>
      <c r="K77" s="141">
        <f t="shared" si="37"/>
        <v>3722333.3333333335</v>
      </c>
      <c r="L77" s="143">
        <f t="shared" si="38"/>
        <v>0.97313513029461807</v>
      </c>
      <c r="P77" s="932" t="s">
        <v>42</v>
      </c>
      <c r="Q77" s="931">
        <f>Gajendra!AF11</f>
        <v>4423990.21</v>
      </c>
      <c r="R77" s="931">
        <f>Pradeep!AF10</f>
        <v>7648092</v>
      </c>
      <c r="S77" s="931">
        <f>Sasi!AF10</f>
        <v>2562908</v>
      </c>
      <c r="T77" s="931">
        <f>Minesh!AE22</f>
        <v>0</v>
      </c>
      <c r="U77" s="931">
        <f t="shared" si="39"/>
        <v>14634990.210000001</v>
      </c>
    </row>
    <row r="78" spans="2:21" ht="18.600000000000001" thickBot="1">
      <c r="B78" s="144" t="s">
        <v>62</v>
      </c>
      <c r="C78" s="136">
        <f>Pankaj!AD14</f>
        <v>0</v>
      </c>
      <c r="D78" s="136">
        <f>Pankaj!AE14</f>
        <v>0</v>
      </c>
      <c r="E78" s="145">
        <v>437805</v>
      </c>
      <c r="F78" s="136">
        <f t="shared" si="35"/>
        <v>-437805</v>
      </c>
      <c r="G78" s="145">
        <v>891636</v>
      </c>
      <c r="H78" s="136">
        <f t="shared" si="36"/>
        <v>930583.33333333337</v>
      </c>
      <c r="I78" s="137">
        <f t="shared" si="33"/>
        <v>492778.33333333337</v>
      </c>
      <c r="J78" s="146">
        <f t="shared" si="34"/>
        <v>-1.1255657960355259</v>
      </c>
      <c r="K78" s="145">
        <f t="shared" si="37"/>
        <v>3722333.3333333335</v>
      </c>
      <c r="L78" s="147">
        <f t="shared" si="38"/>
        <v>1</v>
      </c>
      <c r="P78" s="932" t="s">
        <v>45</v>
      </c>
      <c r="Q78" s="931">
        <f>Gajendra!AF12</f>
        <v>3722715.5599999996</v>
      </c>
      <c r="R78" s="931">
        <f>Pradeep!AF11</f>
        <v>10028198</v>
      </c>
      <c r="S78" s="931">
        <f>Sasi!AF11</f>
        <v>5700035.7199999997</v>
      </c>
      <c r="T78" s="931">
        <f>Minesh!AE23</f>
        <v>0</v>
      </c>
      <c r="U78" s="931">
        <f t="shared" si="39"/>
        <v>19450949.279999997</v>
      </c>
    </row>
    <row r="79" spans="2:21" ht="18.600000000000001" thickBot="1">
      <c r="B79" s="69" t="s">
        <v>36</v>
      </c>
      <c r="C79" s="69">
        <f>SUM(C67:C78)</f>
        <v>12643664</v>
      </c>
      <c r="D79" s="69">
        <f t="shared" ref="D79:F79" si="40">SUM(D67:D78)</f>
        <v>4782292.4000000004</v>
      </c>
      <c r="E79" s="69">
        <f>SUM(E67:E78)</f>
        <v>5968893</v>
      </c>
      <c r="F79" s="69">
        <f t="shared" si="40"/>
        <v>-1186600.6000000001</v>
      </c>
      <c r="G79" s="69"/>
      <c r="H79" s="69">
        <f t="shared" ref="H79:I79" si="41">SUM(H67:H78)</f>
        <v>11167000</v>
      </c>
      <c r="I79" s="69">
        <f t="shared" si="41"/>
        <v>5198107</v>
      </c>
      <c r="J79" s="69"/>
      <c r="K79" s="76"/>
      <c r="L79" s="77"/>
      <c r="P79" s="932" t="s">
        <v>48</v>
      </c>
      <c r="Q79" s="931">
        <f>Gajendra!AF13</f>
        <v>630274.5</v>
      </c>
      <c r="R79" s="931">
        <f>Pradeep!AF12</f>
        <v>11079547</v>
      </c>
      <c r="S79" s="931">
        <f>Sasi!AF12</f>
        <v>4652140</v>
      </c>
      <c r="T79" s="931">
        <f>Minesh!AE24</f>
        <v>0</v>
      </c>
      <c r="U79" s="931">
        <f t="shared" si="39"/>
        <v>16361961.5</v>
      </c>
    </row>
    <row r="80" spans="2:21">
      <c r="P80" s="932" t="s">
        <v>52</v>
      </c>
      <c r="Q80" s="931">
        <f>Gajendra!AF14</f>
        <v>7388166.5999999996</v>
      </c>
      <c r="R80" s="931">
        <f>Pradeep!AF13</f>
        <v>9075607</v>
      </c>
      <c r="S80" s="931">
        <f>Sasi!AF13</f>
        <v>0</v>
      </c>
      <c r="T80" s="931">
        <f>Minesh!AE25</f>
        <v>0</v>
      </c>
      <c r="U80" s="931">
        <f t="shared" si="39"/>
        <v>16463773.6</v>
      </c>
    </row>
    <row r="81" spans="16:21">
      <c r="P81" s="932" t="s">
        <v>63</v>
      </c>
      <c r="Q81" s="931">
        <f>Gajendra!AF15</f>
        <v>6881354.9399999995</v>
      </c>
      <c r="R81" s="931">
        <f>Pradeep!AF14</f>
        <v>9450065</v>
      </c>
      <c r="S81" s="931">
        <f>Sasi!AF14</f>
        <v>3675596</v>
      </c>
      <c r="T81" s="931">
        <f>Minesh!AE26</f>
        <v>0</v>
      </c>
      <c r="U81" s="931">
        <f t="shared" si="39"/>
        <v>20007015.939999998</v>
      </c>
    </row>
    <row r="82" spans="16:21">
      <c r="P82" s="932" t="s">
        <v>65</v>
      </c>
      <c r="Q82" s="931">
        <f>Gajendra!AF16</f>
        <v>15439392</v>
      </c>
      <c r="R82" s="931">
        <f>Pradeep!AF15</f>
        <v>16796607</v>
      </c>
      <c r="S82" s="931">
        <f>Sasi!AF15</f>
        <v>0</v>
      </c>
      <c r="T82" s="931">
        <f>Minesh!AE27</f>
        <v>0</v>
      </c>
      <c r="U82" s="931">
        <f t="shared" si="39"/>
        <v>32235999</v>
      </c>
    </row>
    <row r="83" spans="16:21">
      <c r="P83" s="933" t="s">
        <v>94</v>
      </c>
    </row>
    <row r="84" spans="16:21">
      <c r="P84" s="934" t="s">
        <v>22</v>
      </c>
      <c r="Q84" s="934" t="s">
        <v>89</v>
      </c>
      <c r="R84" s="934" t="s">
        <v>90</v>
      </c>
      <c r="S84" s="934" t="s">
        <v>91</v>
      </c>
      <c r="T84" s="934"/>
      <c r="U84" s="934" t="s">
        <v>36</v>
      </c>
    </row>
    <row r="85" spans="16:21">
      <c r="P85" s="932" t="s">
        <v>26</v>
      </c>
      <c r="Q85" s="931">
        <f>Vinay!AF4</f>
        <v>0</v>
      </c>
      <c r="R85" s="931">
        <f>Nitin!AF5</f>
        <v>200000</v>
      </c>
      <c r="S85" s="931">
        <f>Pankaj!AF4</f>
        <v>233880</v>
      </c>
      <c r="T85" s="931">
        <f>Minesh!AE30</f>
        <v>0</v>
      </c>
      <c r="U85" s="931">
        <f t="shared" ref="U85:U95" si="42">SUM(Q85:T85)</f>
        <v>433880</v>
      </c>
    </row>
    <row r="86" spans="16:21">
      <c r="P86" s="932" t="s">
        <v>29</v>
      </c>
      <c r="Q86" s="931">
        <f>Vinay!AF5</f>
        <v>1202802</v>
      </c>
      <c r="R86" s="931">
        <f>Nitin!AF6</f>
        <v>145000</v>
      </c>
      <c r="S86" s="931">
        <f>Pankaj!AF5</f>
        <v>1103862</v>
      </c>
      <c r="T86" s="931">
        <f>Minesh!AE31</f>
        <v>0</v>
      </c>
      <c r="U86" s="931">
        <f t="shared" si="42"/>
        <v>2451664</v>
      </c>
    </row>
    <row r="87" spans="16:21">
      <c r="P87" s="932" t="s">
        <v>33</v>
      </c>
      <c r="Q87" s="931">
        <f>Vinay!AF6</f>
        <v>1449980</v>
      </c>
      <c r="R87" s="931">
        <f>Nitin!AF7</f>
        <v>1148000</v>
      </c>
      <c r="S87" s="931">
        <f>Pankaj!AF6</f>
        <v>0</v>
      </c>
      <c r="T87" s="931">
        <f>Minesh!AE32</f>
        <v>0</v>
      </c>
      <c r="U87" s="931">
        <f t="shared" si="42"/>
        <v>2597980</v>
      </c>
    </row>
    <row r="88" spans="16:21">
      <c r="P88" s="932" t="s">
        <v>35</v>
      </c>
      <c r="Q88" s="931">
        <f>Vinay!AF7</f>
        <v>670047</v>
      </c>
      <c r="R88" s="931">
        <f>Nitin!AF8</f>
        <v>3897293</v>
      </c>
      <c r="S88" s="931">
        <f>Pankaj!AF7</f>
        <v>1039330</v>
      </c>
      <c r="T88" s="931">
        <f>Minesh!AE33</f>
        <v>0</v>
      </c>
      <c r="U88" s="931">
        <f t="shared" si="42"/>
        <v>5606670</v>
      </c>
    </row>
    <row r="89" spans="16:21">
      <c r="P89" s="932" t="s">
        <v>38</v>
      </c>
      <c r="Q89" s="931">
        <f>Vinay!AF10</f>
        <v>1969554</v>
      </c>
      <c r="R89" s="931">
        <f>Nitin!AF9</f>
        <v>3898977</v>
      </c>
      <c r="S89" s="931">
        <f>Pankaj!AF8</f>
        <v>0</v>
      </c>
      <c r="T89" s="931">
        <f>Minesh!AE34</f>
        <v>0</v>
      </c>
      <c r="U89" s="931">
        <f t="shared" si="42"/>
        <v>5868531</v>
      </c>
    </row>
    <row r="90" spans="16:21">
      <c r="P90" s="932" t="s">
        <v>42</v>
      </c>
      <c r="Q90" s="931">
        <f>Vinay!AF11</f>
        <v>842147</v>
      </c>
      <c r="R90" s="931">
        <f>Nitin!AF10</f>
        <v>1728929</v>
      </c>
      <c r="S90" s="931">
        <f>Pankaj!AF9</f>
        <v>404854</v>
      </c>
      <c r="T90" s="931">
        <f>Minesh!AE35</f>
        <v>0</v>
      </c>
      <c r="U90" s="931">
        <f t="shared" si="42"/>
        <v>2975930</v>
      </c>
    </row>
    <row r="91" spans="16:21">
      <c r="P91" s="932" t="s">
        <v>45</v>
      </c>
      <c r="Q91" s="931">
        <f>Vinay!AF12</f>
        <v>1600092</v>
      </c>
      <c r="R91" s="931">
        <f>Nitin!AF11</f>
        <v>6445932</v>
      </c>
      <c r="S91" s="931">
        <f>Pankaj!AF10</f>
        <v>160176</v>
      </c>
      <c r="T91" s="931">
        <f>Minesh!AE36</f>
        <v>0</v>
      </c>
      <c r="U91" s="931">
        <f t="shared" si="42"/>
        <v>8206200</v>
      </c>
    </row>
    <row r="92" spans="16:21">
      <c r="P92" s="932" t="s">
        <v>48</v>
      </c>
      <c r="Q92" s="931">
        <f>Vinay!AF13</f>
        <v>519444</v>
      </c>
      <c r="R92" s="931">
        <f>Nitin!AF12</f>
        <v>33904128</v>
      </c>
      <c r="S92" s="931">
        <f>Pankaj!AF11</f>
        <v>180576</v>
      </c>
      <c r="T92" s="931">
        <f>Minesh!AE37</f>
        <v>0</v>
      </c>
      <c r="U92" s="931">
        <f t="shared" si="42"/>
        <v>34604148</v>
      </c>
    </row>
    <row r="93" spans="16:21">
      <c r="P93" s="932" t="s">
        <v>52</v>
      </c>
      <c r="Q93" s="931">
        <f>Vinay!AF14</f>
        <v>9074625</v>
      </c>
      <c r="R93" s="931">
        <f>Nitin!AF13</f>
        <v>4224061</v>
      </c>
      <c r="S93" s="931">
        <f>Pankaj!AF12</f>
        <v>869988</v>
      </c>
      <c r="T93" s="931">
        <f>Minesh!AE38</f>
        <v>0</v>
      </c>
      <c r="U93" s="931">
        <f t="shared" si="42"/>
        <v>14168674</v>
      </c>
    </row>
    <row r="94" spans="16:21">
      <c r="P94" s="932" t="s">
        <v>63</v>
      </c>
      <c r="Q94" s="931" t="e">
        <f>Vinay!#REF!</f>
        <v>#REF!</v>
      </c>
      <c r="R94" s="931">
        <f>Nitin!AF14</f>
        <v>23545744</v>
      </c>
      <c r="S94" s="931">
        <f>Pankaj!AF13</f>
        <v>3208676</v>
      </c>
      <c r="T94" s="931">
        <f>Minesh!AE39</f>
        <v>0</v>
      </c>
      <c r="U94" s="931" t="e">
        <f t="shared" si="42"/>
        <v>#REF!</v>
      </c>
    </row>
    <row r="95" spans="16:21">
      <c r="P95" s="932" t="s">
        <v>65</v>
      </c>
      <c r="Q95" s="931">
        <f>Vinay!AF15</f>
        <v>0</v>
      </c>
      <c r="R95" s="931">
        <f>Nitin!AF15</f>
        <v>6355659</v>
      </c>
      <c r="S95" s="931">
        <f>Pankaj!AF14</f>
        <v>3565273</v>
      </c>
      <c r="T95" s="931">
        <f>Minesh!AE40</f>
        <v>0</v>
      </c>
      <c r="U95" s="931">
        <f t="shared" si="42"/>
        <v>9920932</v>
      </c>
    </row>
    <row r="97" spans="11:52">
      <c r="S97" s="29">
        <v>93</v>
      </c>
      <c r="T97" s="936">
        <f>((3002*S97)/12)/100</f>
        <v>232.655</v>
      </c>
    </row>
    <row r="98" spans="11:52" ht="14.4" thickBot="1"/>
    <row r="99" spans="11:52" ht="15" customHeight="1" thickBot="1">
      <c r="Q99" s="1382" t="s">
        <v>95</v>
      </c>
    </row>
    <row r="100" spans="11:52">
      <c r="P100" s="932" t="s">
        <v>3</v>
      </c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C100" s="932" t="s">
        <v>87</v>
      </c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O100" s="932" t="s">
        <v>96</v>
      </c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</row>
    <row r="101" spans="11:52">
      <c r="P101" s="1383" t="s">
        <v>68</v>
      </c>
      <c r="Q101" s="932" t="s">
        <v>36</v>
      </c>
      <c r="R101" s="932">
        <f>SUM(R103:R112)</f>
        <v>799106</v>
      </c>
      <c r="S101" s="932">
        <f t="shared" ref="S101:AA101" si="43">SUM(S103:S112)</f>
        <v>29793925</v>
      </c>
      <c r="T101" s="932">
        <f t="shared" si="43"/>
        <v>2155128</v>
      </c>
      <c r="U101" s="932">
        <f t="shared" si="43"/>
        <v>2185972</v>
      </c>
      <c r="V101" s="932">
        <f t="shared" si="43"/>
        <v>1168032</v>
      </c>
      <c r="W101" s="932">
        <f t="shared" si="43"/>
        <v>2652512</v>
      </c>
      <c r="X101" s="932">
        <f t="shared" si="43"/>
        <v>2077982</v>
      </c>
      <c r="Y101" s="932">
        <f t="shared" si="43"/>
        <v>1603555</v>
      </c>
      <c r="Z101" s="932">
        <f t="shared" si="43"/>
        <v>1673209</v>
      </c>
      <c r="AA101" s="932">
        <f t="shared" si="43"/>
        <v>14809392</v>
      </c>
      <c r="AC101" s="1383" t="s">
        <v>84</v>
      </c>
      <c r="AD101" s="932" t="s">
        <v>36</v>
      </c>
      <c r="AE101" s="932">
        <f t="shared" ref="AE101:AM101" si="44">SUM(AE103:AE112)</f>
        <v>4482331.82</v>
      </c>
      <c r="AF101" s="932">
        <f t="shared" si="44"/>
        <v>2891108.8</v>
      </c>
      <c r="AG101" s="932">
        <f t="shared" si="44"/>
        <v>226708</v>
      </c>
      <c r="AH101" s="932">
        <f t="shared" si="44"/>
        <v>4423990.2100000009</v>
      </c>
      <c r="AI101" s="932">
        <f t="shared" si="44"/>
        <v>3722715.56</v>
      </c>
      <c r="AJ101" s="932">
        <f t="shared" si="44"/>
        <v>630274.5</v>
      </c>
      <c r="AK101" s="932">
        <f t="shared" si="44"/>
        <v>7388166.5999999996</v>
      </c>
      <c r="AL101" s="932">
        <f t="shared" si="44"/>
        <v>6881354.9399999995</v>
      </c>
      <c r="AM101" s="932">
        <f t="shared" si="44"/>
        <v>15439392</v>
      </c>
      <c r="AO101" s="1383" t="s">
        <v>89</v>
      </c>
      <c r="AP101" s="932" t="s">
        <v>36</v>
      </c>
      <c r="AQ101" s="932">
        <f>SUM(AQ103:AQ112)</f>
        <v>1202802</v>
      </c>
      <c r="AR101" s="932">
        <f t="shared" ref="AR101:AZ101" si="45">SUM(AR103:AR112)</f>
        <v>1182284</v>
      </c>
      <c r="AS101" s="932">
        <f t="shared" si="45"/>
        <v>670047</v>
      </c>
      <c r="AT101" s="932">
        <f t="shared" si="45"/>
        <v>1975534</v>
      </c>
      <c r="AU101" s="932">
        <f t="shared" si="45"/>
        <v>256574</v>
      </c>
      <c r="AV101" s="932">
        <f t="shared" si="45"/>
        <v>1969554</v>
      </c>
      <c r="AW101" s="932">
        <f t="shared" si="45"/>
        <v>842147</v>
      </c>
      <c r="AX101" s="932">
        <f t="shared" si="45"/>
        <v>1600092</v>
      </c>
      <c r="AY101" s="932">
        <f t="shared" si="45"/>
        <v>519444</v>
      </c>
      <c r="AZ101" s="932">
        <f t="shared" si="45"/>
        <v>8794625</v>
      </c>
    </row>
    <row r="102" spans="11:52" ht="18">
      <c r="K102" s="1387"/>
      <c r="Q102" s="921" t="s">
        <v>67</v>
      </c>
      <c r="R102" s="625" t="s">
        <v>25</v>
      </c>
      <c r="S102" s="625" t="s">
        <v>28</v>
      </c>
      <c r="T102" s="625" t="s">
        <v>30</v>
      </c>
      <c r="U102" s="625" t="s">
        <v>34</v>
      </c>
      <c r="V102" s="625" t="s">
        <v>37</v>
      </c>
      <c r="W102" s="625" t="s">
        <v>39</v>
      </c>
      <c r="X102" s="625" t="s">
        <v>44</v>
      </c>
      <c r="Y102" s="625" t="s">
        <v>97</v>
      </c>
      <c r="Z102" s="625" t="s">
        <v>49</v>
      </c>
      <c r="AA102" s="625" t="s">
        <v>62</v>
      </c>
      <c r="AD102" s="921" t="s">
        <v>67</v>
      </c>
      <c r="AE102" s="625" t="s">
        <v>28</v>
      </c>
      <c r="AF102" s="625" t="s">
        <v>30</v>
      </c>
      <c r="AG102" s="625" t="s">
        <v>34</v>
      </c>
      <c r="AH102" s="625" t="s">
        <v>37</v>
      </c>
      <c r="AI102" s="625" t="s">
        <v>39</v>
      </c>
      <c r="AJ102" s="625" t="s">
        <v>44</v>
      </c>
      <c r="AK102" s="625" t="s">
        <v>97</v>
      </c>
      <c r="AL102" s="625" t="s">
        <v>49</v>
      </c>
      <c r="AM102" s="625" t="s">
        <v>62</v>
      </c>
      <c r="AP102" s="921" t="s">
        <v>67</v>
      </c>
      <c r="AQ102" s="625" t="s">
        <v>25</v>
      </c>
      <c r="AR102" s="625" t="s">
        <v>28</v>
      </c>
      <c r="AS102" s="625" t="s">
        <v>30</v>
      </c>
      <c r="AT102" s="625" t="s">
        <v>34</v>
      </c>
      <c r="AU102" s="625" t="s">
        <v>37</v>
      </c>
      <c r="AV102" s="625" t="s">
        <v>39</v>
      </c>
      <c r="AW102" s="625" t="s">
        <v>44</v>
      </c>
      <c r="AX102" s="625" t="s">
        <v>97</v>
      </c>
      <c r="AY102" s="625" t="s">
        <v>49</v>
      </c>
      <c r="AZ102" s="625" t="s">
        <v>62</v>
      </c>
    </row>
    <row r="103" spans="11:52" ht="18">
      <c r="K103" s="1387"/>
      <c r="Q103" s="922" t="s">
        <v>73</v>
      </c>
      <c r="R103" s="1381">
        <f>SUMIFS(Yogesh!$N$13:$N$400,Yogesh!$P$13:$P$400,"March",Yogesh!$J$13:$J$400,"Contract")</f>
        <v>0</v>
      </c>
      <c r="S103" s="1381">
        <f>SUMIFS(Yogesh!$N$13:$N$400,Yogesh!$P$13:$P$400,"April",Yogesh!$J$13:$J$400,"Contract")</f>
        <v>1950200</v>
      </c>
      <c r="T103" s="1381">
        <f>SUMIFS(Yogesh!$N$13:$N$400,Yogesh!$P$13:$P$400,"May",Yogesh!$J$13:$J$400,"Contract")</f>
        <v>565000</v>
      </c>
      <c r="U103" s="1381">
        <f>SUMIFS(Yogesh!$N$13:$N$400,Yogesh!$P$13:$P$400,"June",Yogesh!$J$13:$J$400,"Contract")</f>
        <v>2022440</v>
      </c>
      <c r="V103" s="1381">
        <f>SUMIFS(Yogesh!$N$13:$N$400,Yogesh!$P$13:$P$400,"July",Yogesh!$J$13:$J$400,"Contract")</f>
        <v>658000</v>
      </c>
      <c r="W103" s="1381">
        <f>SUMIFS(Yogesh!$N$13:$N$400,Yogesh!$P$13:$P$400,"August",Yogesh!$J$13:$J$400,"Contract")</f>
        <v>473222</v>
      </c>
      <c r="X103" s="1381">
        <f>SUMIFS(Yogesh!$N$13:$N$400,Yogesh!$P$13:$P$400,"September",Yogesh!$J$13:$J$400,"Contract")</f>
        <v>0</v>
      </c>
      <c r="Y103" s="1381">
        <f>SUMIFS(Yogesh!$N$13:$N$400,Yogesh!$P$13:$P$400,"October",Yogesh!$J$13:$J$400,"Contract")</f>
        <v>180000</v>
      </c>
      <c r="Z103" s="1381">
        <f>SUMIFS(Yogesh!$N$13:$N$400,Yogesh!$P$13:$P$400,"November",Yogesh!$J$13:$J$400,"Contract")</f>
        <v>406009</v>
      </c>
      <c r="AA103" s="1381">
        <f>SUMIFS(Yogesh!$N$13:$N$400,Yogesh!$P$13:$P$400,"December",Yogesh!$J$13:$J$400,"Contract")</f>
        <v>0</v>
      </c>
      <c r="AD103" s="922" t="s">
        <v>73</v>
      </c>
      <c r="AE103" s="1381">
        <f>SUMIFS(Gajendra!$N$13:$N$373,Gajendra!$P$13:$P$373,"April",Gajendra!$J$13:$J$373,"Contract")</f>
        <v>1526450</v>
      </c>
      <c r="AF103" s="1381">
        <f>SUMIFS(Gajendra!$N$13:$N$373,Gajendra!$P$13:$P$373,"May",Gajendra!$J$13:$J$373,"Contract")</f>
        <v>1262552</v>
      </c>
      <c r="AG103" s="1381">
        <f>SUMIFS(Gajendra!$N$13:$N$373,Gajendra!$P$13:$P$373,"June",Gajendra!$J$13:$J$373,"Contract")</f>
        <v>178000</v>
      </c>
      <c r="AH103" s="1381">
        <f>SUMIFS(Gajendra!$N$13:$N$373,Gajendra!$P$13:$P$373,"July",Gajendra!$J$13:$J$373,"Contract")</f>
        <v>3094559.7300000004</v>
      </c>
      <c r="AI103" s="1381">
        <f>SUMIFS(Gajendra!$N$13:$N$373,Gajendra!$P$13:$P$373,"August",Gajendra!$J$13:$J$373,"Contract")</f>
        <v>703000</v>
      </c>
      <c r="AJ103" s="1381">
        <f>SUMIFS(Gajendra!$N$13:$N$373,Gajendra!$P$13:$P$373,"September",Gajendra!$J$13:$J$373,"Contract")</f>
        <v>0</v>
      </c>
      <c r="AK103" s="1381">
        <f>SUMIFS(Gajendra!$N$13:$N$373,Gajendra!$P$13:$P$373,"October",Gajendra!$J$13:$J$373,"Contract")</f>
        <v>697200</v>
      </c>
      <c r="AL103" s="1381">
        <f>SUMIFS(Gajendra!$N$13:$N$373,Gajendra!$P$13:$P$373,"November",Gajendra!$J$13:$J$373,"Contract")</f>
        <v>776400</v>
      </c>
      <c r="AM103" s="1381">
        <f>SUMIFS(Gajendra!$N$13:$N$373,Gajendra!$P$13:$P$373,"December",Gajendra!$J$13:$J$373,"Contract")</f>
        <v>3716120</v>
      </c>
      <c r="AP103" s="922" t="s">
        <v>73</v>
      </c>
      <c r="AQ103" s="1381">
        <f>SUMIFS(Vinay!$N$13:$N$400,Vinay!$P$13:$P$400,"March",Vinay!$J$13:$J$400,"Contract")</f>
        <v>0</v>
      </c>
      <c r="AR103" s="1381">
        <f>SUMIFS(Vinay!$N$13:$N$400,Vinay!$P$13:$P$400,"April",Vinay!$J$13:$J$400,"Contract")</f>
        <v>0</v>
      </c>
      <c r="AS103" s="1381">
        <f>SUMIFS(Vinay!$N$13:$N$400,Vinay!$P$13:$P$400,"May",Vinay!$J$13:$J$400,"Contract")</f>
        <v>0</v>
      </c>
      <c r="AT103" s="1381">
        <f>SUMIFS(Vinay!$N$13:$N$400,Vinay!$P$13:$P$400,"June",Vinay!$J$13:$J$400,"Contract")</f>
        <v>350000</v>
      </c>
      <c r="AU103" s="1381">
        <f>SUMIFS(Vinay!$N$13:$N$400,Vinay!$P$13:$P$400,"July",Vinay!$J$13:$J$400,"Contract")</f>
        <v>0</v>
      </c>
      <c r="AV103" s="1381">
        <f>SUMIFS(Vinay!$N$13:$N$400,Vinay!$P$13:$P$400,"August",Vinay!$J$13:$J$400,"Contract")</f>
        <v>0</v>
      </c>
      <c r="AW103" s="1381">
        <f>SUMIFS(Vinay!$N$13:$N$400,Vinay!$P$13:$P$400,"September",Vinay!$J$13:$J$400,"Contract")</f>
        <v>0</v>
      </c>
      <c r="AX103" s="1381">
        <f>SUMIFS(Vinay!$N$13:$N$400,Vinay!$P$13:$P$400,"October",Vinay!$J$13:$J$400,"Contract")</f>
        <v>615000</v>
      </c>
      <c r="AY103" s="1381">
        <f>SUMIFS(Vinay!$N$13:$N$400,Vinay!$P$13:$P$400,"November",Vinay!$J$13:$J$400,"Contract")</f>
        <v>0</v>
      </c>
      <c r="AZ103" s="1381">
        <f>SUMIFS(Vinay!$N$13:$N$400,Vinay!$P$13:$P$400,"December",Vinay!$J$13:$J$400,"Contract")</f>
        <v>120000</v>
      </c>
    </row>
    <row r="104" spans="11:52" ht="18">
      <c r="K104" s="1387"/>
      <c r="Q104" s="922" t="s">
        <v>74</v>
      </c>
      <c r="R104" s="1381">
        <f>SUMIFS(Yogesh!$N$13:$N$400,Yogesh!$P$13:$P$400,"March",Yogesh!$J$13:$J$400,"BD Spare")</f>
        <v>22600</v>
      </c>
      <c r="S104" s="1381">
        <f>SUMIFS(Yogesh!$N$13:$N$400,Yogesh!$P$13:$P$400,"April",Yogesh!$J$13:$J$400,"BD Spare")</f>
        <v>0</v>
      </c>
      <c r="T104" s="1381">
        <f>SUMIFS(Yogesh!$N$13:$N$400,Yogesh!$P$13:$P$400,"May",Yogesh!$J$13:$J$400,"BD Spare")</f>
        <v>0</v>
      </c>
      <c r="U104" s="1381">
        <f>SUMIFS(Yogesh!$N$13:$N$400,Yogesh!$P$13:$P$400,"June",Yogesh!$J$13:$J$400,"BD Spare")</f>
        <v>0</v>
      </c>
      <c r="V104" s="1381">
        <f>SUMIFS(Yogesh!$N$13:$N$400,Yogesh!$P$13:$P$400,"July",Yogesh!$J$13:$J$400,"BD Spare")</f>
        <v>510032</v>
      </c>
      <c r="W104" s="1381">
        <f>SUMIFS(Yogesh!$N$13:$N$400,Yogesh!$P$13:$P$400,"August",Yogesh!$J$13:$J$400,"BD Spare")</f>
        <v>0</v>
      </c>
      <c r="X104" s="1381">
        <f>SUMIFS(Yogesh!$N$13:$N$400,Yogesh!$P$13:$P$400,"September",Yogesh!$J$13:$J$400,"BD Spare")</f>
        <v>0</v>
      </c>
      <c r="Y104" s="1381">
        <f>SUMIFS(Yogesh!$N$13:$N$400,Yogesh!$P$13:$P$400,"October",Yogesh!$J$13:$J$400,"BD Sapre")</f>
        <v>0</v>
      </c>
      <c r="Z104" s="1381">
        <f>SUMIFS(Yogesh!$N$13:$N$400,Yogesh!$P$13:$P$400,"November",Yogesh!$J$13:$J$400,"BD Sapre")</f>
        <v>0</v>
      </c>
      <c r="AA104" s="1381">
        <f>SUMIFS(Yogesh!$N$13:$N$400,Yogesh!$P$13:$P$400,"December",Yogesh!$J$13:$J$400,"BD Spare")</f>
        <v>0</v>
      </c>
      <c r="AD104" s="922" t="s">
        <v>74</v>
      </c>
      <c r="AE104" s="1381">
        <f>SUMIFS(Gajendra!$N$13:$N$373,Gajendra!$P$13:$P$373,"April",Gajendra!$J$13:$J$373,"BD Spare")</f>
        <v>294017</v>
      </c>
      <c r="AF104" s="1381">
        <f>SUMIFS(Gajendra!$N$13:$N$373,Gajendra!$P$13:$P$373,"May",Gajendra!$J$13:$J$373,"BD Spare")</f>
        <v>202356</v>
      </c>
      <c r="AG104" s="1381">
        <f>SUMIFS(Gajendra!$N$13:$N$373,Gajendra!$P$13:$P$373,"June",Gajendra!$J$13:$J$373,"BD Spare")</f>
        <v>0</v>
      </c>
      <c r="AH104" s="1381">
        <f>SUMIFS(Gajendra!$N$13:$N$373,Gajendra!$P$13:$P$373,"July",Gajendra!$J$13:$J$373,"BD Spare")</f>
        <v>0</v>
      </c>
      <c r="AI104" s="1381">
        <f>SUMIFS(Gajendra!$N$13:$N$373,Gajendra!$P$13:$P$373,"August",Gajendra!$J$13:$J$373,"BD Spare")</f>
        <v>169404.88</v>
      </c>
      <c r="AJ104" s="1381">
        <f>SUMIFS(Gajendra!$N$13:$N$373,Gajendra!$P$13:$P$373,"September",Gajendra!$J$13:$J$373,"BD Spare")</f>
        <v>30903.5</v>
      </c>
      <c r="AK104" s="1381">
        <f>SUMIFS(Gajendra!$N$13:$N$373,Gajendra!$P$13:$P$373,"October",Gajendra!$J$13:$J$373,"BD Sapre")</f>
        <v>0</v>
      </c>
      <c r="AL104" s="1381">
        <f>SUMIFS(Gajendra!$N$13:$N$373,Gajendra!$P$13:$P$373,"November",Gajendra!$J$13:$J$373,"BD Sapre")</f>
        <v>0</v>
      </c>
      <c r="AM104" s="1381">
        <f>SUMIFS(Gajendra!$N$13:$N$373,Gajendra!$P$13:$P$373,"December",Gajendra!$J$13:$J$373,"BD Spare")</f>
        <v>217000</v>
      </c>
      <c r="AP104" s="922" t="s">
        <v>74</v>
      </c>
      <c r="AQ104" s="1381">
        <f>SUMIFS(Vinay!$N$13:$N$400,Vinay!$P$13:$P$400,"March",Vinay!$J$13:$J$400,"BD Spare")</f>
        <v>0</v>
      </c>
      <c r="AR104" s="1381">
        <f>SUMIFS(Vinay!$N$13:$N$400,Vinay!$P$13:$P$400,"April",Vinay!$J$13:$J$400,"BD Spare")</f>
        <v>0</v>
      </c>
      <c r="AS104" s="1381">
        <f>SUMIFS(Vinay!$N$13:$N$400,Vinay!$P$13:$P$400,"May",Vinay!$J$13:$J$400,"BD Spare")</f>
        <v>0</v>
      </c>
      <c r="AT104" s="1381">
        <f>SUMIFS(Vinay!$N$13:$N$400,Vinay!$P$13:$P$400,"June",Vinay!$J$13:$J$400,"BD Spare")</f>
        <v>0</v>
      </c>
      <c r="AU104" s="1381">
        <f>SUMIFS(Vinay!$N$13:$N$400,Vinay!$P$13:$P$400,"July",Vinay!$J$13:$J$400,"BD Spare")</f>
        <v>256574</v>
      </c>
      <c r="AV104" s="1381">
        <f>SUMIFS(Vinay!$N$13:$N$400,Vinay!$P$13:$P$400,"August",Vinay!$J$13:$J$400,"BD Spare")</f>
        <v>259225</v>
      </c>
      <c r="AW104" s="1381">
        <f>SUMIFS(Vinay!$N$13:$N$400,Vinay!$P$13:$P$400,"September",Vinay!$J$13:$J$400,"BD Spare")</f>
        <v>0</v>
      </c>
      <c r="AX104" s="1381">
        <f>SUMIFS(Vinay!$N$13:$N$400,Vinay!$P$13:$P$400,"October",Vinay!$J$13:$J$400,"BD Sapre")</f>
        <v>0</v>
      </c>
      <c r="AY104" s="1381">
        <f>SUMIFS(Vinay!$N$13:$N$400,Vinay!$P$13:$P$400,"November",Vinay!$J$13:$J$400,"BD Sapre")</f>
        <v>0</v>
      </c>
      <c r="AZ104" s="1381">
        <f>SUMIFS(Vinay!$N$13:$N$400,Vinay!$P$13:$P$400,"December",Vinay!$J$13:$J$400,"BD Spare")</f>
        <v>0</v>
      </c>
    </row>
    <row r="105" spans="11:52" ht="18">
      <c r="K105" s="1387"/>
      <c r="Q105" s="922" t="s">
        <v>75</v>
      </c>
      <c r="R105" s="1381">
        <f>SUMIFS(Yogesh!$N$13:$N$400,Yogesh!$P$13:$P$400,"March",Yogesh!$J$13:$J$400,"SPP")</f>
        <v>451506</v>
      </c>
      <c r="S105" s="1381">
        <f>SUMIFS(Yogesh!$N$13:$N$400,Yogesh!$P$13:$P$400,"April",Yogesh!$J$13:$J$400,"SPP")</f>
        <v>2199840</v>
      </c>
      <c r="T105" s="1381">
        <f>SUMIFS(Yogesh!$N$13:$N$400,Yogesh!$P$13:$P$400,"May",Yogesh!$J$13:$J$400,"SPP")</f>
        <v>1590128</v>
      </c>
      <c r="U105" s="1381">
        <f>SUMIFS(Yogesh!$N$13:$N$400,Yogesh!$P$13:$P$400,"June",Yogesh!$J$13:$J$400,"SPP")</f>
        <v>141032</v>
      </c>
      <c r="V105" s="1381">
        <f>SUMIFS(Yogesh!$N$13:$N$400,Yogesh!$P$13:$P$400,"July",Yogesh!$J$13:$J$400,"SPP")</f>
        <v>0</v>
      </c>
      <c r="W105" s="1381">
        <f>SUMIFS(Yogesh!$N$13:$N$400,Yogesh!$P$13:$P$400,"August",Yogesh!$J$13:$J$400,"SPP")</f>
        <v>458451</v>
      </c>
      <c r="X105" s="1381">
        <f>SUMIFS(Yogesh!$N$13:$N$400,Yogesh!$P$13:$P$400,"September",Yogesh!$J$13:$J$400,"SPP")</f>
        <v>1273182</v>
      </c>
      <c r="Y105" s="1381">
        <f>SUMIFS(Yogesh!$N$13:$N$400,Yogesh!$P$13:$P$400,"October",Yogesh!$J$13:$J$400,"SPP")</f>
        <v>573555</v>
      </c>
      <c r="Z105" s="1381">
        <f>SUMIFS(Yogesh!$N$13:$N$400,Yogesh!$P$13:$P$400,"November",Yogesh!$J$13:$J$400,"SPP")</f>
        <v>1267200</v>
      </c>
      <c r="AA105" s="1381">
        <f>SUMIFS(Yogesh!$N$13:$N$400,Yogesh!$P$13:$P$400,"December",Yogesh!$J$13:$J$400,"SPP")</f>
        <v>5347007</v>
      </c>
      <c r="AD105" s="922" t="s">
        <v>75</v>
      </c>
      <c r="AE105" s="1381">
        <f>SUMIFS(Gajendra!$N$13:$N$373,Gajendra!$P$13:$P$373,"April",Gajendra!$J$13:$J$373,"SPP")</f>
        <v>2318294.8199999998</v>
      </c>
      <c r="AF105" s="1381">
        <f>SUMIFS(Gajendra!$N$13:$N$373,Gajendra!$P$13:$P$373,"May",Gajendra!$J$13:$J$373,"SPP")</f>
        <v>1426200.8</v>
      </c>
      <c r="AG105" s="1381">
        <f>SUMIFS(Gajendra!$N$13:$N$373,Gajendra!$P$13:$P$373,"June",Gajendra!$J$13:$J$373,"SPP")</f>
        <v>48708</v>
      </c>
      <c r="AH105" s="1381">
        <f>SUMIFS(Gajendra!$N$13:$N$373,Gajendra!$P$13:$P$373,"July",Gajendra!$J$13:$J$373,"SPP")</f>
        <v>1329430.48</v>
      </c>
      <c r="AI105" s="1381">
        <f>SUMIFS(Gajendra!$N$13:$N$373,Gajendra!$P$13:$P$373,"August",Gajendra!$J$13:$J$373,"SPP")</f>
        <v>1853075.35</v>
      </c>
      <c r="AJ105" s="1381">
        <f>SUMIFS(Gajendra!$N$13:$N$373,Gajendra!$P$13:$P$373,"September",Gajendra!$J$13:$J$373,"SPP")</f>
        <v>0</v>
      </c>
      <c r="AK105" s="1381">
        <f>SUMIFS(Gajendra!$N$13:$N$373,Gajendra!$P$13:$P$373,"October",Gajendra!$J$13:$J$373,"SPP")</f>
        <v>2890966.6</v>
      </c>
      <c r="AL105" s="1381">
        <f>SUMIFS(Gajendra!$N$13:$N$373,Gajendra!$P$13:$P$373,"November",Gajendra!$J$13:$J$373,"SPP")</f>
        <v>391454.94</v>
      </c>
      <c r="AM105" s="1381">
        <f>SUMIFS(Gajendra!$N$13:$N$373,Gajendra!$P$13:$P$373,"December",Gajendra!$J$13:$J$373,"SPP")</f>
        <v>2997146</v>
      </c>
      <c r="AP105" s="922" t="s">
        <v>75</v>
      </c>
      <c r="AQ105" s="1381">
        <f>SUMIFS(Vinay!$N$13:$N$400,Vinay!$P$13:$P$400,"March",Vinay!$J$13:$J$400,"SPP")</f>
        <v>1202802</v>
      </c>
      <c r="AR105" s="1381">
        <f>SUMIFS(Vinay!$N$13:$N$400,Vinay!$P$13:$P$400,"April",Vinay!$J$13:$J$400,"SPP")</f>
        <v>1182284</v>
      </c>
      <c r="AS105" s="1381">
        <f>SUMIFS(Vinay!$N$13:$N$400,Vinay!$P$13:$P$400,"May",Vinay!$J$13:$J$400,"SPP")</f>
        <v>670047</v>
      </c>
      <c r="AT105" s="1381">
        <f>SUMIFS(Vinay!$N$13:$N$400,Vinay!$P$13:$P$400,"June",Vinay!$J$13:$J$400,"SPP")</f>
        <v>1597534</v>
      </c>
      <c r="AU105" s="1381">
        <f>SUMIFS(Vinay!$N$13:$N$400,Vinay!$P$13:$P$400,"July",Vinay!$J$13:$J$400,"SPP")</f>
        <v>0</v>
      </c>
      <c r="AV105" s="1381">
        <f>SUMIFS(Vinay!$N$13:$N$400,Vinay!$P$13:$P$400,"August",Vinay!$J$13:$J$400,"SPP")</f>
        <v>1675329</v>
      </c>
      <c r="AW105" s="1381">
        <f>SUMIFS(Vinay!$N$13:$N$400,Vinay!$P$13:$P$400,"September",Vinay!$J$13:$J$400,"SPP")</f>
        <v>842147</v>
      </c>
      <c r="AX105" s="1381">
        <f>SUMIFS(Vinay!$N$13:$N$400,Vinay!$P$13:$P$400,"October",Vinay!$J$13:$J$400,"SPP")</f>
        <v>985092</v>
      </c>
      <c r="AY105" s="1381">
        <f>SUMIFS(Vinay!$N$13:$N$400,Vinay!$P$13:$P$400,"November",Vinay!$J$13:$J$400,"SPP")</f>
        <v>519444</v>
      </c>
      <c r="AZ105" s="1381">
        <f>SUMIFS(Vinay!$N$13:$N$400,Vinay!$P$13:$P$400,"December",Vinay!$J$13:$J$400,"SPP")</f>
        <v>5153735</v>
      </c>
    </row>
    <row r="106" spans="11:52" ht="18">
      <c r="K106" s="1387"/>
      <c r="Q106" s="922" t="s">
        <v>77</v>
      </c>
      <c r="R106" s="1381">
        <f>SUMIFS(Yogesh!$N$13:$N$400,Yogesh!$P$13:$P$400,"March",Yogesh!$J$13:$J$400,"Relocation")</f>
        <v>325000</v>
      </c>
      <c r="S106" s="1381">
        <f>SUMIFS(Yogesh!$N$13:$N$400,Yogesh!$P$13:$P$400,"April",Yogesh!$J$13:$J$400,"Relocation")</f>
        <v>0</v>
      </c>
      <c r="T106" s="1381">
        <f>SUMIFS(Yogesh!$N$13:$N$400,Yogesh!$P$13:$P$400,"May",Yogesh!$J$13:$J$400,"Relocation")</f>
        <v>0</v>
      </c>
      <c r="U106" s="1381">
        <f>SUMIFS(Yogesh!$N$13:$N$400,Yogesh!$P$13:$P$400,"June",Yogesh!$J$13:$J$400,"Relocation")</f>
        <v>0</v>
      </c>
      <c r="V106" s="1381">
        <f>SUMIFS(Yogesh!$N$13:$N$400,Yogesh!$P$13:$P$400,"July",Yogesh!$J$13:$J$400,"Relcoation")</f>
        <v>0</v>
      </c>
      <c r="W106" s="1381">
        <f>SUMIFS(Yogesh!$N$13:$N$400,Yogesh!$P$13:$P$400,"August",Yogesh!$J$13:$J$400,"Relocation")</f>
        <v>350000</v>
      </c>
      <c r="X106" s="1381">
        <f>SUMIFS(Yogesh!$N$13:$N$400,Yogesh!$P$13:$P$400,"September",Yogesh!$J$13:$J$400,"Relocation")</f>
        <v>0</v>
      </c>
      <c r="Y106" s="1381">
        <f>SUMIFS(Yogesh!$N$13:$N$400,Yogesh!$P$13:$P$400,"October",Yogesh!$J$13:$J$400,"Relocation")</f>
        <v>0</v>
      </c>
      <c r="Z106" s="1381">
        <f>SUMIFS(Yogesh!$N$13:$N$400,Yogesh!$P$13:$P$400,"November",Yogesh!$J$13:$J$400,"Relocation")</f>
        <v>0</v>
      </c>
      <c r="AA106" s="1381">
        <f>SUMIFS(Yogesh!$N$13:$N$400,Yogesh!$P$13:$P$400,"December",Yogesh!$J$13:$J$400,"Relocation")</f>
        <v>1480000</v>
      </c>
      <c r="AD106" s="922" t="s">
        <v>77</v>
      </c>
      <c r="AE106" s="1381">
        <f>SUMIFS(Gajendra!$N$13:$N$373,Gajendra!$P$13:$P$373,"April",Gajendra!$J$13:$J$373,"Relocation")</f>
        <v>343570</v>
      </c>
      <c r="AF106" s="1381">
        <f>SUMIFS(Gajendra!$N$13:$N$373,Gajendra!$P$13:$P$373,"May",Gajendra!$J$13:$J$373,"Relocation")</f>
        <v>0</v>
      </c>
      <c r="AG106" s="1381">
        <f>SUMIFS(Gajendra!$N$13:$N$373,Gajendra!$P$13:$P$373,"June",Gajendra!$J$13:$J$373,"Relocation")</f>
        <v>0</v>
      </c>
      <c r="AH106" s="1381">
        <f>SUMIFS(Gajendra!$N$13:$N$373,Gajendra!$P$13:$P$373,"July",Gajendra!$J$13:$J$373,"Relcoation")</f>
        <v>0</v>
      </c>
      <c r="AI106" s="1381">
        <f>SUMIFS(Gajendra!$N$13:$N$373,Gajendra!$P$13:$P$373,"August",Gajendra!$J$13:$J$373,"Relocation")</f>
        <v>0</v>
      </c>
      <c r="AJ106" s="1381">
        <f>SUMIFS(Gajendra!$N$13:$N$373,Gajendra!$P$13:$P$373,"September",Gajendra!$J$13:$J$373,"Relocation")</f>
        <v>0</v>
      </c>
      <c r="AK106" s="1381">
        <f>SUMIFS(Gajendra!$N$13:$N$373,Gajendra!$P$13:$P$373,"October",Gajendra!$J$13:$J$373,"Relocation")</f>
        <v>500000</v>
      </c>
      <c r="AL106" s="1381">
        <f>SUMIFS(Gajendra!$N$13:$N$373,Gajendra!$P$13:$P$373,"November",Gajendra!$J$13:$J$373,"Relocation")</f>
        <v>807500</v>
      </c>
      <c r="AM106" s="1381">
        <f>SUMIFS(Gajendra!$N$13:$N$373,Gajendra!$P$13:$P$373,"December",Gajendra!$J$13:$J$373,"Relocation")</f>
        <v>635000</v>
      </c>
      <c r="AP106" s="922" t="s">
        <v>77</v>
      </c>
      <c r="AQ106" s="1381">
        <f>SUMIFS(Vinay!$N$13:$N$400,Vinay!$P$13:$P$400,"March",Vinay!$J$13:$J$400,"Relocation")</f>
        <v>0</v>
      </c>
      <c r="AR106" s="1381">
        <f>SUMIFS(Vinay!$N$13:$N$400,Vinay!$P$13:$P$400,"April",Vinay!$J$13:$J$400,"Relocation")</f>
        <v>0</v>
      </c>
      <c r="AS106" s="1381">
        <f>SUMIFS(Vinay!$N$13:$N$400,Vinay!$P$13:$P$400,"May",Vinay!$J$13:$J$400,"Relocation")</f>
        <v>0</v>
      </c>
      <c r="AT106" s="1381">
        <f>SUMIFS(Vinay!$N$13:$N$400,Vinay!$P$13:$P$400,"June",Vinay!$J$13:$J$400,"Relocation")</f>
        <v>0</v>
      </c>
      <c r="AU106" s="1381">
        <f>SUMIFS(Vinay!$N$13:$N$400,Vinay!$P$13:$P$400,"July",Vinay!$J$13:$J$400,"Relcoation")</f>
        <v>0</v>
      </c>
      <c r="AV106" s="1381">
        <f>SUMIFS(Vinay!$N$13:$N$400,Vinay!$P$13:$P$400,"August",Vinay!$J$13:$J$400,"Relocation")</f>
        <v>0</v>
      </c>
      <c r="AW106" s="1381">
        <f>SUMIFS(Vinay!$N$13:$N$400,Vinay!$P$13:$P$400,"September",Vinay!$J$13:$J$400,"Relocation")</f>
        <v>0</v>
      </c>
      <c r="AX106" s="1381">
        <f>SUMIFS(Vinay!$N$13:$N$400,Vinay!$P$13:$P$400,"October",Vinay!$J$13:$J$400,"Relocation")</f>
        <v>0</v>
      </c>
      <c r="AY106" s="1381">
        <f>SUMIFS(Vinay!$N$13:$N$400,Vinay!$P$13:$P$400,"November",Vinay!$J$13:$J$400,"Relocation")</f>
        <v>0</v>
      </c>
      <c r="AZ106" s="1381">
        <f>SUMIFS(Vinay!$N$13:$N$400,Vinay!$P$13:$P$400,"December",Vinay!$J$13:$J$400,"Relocation")</f>
        <v>0</v>
      </c>
    </row>
    <row r="107" spans="11:52" ht="18">
      <c r="K107" s="1387"/>
      <c r="Q107" s="922" t="s">
        <v>78</v>
      </c>
      <c r="R107" s="1381">
        <f>SUMIFS(Yogesh!$N$13:$N$400,Yogesh!$P$13:$P$400,"March",Yogesh!$J$13:$J$400,"Software")</f>
        <v>0</v>
      </c>
      <c r="S107" s="1381">
        <f>SUMIFS(Yogesh!$N$13:$N$400,Yogesh!$P$13:$P$400,"April",Yogesh!$J$13:$J$400,"Software")</f>
        <v>0</v>
      </c>
      <c r="T107" s="1381">
        <f>SUMIFS(Yogesh!$N$13:$N$400,Yogesh!$P$13:$P$400,"May",Yogesh!$J$13:$J$400,"Software")</f>
        <v>0</v>
      </c>
      <c r="U107" s="1381">
        <f>SUMIFS(Yogesh!$N$13:$N$400,Yogesh!$P$13:$P$400,"June",Yogesh!$J$13:$J$400,"Software")</f>
        <v>0</v>
      </c>
      <c r="V107" s="1381">
        <f>SUMIFS(Yogesh!$N$13:$N$400,Yogesh!$P$13:$P$400,"July",Yogesh!$J$13:$J$400,"Sofwtare")</f>
        <v>0</v>
      </c>
      <c r="W107" s="1381">
        <f>SUMIFS(Yogesh!$N$13:$N$400,Yogesh!$P$13:$P$400,"August",Yogesh!$J$13:$J$400,"Software")</f>
        <v>0</v>
      </c>
      <c r="X107" s="1381">
        <f>SUMIFS(Yogesh!$N$13:$N$400,Yogesh!$P$13:$P$400,"September",Yogesh!$J$13:$J$400,"Sofwtare")</f>
        <v>0</v>
      </c>
      <c r="Y107" s="1381">
        <f>SUMIFS(Yogesh!$N$13:$N$400,Yogesh!$P$13:$P$400,"October",Yogesh!$J$13:$J$400,"Software")</f>
        <v>850000</v>
      </c>
      <c r="Z107" s="1381">
        <f>SUMIFS(Yogesh!$N$13:$N$400,Yogesh!$P$13:$P$400,"November",Yogesh!$J$13:$J$400,"Sofwtare")</f>
        <v>0</v>
      </c>
      <c r="AA107" s="1381">
        <f>SUMIFS(Yogesh!$N$13:$N$400,Yogesh!$P$13:$P$400,"December",Yogesh!$J$13:$J$400,"Software")</f>
        <v>2747800</v>
      </c>
      <c r="AD107" s="922" t="s">
        <v>78</v>
      </c>
      <c r="AE107" s="1381">
        <f>SUMIFS(Gajendra!$N$13:$N$373,Gajendra!$P$13:$P$373,"April",Gajendra!$J$13:$J$373,"Software")</f>
        <v>0</v>
      </c>
      <c r="AF107" s="1381">
        <f>SUMIFS(Gajendra!$N$13:$N$373,Gajendra!$P$13:$P$373,"May",Gajendra!$J$13:$J$373,"Software")</f>
        <v>0</v>
      </c>
      <c r="AG107" s="1381">
        <f>SUMIFS(Gajendra!$N$13:$N$373,Gajendra!$P$13:$P$373,"June",Gajendra!$J$13:$J$373,"Software")</f>
        <v>0</v>
      </c>
      <c r="AH107" s="1381">
        <f>SUMIFS(Gajendra!$N$13:$N$373,Gajendra!$P$13:$P$373,"July",Gajendra!$J$13:$J$373,"Sofwtare")</f>
        <v>0</v>
      </c>
      <c r="AI107" s="1381">
        <f>SUMIFS(Gajendra!$N$13:$N$373,Gajendra!$P$13:$P$373,"August",Gajendra!$J$13:$J$373,"Software")</f>
        <v>0</v>
      </c>
      <c r="AJ107" s="1381">
        <f>SUMIFS(Gajendra!$N$13:$N$373,Gajendra!$P$13:$P$373,"September",Gajendra!$J$13:$J$373,"Sofwtare")</f>
        <v>0</v>
      </c>
      <c r="AK107" s="1381">
        <f>SUMIFS(Gajendra!$N$13:$N$373,Gajendra!$P$13:$P$373,"October",Gajendra!$J$13:$J$373,"Software")</f>
        <v>0</v>
      </c>
      <c r="AL107" s="1381">
        <f>SUMIFS(Gajendra!$N$13:$N$373,Gajendra!$P$13:$P$373,"November",Gajendra!$J$13:$J$373,"Sofwtare")</f>
        <v>0</v>
      </c>
      <c r="AM107" s="1381">
        <f>SUMIFS(Gajendra!$N$13:$N$373,Gajendra!$P$13:$P$373,"December",Gajendra!$J$13:$J$373,"Software")</f>
        <v>0</v>
      </c>
      <c r="AP107" s="922" t="s">
        <v>78</v>
      </c>
      <c r="AQ107" s="1381">
        <f>SUMIFS(Vinay!$N$13:$N$400,Vinay!$P$13:$P$400,"March",Vinay!$J$13:$J$400,"Software")</f>
        <v>0</v>
      </c>
      <c r="AR107" s="1381">
        <f>SUMIFS(Vinay!$N$13:$N$400,Vinay!$P$13:$P$400,"April",Vinay!$J$13:$J$400,"Software")</f>
        <v>0</v>
      </c>
      <c r="AS107" s="1381">
        <f>SUMIFS(Vinay!$N$13:$N$400,Vinay!$P$13:$P$400,"May",Vinay!$J$13:$J$400,"Software")</f>
        <v>0</v>
      </c>
      <c r="AT107" s="1381">
        <f>SUMIFS(Vinay!$N$13:$N$400,Vinay!$P$13:$P$400,"June",Vinay!$J$13:$J$400,"Software")</f>
        <v>0</v>
      </c>
      <c r="AU107" s="1381">
        <f>SUMIFS(Vinay!$N$13:$N$400,Vinay!$P$13:$P$400,"July",Vinay!$J$13:$J$400,"Sofwtare")</f>
        <v>0</v>
      </c>
      <c r="AV107" s="1381">
        <f>SUMIFS(Vinay!$N$13:$N$400,Vinay!$P$13:$P$400,"August",Vinay!$J$13:$J$400,"Software")</f>
        <v>0</v>
      </c>
      <c r="AW107" s="1381">
        <f>SUMIFS(Vinay!$N$13:$N$400,Vinay!$P$13:$P$400,"September",Vinay!$J$13:$J$400,"Sofwtare")</f>
        <v>0</v>
      </c>
      <c r="AX107" s="1381">
        <f>SUMIFS(Vinay!$N$13:$N$400,Vinay!$P$13:$P$400,"October",Vinay!$J$13:$J$400,"Software")</f>
        <v>0</v>
      </c>
      <c r="AY107" s="1381">
        <f>SUMIFS(Vinay!$N$13:$N$400,Vinay!$P$13:$P$400,"November",Vinay!$J$13:$J$400,"Sofwtare")</f>
        <v>0</v>
      </c>
      <c r="AZ107" s="1381">
        <f>SUMIFS(Vinay!$N$13:$N$400,Vinay!$P$13:$P$400,"December",Vinay!$J$13:$J$400,"Software")</f>
        <v>0</v>
      </c>
    </row>
    <row r="108" spans="11:52" ht="18">
      <c r="K108" s="1387"/>
      <c r="Q108" s="922" t="s">
        <v>79</v>
      </c>
      <c r="R108" s="1381">
        <f>SUMIFS(Yogesh!$N$13:$N$400,Yogesh!$P$13:$P$400,"March",Yogesh!$J$13:$J$400,"BD Charges")</f>
        <v>0</v>
      </c>
      <c r="S108" s="1381">
        <f>SUMIFS(Yogesh!$N$13:$N$400,Yogesh!$P$13:$P$400,"April",Yogesh!$J$13:$J$400,"BD charges")</f>
        <v>0</v>
      </c>
      <c r="T108" s="1381">
        <f>SUMIFS(Yogesh!$N$13:$N$400,Yogesh!$P$13:$P$400,"May",Yogesh!$J$13:$J$400,"BD charges")</f>
        <v>0</v>
      </c>
      <c r="U108" s="1381">
        <f>SUMIFS(Yogesh!$N$13:$N$400,Yogesh!$P$13:$P$400,"June",Yogesh!$J$13:$J$400,"BD charges")</f>
        <v>22500</v>
      </c>
      <c r="V108" s="1381">
        <f>SUMIFS(Yogesh!$N$13:$N$400,Yogesh!$P$13:$P$400,"July",Yogesh!$J$13:$J$400,"BD charges")</f>
        <v>0</v>
      </c>
      <c r="W108" s="1381">
        <f>SUMIFS(Yogesh!$N$13:$N$400,Yogesh!$P$13:$P$400,"August",Yogesh!$J$13:$J$400,"BD charges")</f>
        <v>0</v>
      </c>
      <c r="X108" s="1381">
        <f>SUMIFS(Yogesh!$N$13:$N$400,Yogesh!$P$13:$P$400,"September",Yogesh!$J$13:$J$400,"BD charges")</f>
        <v>0</v>
      </c>
      <c r="Y108" s="1381">
        <f>SUMIFS(Yogesh!$N$13:$N$400,Yogesh!$P$13:$P$400,"October",Yogesh!$J$13:$J$400,"BD charges")</f>
        <v>0</v>
      </c>
      <c r="Z108" s="1381">
        <f>SUMIFS(Yogesh!$N$13:$N$400,Yogesh!$P$13:$P$400,"November",Yogesh!$J$13:$J$400,"BD charges")</f>
        <v>0</v>
      </c>
      <c r="AA108" s="1381">
        <f>SUMIFS(Yogesh!$N$13:$N$400,Yogesh!$P$13:$P$400,"December",Yogesh!$J$13:$J$400,"BD charges")</f>
        <v>0</v>
      </c>
      <c r="AD108" s="922" t="s">
        <v>79</v>
      </c>
      <c r="AE108" s="1381">
        <f>SUMIFS(Gajendra!$N$13:$N$373,Gajendra!$P$13:$P$373,"April",Gajendra!$J$13:$J$373,"BD charges")</f>
        <v>0</v>
      </c>
      <c r="AF108" s="1381">
        <f>SUMIFS(Gajendra!$N$13:$N$373,Gajendra!$P$13:$P$373,"May",Gajendra!$J$13:$J$373,"BD charges")</f>
        <v>0</v>
      </c>
      <c r="AG108" s="1381">
        <f>SUMIFS(Gajendra!$N$13:$N$373,Gajendra!$P$13:$P$373,"June",Gajendra!$J$13:$J$373,"BD charges")</f>
        <v>0</v>
      </c>
      <c r="AH108" s="1381">
        <f>SUMIFS(Gajendra!$N$13:$N$373,Gajendra!$P$13:$P$373,"July",Gajendra!$J$13:$J$373,"BD charges")</f>
        <v>0</v>
      </c>
      <c r="AI108" s="1381">
        <f>SUMIFS(Gajendra!$N$13:$N$373,Gajendra!$P$13:$P$373,"August",Gajendra!$J$13:$J$373,"BD charges")</f>
        <v>0</v>
      </c>
      <c r="AJ108" s="1381">
        <f>SUMIFS(Gajendra!$N$13:$N$373,Gajendra!$P$13:$P$373,"September",Gajendra!$J$13:$J$373,"BD charges")</f>
        <v>33000</v>
      </c>
      <c r="AK108" s="1381">
        <f>SUMIFS(Gajendra!$N$13:$N$373,Gajendra!$P$13:$P$373,"October",Gajendra!$J$13:$J$373,"BD charges")</f>
        <v>0</v>
      </c>
      <c r="AL108" s="1381">
        <f>SUMIFS(Gajendra!$N$13:$N$373,Gajendra!$P$13:$P$373,"November",Gajendra!$J$13:$J$373,"BD charges")</f>
        <v>0</v>
      </c>
      <c r="AM108" s="1381">
        <f>SUMIFS(Gajendra!$N$13:$N$373,Gajendra!$P$13:$P$373,"December",Gajendra!$J$13:$J$373,"BD charges")</f>
        <v>0</v>
      </c>
      <c r="AP108" s="922" t="s">
        <v>79</v>
      </c>
      <c r="AQ108" s="1381">
        <f>SUMIFS(Vinay!$N$13:$N$400,Vinay!$P$13:$P$400,"March",Vinay!$J$13:$J$400,"BD Charges")</f>
        <v>0</v>
      </c>
      <c r="AR108" s="1381">
        <f>SUMIFS(Vinay!$N$13:$N$400,Vinay!$P$13:$P$400,"April",Vinay!$J$13:$J$400,"BD charges")</f>
        <v>0</v>
      </c>
      <c r="AS108" s="1381">
        <f>SUMIFS(Vinay!$N$13:$N$400,Vinay!$P$13:$P$400,"May",Vinay!$J$13:$J$400,"BD charges")</f>
        <v>0</v>
      </c>
      <c r="AT108" s="1381">
        <f>SUMIFS(Vinay!$N$13:$N$400,Vinay!$P$13:$P$400,"June",Vinay!$J$13:$J$400,"BD charges")</f>
        <v>28000</v>
      </c>
      <c r="AU108" s="1381">
        <f>SUMIFS(Vinay!$N$13:$N$400,Vinay!$P$13:$P$400,"July",Vinay!$J$13:$J$400,"BD charges")</f>
        <v>0</v>
      </c>
      <c r="AV108" s="1381">
        <f>SUMIFS(Vinay!$N$13:$N$400,Vinay!$P$13:$P$400,"August",Vinay!$J$13:$J$400,"BD charges")</f>
        <v>35000</v>
      </c>
      <c r="AW108" s="1381">
        <f>SUMIFS(Vinay!$N$13:$N$400,Vinay!$P$13:$P$400,"September",Vinay!$J$13:$J$400,"BD charges")</f>
        <v>0</v>
      </c>
      <c r="AX108" s="1381">
        <f>SUMIFS(Vinay!$N$13:$N$400,Vinay!$P$13:$P$400,"October",Vinay!$J$13:$J$400,"BD charges")</f>
        <v>0</v>
      </c>
      <c r="AY108" s="1381">
        <f>SUMIFS(Vinay!$N$13:$N$400,Vinay!$P$13:$P$400,"November",Vinay!$J$13:$J$400,"BD charges")</f>
        <v>0</v>
      </c>
      <c r="AZ108" s="1381">
        <f>SUMIFS(Vinay!$N$13:$N$400,Vinay!$P$13:$P$400,"December",Vinay!$J$13:$J$400,"BD charges")</f>
        <v>21000</v>
      </c>
    </row>
    <row r="109" spans="11:52" ht="18">
      <c r="K109" s="1387"/>
      <c r="Q109" s="922" t="s">
        <v>80</v>
      </c>
      <c r="R109" s="1381">
        <f>SUMIFS(Yogesh!$N$13:$N$400,Yogesh!$P$13:$P$400,"March",Yogesh!$J$13:$J$400,"Retrofit kit")</f>
        <v>0</v>
      </c>
      <c r="S109" s="1381">
        <f>SUMIFS(Yogesh!$N$13:$N$400,Yogesh!$P$13:$P$400,"April",Yogesh!$J$13:$J$400,"Retrofit kit")</f>
        <v>25643885</v>
      </c>
      <c r="T109" s="1381">
        <f>SUMIFS(Yogesh!$N$13:$N$400,Yogesh!$P$13:$P$400,"May",Yogesh!$J$13:$J$400,"Retrofit kit")</f>
        <v>0</v>
      </c>
      <c r="U109" s="1381">
        <f>SUMIFS(Yogesh!$N$13:$N$400,Yogesh!$P$13:$P$400,"June",Yogesh!$J$13:$J$400,"Retrofit kit")</f>
        <v>0</v>
      </c>
      <c r="V109" s="1381">
        <f>SUMIFS(Yogesh!$N$13:$N$400,Yogesh!$P$13:$P$400,"July",Yogesh!$J$13:$J$400,"Retrofit kit")</f>
        <v>0</v>
      </c>
      <c r="W109" s="1381">
        <f>SUMIFS(Yogesh!$N$13:$N$400,Yogesh!$P$13:$P$400,"August",Yogesh!$J$13:$J$400,"Retrofit kit")</f>
        <v>0</v>
      </c>
      <c r="X109" s="1381">
        <f>SUMIFS(Yogesh!$N$13:$N$400,Yogesh!$P$13:$P$400,"September",Yogesh!$J$13:$J$400,"Retrofit kit")</f>
        <v>633000</v>
      </c>
      <c r="Y109" s="1381">
        <f>SUMIFS(Yogesh!$N$13:$N$400,Yogesh!$P$13:$P$400,"October",Yogesh!$J$13:$J$400,"Retrofit kit")</f>
        <v>0</v>
      </c>
      <c r="Z109" s="1381">
        <f>SUMIFS(Yogesh!$N$13:$N$400,Yogesh!$P$13:$P$400,"November",Yogesh!$J$13:$J$400,"Retrofit kit")</f>
        <v>0</v>
      </c>
      <c r="AA109" s="1381">
        <f>SUMIFS(Yogesh!$N$13:$N$400,Yogesh!$P$13:$P$400,"December",Yogesh!$J$13:$J$400,"Retrofit kit")</f>
        <v>1248375</v>
      </c>
      <c r="AD109" s="922" t="s">
        <v>80</v>
      </c>
      <c r="AE109" s="1381">
        <f>SUMIFS(Gajendra!$N$13:$N$373,Gajendra!$P$13:$P$373,"April",Gajendra!$J$13:$J$373,"Retrofit kit")</f>
        <v>0</v>
      </c>
      <c r="AF109" s="1381">
        <f>SUMIFS(Gajendra!$N$13:$N$373,Gajendra!$P$13:$P$373,"May",Gajendra!$J$13:$J$373,"Retrofit kit")</f>
        <v>0</v>
      </c>
      <c r="AG109" s="1381">
        <f>SUMIFS(Gajendra!$N$13:$N$373,Gajendra!$P$13:$P$373,"June",Gajendra!$J$13:$J$373,"Retrofit kit")</f>
        <v>0</v>
      </c>
      <c r="AH109" s="1381">
        <f>SUMIFS(Gajendra!$N$13:$N$373,Gajendra!$P$13:$P$373,"July",Gajendra!$J$13:$J$373,"Retrofit kit")</f>
        <v>0</v>
      </c>
      <c r="AI109" s="1381">
        <f>SUMIFS(Gajendra!$N$13:$N$373,Gajendra!$P$13:$P$373,"August",Gajendra!$J$13:$J$373,"Retrofit kit")</f>
        <v>0</v>
      </c>
      <c r="AJ109" s="1381">
        <f>SUMIFS(Gajendra!$N$13:$N$373,Gajendra!$P$13:$P$373,"September",Gajendra!$J$13:$J$373,"Retrofit kit")</f>
        <v>0</v>
      </c>
      <c r="AK109" s="1381">
        <f>SUMIFS(Gajendra!$N$13:$N$373,Gajendra!$P$13:$P$373,"October",Gajendra!$J$13:$J$373,"Retrofit kit")</f>
        <v>3300000</v>
      </c>
      <c r="AL109" s="1381">
        <f>SUMIFS(Gajendra!$N$13:$N$373,Gajendra!$P$13:$P$373,"November",Gajendra!$J$13:$J$373,"Retrofit kit")</f>
        <v>0</v>
      </c>
      <c r="AM109" s="1381">
        <f>SUMIFS(Gajendra!$N$13:$N$373,Gajendra!$P$13:$P$373,"December",Gajendra!$J$13:$J$373,"Retrofit kit")</f>
        <v>0</v>
      </c>
      <c r="AP109" s="922" t="s">
        <v>80</v>
      </c>
      <c r="AQ109" s="1381">
        <f>SUMIFS(Vinay!$N$13:$N$400,Vinay!$P$13:$P$400,"March",Vinay!$J$13:$J$400,"Retrofit kit")</f>
        <v>0</v>
      </c>
      <c r="AR109" s="1381">
        <f>SUMIFS(Vinay!$N$13:$N$400,Vinay!$P$13:$P$400,"April",Vinay!$J$13:$J$400,"Retrofit kit")</f>
        <v>0</v>
      </c>
      <c r="AS109" s="1381">
        <f>SUMIFS(Vinay!$N$13:$N$400,Vinay!$P$13:$P$400,"May",Vinay!$J$13:$J$400,"Retrofit kit")</f>
        <v>0</v>
      </c>
      <c r="AT109" s="1381">
        <f>SUMIFS(Vinay!$N$13:$N$400,Vinay!$P$13:$P$400,"June",Vinay!$J$13:$J$400,"Retrofit kit")</f>
        <v>0</v>
      </c>
      <c r="AU109" s="1381">
        <f>SUMIFS(Vinay!$N$13:$N$400,Vinay!$P$13:$P$400,"July",Vinay!$J$13:$J$400,"Retrofit kit")</f>
        <v>0</v>
      </c>
      <c r="AV109" s="1381">
        <f>SUMIFS(Vinay!$N$13:$N$400,Vinay!$P$13:$P$400,"August",Vinay!$J$13:$J$400,"Retrofit kit")</f>
        <v>0</v>
      </c>
      <c r="AW109" s="1381">
        <f>SUMIFS(Vinay!$N$13:$N$400,Vinay!$P$13:$P$400,"September",Vinay!$J$13:$J$400,"Retrofit kit")</f>
        <v>0</v>
      </c>
      <c r="AX109" s="1381">
        <f>SUMIFS(Vinay!$N$13:$N$400,Vinay!$P$13:$P$400,"October",Vinay!$J$13:$J$400,"Retrofit kit")</f>
        <v>0</v>
      </c>
      <c r="AY109" s="1381">
        <f>SUMIFS(Vinay!$N$13:$N$400,Vinay!$P$13:$P$400,"November",Vinay!$J$13:$J$400,"Retrofit kit")</f>
        <v>0</v>
      </c>
      <c r="AZ109" s="1381">
        <f>SUMIFS(Vinay!$N$13:$N$400,Vinay!$P$13:$P$400,"December",Vinay!$J$13:$J$400,"Retrofit kit")</f>
        <v>3499890</v>
      </c>
    </row>
    <row r="110" spans="11:52" ht="18">
      <c r="K110" s="1387"/>
      <c r="Q110" s="922" t="s">
        <v>81</v>
      </c>
      <c r="R110" s="1381">
        <f>SUMIFS(Yogesh!$N$13:$N$400,Yogesh!$P$13:$P$400,"March",Yogesh!$J$13:$J$400,"Upgrade kit")</f>
        <v>0</v>
      </c>
      <c r="S110" s="1381">
        <f>SUMIFS(Yogesh!$N$13:$N$400,Yogesh!$P$13:$P$400,"April",Yogesh!$J$13:$J$400,"Upgrade kit")</f>
        <v>0</v>
      </c>
      <c r="T110" s="1381">
        <f>SUMIFS(Yogesh!$N$13:$N$400,Yogesh!$P$13:$P$400,"May",Yogesh!$J$13:$J$400,"Upgrade kit")</f>
        <v>0</v>
      </c>
      <c r="U110" s="1381">
        <f>SUMIFS(Yogesh!$N$13:$N$400,Yogesh!$P$13:$P$400,"June",Yogesh!$J$13:$J$400,"Upgrade kit")</f>
        <v>0</v>
      </c>
      <c r="V110" s="1381">
        <f>SUMIFS(Yogesh!$N$13:$N$400,Yogesh!$P$13:$P$400,"July",Yogesh!$J$13:$J$400,"Upgrade kit")</f>
        <v>0</v>
      </c>
      <c r="W110" s="1381">
        <f>SUMIFS(Yogesh!$N$13:$N$400,Yogesh!$P$13:$P$400,"August",Yogesh!$J$13:$J$400,"Upgrade kit")</f>
        <v>1370839</v>
      </c>
      <c r="X110" s="1381">
        <f>SUMIFS(Yogesh!$N$13:$N$400,Yogesh!$P$13:$P$400,"September",Yogesh!$J$13:$J$400,"Upgrade kit")</f>
        <v>171800</v>
      </c>
      <c r="Y110" s="1381">
        <f>SUMIFS(Yogesh!$N$13:$N$400,Yogesh!$P$13:$P$400,"October",Yogesh!$J$13:$J$400,"Upgrade kit")</f>
        <v>0</v>
      </c>
      <c r="Z110" s="1381">
        <f>SUMIFS(Yogesh!$N$13:$N$400,Yogesh!$P$13:$P$400,"November",Yogesh!$J$13:$J$400,"Upgrade kit")</f>
        <v>0</v>
      </c>
      <c r="AA110" s="1381">
        <f>SUMIFS(Yogesh!$N$13:$N$400,Yogesh!$P$13:$P$400,"December",Yogesh!$J$13:$J$400,"Upgrade kit")</f>
        <v>584000</v>
      </c>
      <c r="AD110" s="922" t="s">
        <v>81</v>
      </c>
      <c r="AE110" s="1381">
        <f>SUMIFS(Gajendra!$N$13:$N$373,Gajendra!$P$13:$P$373,"April",Gajendra!$J$13:$J$373,"Upgrade kit")</f>
        <v>0</v>
      </c>
      <c r="AF110" s="1381">
        <f>SUMIFS(Gajendra!$N$13:$N$373,Gajendra!$P$13:$P$373,"May",Gajendra!$J$13:$J$373,"Upgrade kit")</f>
        <v>0</v>
      </c>
      <c r="AG110" s="1381">
        <f>SUMIFS(Gajendra!$N$13:$N$373,Gajendra!$P$13:$P$373,"June",Gajendra!$J$13:$J$373,"Upgrade kit")</f>
        <v>0</v>
      </c>
      <c r="AH110" s="1381">
        <f>SUMIFS(Gajendra!$N$13:$N$373,Gajendra!$P$13:$P$373,"July",Gajendra!$J$13:$J$373,"Upgrade kit")</f>
        <v>0</v>
      </c>
      <c r="AI110" s="1381">
        <f>SUMIFS(Gajendra!$N$13:$N$373,Gajendra!$P$13:$P$373,"August",Gajendra!$J$13:$J$373,"Upgrade kit")</f>
        <v>0</v>
      </c>
      <c r="AJ110" s="1381">
        <f>SUMIFS(Gajendra!$N$13:$N$373,Gajendra!$P$13:$P$373,"September",Gajendra!$J$13:$J$373,"Upgrade kit")</f>
        <v>566371</v>
      </c>
      <c r="AK110" s="1381">
        <f>SUMIFS(Gajendra!$N$13:$N$373,Gajendra!$P$13:$P$373,"October",Gajendra!$J$13:$J$373,"Upgrade kit")</f>
        <v>0</v>
      </c>
      <c r="AL110" s="1381">
        <f>SUMIFS(Gajendra!$N$13:$N$373,Gajendra!$P$13:$P$373,"November",Gajendra!$J$13:$J$373,"Upgrade kit")</f>
        <v>4906000</v>
      </c>
      <c r="AM110" s="1381">
        <f>SUMIFS(Gajendra!$N$13:$N$373,Gajendra!$P$13:$P$373,"December",Gajendra!$J$13:$J$373,"Upgrade kit")</f>
        <v>1388304</v>
      </c>
      <c r="AP110" s="922" t="s">
        <v>81</v>
      </c>
      <c r="AQ110" s="1381">
        <f>SUMIFS(Vinay!$N$13:$N$400,Vinay!$P$13:$P$400,"March",Vinay!$J$13:$J$400,"Upgrade kit")</f>
        <v>0</v>
      </c>
      <c r="AR110" s="1381">
        <f>SUMIFS(Vinay!$N$13:$N$400,Vinay!$P$13:$P$400,"April",Vinay!$J$13:$J$400,"Upgrade kit")</f>
        <v>0</v>
      </c>
      <c r="AS110" s="1381">
        <f>SUMIFS(Vinay!$N$13:$N$400,Vinay!$P$13:$P$400,"May",Vinay!$J$13:$J$400,"Upgrade kit")</f>
        <v>0</v>
      </c>
      <c r="AT110" s="1381">
        <f>SUMIFS(Vinay!$N$13:$N$400,Vinay!$P$13:$P$400,"June",Vinay!$J$13:$J$400,"Upgrade kit")</f>
        <v>0</v>
      </c>
      <c r="AU110" s="1381">
        <f>SUMIFS(Vinay!$N$13:$N$400,Vinay!$P$13:$P$400,"July",Vinay!$J$13:$J$400,"Upgrade kit")</f>
        <v>0</v>
      </c>
      <c r="AV110" s="1381">
        <f>SUMIFS(Vinay!$N$13:$N$400,Vinay!$P$13:$P$400,"August",Vinay!$J$13:$J$400,"Upgrade kit")</f>
        <v>0</v>
      </c>
      <c r="AW110" s="1381">
        <f>SUMIFS(Vinay!$N$13:$N$400,Vinay!$P$13:$P$400,"September",Vinay!$J$13:$J$400,"Upgrade kit")</f>
        <v>0</v>
      </c>
      <c r="AX110" s="1381">
        <f>SUMIFS(Vinay!$N$13:$N$400,Vinay!$P$13:$P$400,"October",Vinay!$J$13:$J$400,"Upgrade kit")</f>
        <v>0</v>
      </c>
      <c r="AY110" s="1381">
        <f>SUMIFS(Vinay!$N$13:$N$400,Vinay!$P$13:$P$400,"November",Vinay!$J$13:$J$400,"Upgrade kit")</f>
        <v>0</v>
      </c>
      <c r="AZ110" s="1381">
        <f>SUMIFS(Vinay!$N$13:$N$400,Vinay!$P$13:$P$400,"December",Vinay!$J$13:$J$400,"Upgrade kit")</f>
        <v>0</v>
      </c>
    </row>
    <row r="111" spans="11:52" ht="18">
      <c r="K111" s="1387"/>
      <c r="Q111" s="922" t="s">
        <v>82</v>
      </c>
      <c r="R111" s="1381">
        <f>SUMIFS(Yogesh!$N$13:$N$400,Yogesh!$P$13:$P$400,"March",Yogesh!$J$13:$J$400,"Training")</f>
        <v>0</v>
      </c>
      <c r="S111" s="1381">
        <f>SUMIFS(Yogesh!$N$13:$N$400,Yogesh!$P$13:$P$400,"April",Yogesh!$J$13:$J$400,"Training")</f>
        <v>0</v>
      </c>
      <c r="T111" s="1381">
        <f>SUMIFS(Yogesh!$N$13:$N$400,Yogesh!$P$13:$P$400,"May",Yogesh!$J$13:$J$400,"Training")</f>
        <v>0</v>
      </c>
      <c r="U111" s="1381">
        <f>SUMIFS(Yogesh!$N$13:$N$400,Yogesh!$P$13:$P$400,"June",Yogesh!$J$13:$J$400,"Training")</f>
        <v>0</v>
      </c>
      <c r="V111" s="1381">
        <f>SUMIFS(Yogesh!$N$13:$N$400,Yogesh!$P$13:$P$400,"July",Yogesh!$J$13:$J$400,"Training")</f>
        <v>0</v>
      </c>
      <c r="W111" s="1381">
        <f>SUMIFS(Yogesh!$N$13:$N$400,Yogesh!$P$13:$P$400,"August",Yogesh!$J$13:$J$400,"Training")</f>
        <v>0</v>
      </c>
      <c r="X111" s="1381">
        <f>SUMIFS(Yogesh!$N$13:$N$400,Yogesh!$P$13:$P$400,"September",Yogesh!$J$13:$J$400,"Training")</f>
        <v>0</v>
      </c>
      <c r="Y111" s="1381">
        <f>SUMIFS(Yogesh!$N$13:$N$400,Yogesh!$P$13:$P$400,"October",Yogesh!$J$13:$J$400,"Training")</f>
        <v>0</v>
      </c>
      <c r="Z111" s="1381">
        <f>SUMIFS(Yogesh!$N$13:$N$400,Yogesh!$P$13:$P$400,"November",Yogesh!$J$13:$J$400,"Training")</f>
        <v>0</v>
      </c>
      <c r="AA111" s="1381">
        <f>SUMIFS(Yogesh!$N$13:$N$400,Yogesh!$P$13:$P$400,"December",Yogesh!$J$13:$J$400,"Training")</f>
        <v>0</v>
      </c>
      <c r="AD111" s="922" t="s">
        <v>82</v>
      </c>
      <c r="AE111" s="1381">
        <f>SUMIFS(Gajendra!$N$13:$N$373,Gajendra!$P$13:$P$373,"April",Gajendra!$J$13:$J$373,"Training")</f>
        <v>0</v>
      </c>
      <c r="AF111" s="1381">
        <f>SUMIFS(Gajendra!$N$13:$N$373,Gajendra!$P$13:$P$373,"May",Gajendra!$J$13:$J$373,"Training")</f>
        <v>0</v>
      </c>
      <c r="AG111" s="1381">
        <f>SUMIFS(Gajendra!$N$13:$N$373,Gajendra!$P$13:$P$373,"June",Gajendra!$J$13:$J$373,"Training")</f>
        <v>0</v>
      </c>
      <c r="AH111" s="1381">
        <f>SUMIFS(Gajendra!$N$13:$N$373,Gajendra!$P$13:$P$373,"July",Gajendra!$J$13:$J$373,"Training")</f>
        <v>0</v>
      </c>
      <c r="AI111" s="1381">
        <f>SUMIFS(Gajendra!$N$13:$N$373,Gajendra!$P$13:$P$373,"August",Gajendra!$J$13:$J$373,"Training")</f>
        <v>0</v>
      </c>
      <c r="AJ111" s="1381">
        <f>SUMIFS(Gajendra!$N$13:$N$373,Gajendra!$P$13:$P$373,"September",Gajendra!$J$13:$J$373,"Training")</f>
        <v>0</v>
      </c>
      <c r="AK111" s="1381">
        <f>SUMIFS(Gajendra!$N$13:$N$373,Gajendra!$P$13:$P$373,"October",Gajendra!$J$13:$J$373,"Training")</f>
        <v>0</v>
      </c>
      <c r="AL111" s="1381">
        <f>SUMIFS(Gajendra!$N$13:$N$373,Gajendra!$P$13:$P$373,"November",Gajendra!$J$13:$J$373,"Training")</f>
        <v>0</v>
      </c>
      <c r="AM111" s="1381">
        <f>SUMIFS(Gajendra!$N$13:$N$373,Gajendra!$P$13:$P$373,"December",Gajendra!$J$13:$J$373,"Training")</f>
        <v>0</v>
      </c>
      <c r="AP111" s="922" t="s">
        <v>82</v>
      </c>
      <c r="AQ111" s="1381">
        <f>SUMIFS(Vinay!$N$13:$N$400,Vinay!$P$13:$P$400,"March",Vinay!$J$13:$J$400,"Training")</f>
        <v>0</v>
      </c>
      <c r="AR111" s="1381">
        <f>SUMIFS(Vinay!$N$13:$N$400,Vinay!$P$13:$P$400,"April",Vinay!$J$13:$J$400,"Training")</f>
        <v>0</v>
      </c>
      <c r="AS111" s="1381">
        <f>SUMIFS(Vinay!$N$13:$N$400,Vinay!$P$13:$P$400,"May",Vinay!$J$13:$J$400,"Training")</f>
        <v>0</v>
      </c>
      <c r="AT111" s="1381">
        <f>SUMIFS(Vinay!$N$13:$N$400,Vinay!$P$13:$P$400,"June",Vinay!$J$13:$J$400,"Training")</f>
        <v>0</v>
      </c>
      <c r="AU111" s="1381">
        <f>SUMIFS(Vinay!$N$13:$N$400,Vinay!$P$13:$P$400,"July",Vinay!$J$13:$J$400,"Training")</f>
        <v>0</v>
      </c>
      <c r="AV111" s="1381">
        <f>SUMIFS(Vinay!$N$13:$N$400,Vinay!$P$13:$P$400,"August",Vinay!$J$13:$J$400,"Training")</f>
        <v>0</v>
      </c>
      <c r="AW111" s="1381">
        <f>SUMIFS(Vinay!$N$13:$N$400,Vinay!$P$13:$P$400,"September",Vinay!$J$13:$J$400,"Training")</f>
        <v>0</v>
      </c>
      <c r="AX111" s="1381">
        <f>SUMIFS(Vinay!$N$13:$N$400,Vinay!$P$13:$P$400,"October",Vinay!$J$13:$J$400,"Training")</f>
        <v>0</v>
      </c>
      <c r="AY111" s="1381">
        <f>SUMIFS(Vinay!$N$13:$N$400,Vinay!$P$13:$P$400,"November",Vinay!$J$13:$J$400,"Training")</f>
        <v>0</v>
      </c>
      <c r="AZ111" s="1381">
        <f>SUMIFS(Vinay!$N$13:$N$400,Vinay!$P$13:$P$400,"December",Vinay!$J$13:$J$400,"Training")</f>
        <v>0</v>
      </c>
    </row>
    <row r="112" spans="11:52" ht="18">
      <c r="K112" s="1387"/>
      <c r="Q112" s="922" t="s">
        <v>83</v>
      </c>
      <c r="R112" s="1381">
        <f>SUMIFS(Yogesh!$N$13:$N$400,Yogesh!$P$13:$P$400,"March",Yogesh!$J$13:$J$400,"Midlife Upgrade")</f>
        <v>0</v>
      </c>
      <c r="S112" s="1381">
        <f>SUMIFS(Yogesh!$N$13:$N$400,Yogesh!$P$13:$P$400,"April",Yogesh!$J$13:$J$400,"Midlife Upgrade")</f>
        <v>0</v>
      </c>
      <c r="T112" s="1381">
        <f>SUMIFS(Yogesh!$N$13:$N$400,Yogesh!$P$13:$P$400,"May",Yogesh!$J$13:$J$400,"Midlife Upgrade")</f>
        <v>0</v>
      </c>
      <c r="U112" s="1381">
        <f>SUMIFS(Yogesh!$N$13:$N$400,Yogesh!$P$13:$P$400,"June",Yogesh!$J$13:$J$400,"Midlife Upgrade")</f>
        <v>0</v>
      </c>
      <c r="V112" s="1381">
        <f>SUMIFS(Yogesh!$N$13:$N$400,Yogesh!$P$13:$P$400,"July",Yogesh!$J$13:$J$400,"Midlife Upgrade")</f>
        <v>0</v>
      </c>
      <c r="W112" s="1381">
        <f>SUMIFS(Yogesh!$N$13:$N$400,Yogesh!$P$13:$P$400,"August",Yogesh!$J$13:$J$400,"Midlife Upgrade")</f>
        <v>0</v>
      </c>
      <c r="X112" s="1381">
        <f>SUMIFS(Yogesh!$N$13:$N$400,Yogesh!$P$13:$P$400,"September",Yogesh!$J$13:$J$400,"Midlife Upgrade")</f>
        <v>0</v>
      </c>
      <c r="Y112" s="1381">
        <f>SUMIFS(Yogesh!$N$13:$N$400,Yogesh!$P$13:$P$400,"October",Yogesh!$J$13:$J$400,"Midlife Upgrade")</f>
        <v>0</v>
      </c>
      <c r="Z112" s="1381">
        <f>SUMIFS(Yogesh!$N$13:$N$400,Yogesh!$P$13:$P$400,"November",Yogesh!$J$13:$J$400,"Midlife Upgrade")</f>
        <v>0</v>
      </c>
      <c r="AA112" s="1381">
        <f>SUMIFS(Yogesh!$N$13:$N$400,Yogesh!$P$13:$P$400,"December",Yogesh!$J$13:$J$400,"Midlife Upgrade")</f>
        <v>3402210</v>
      </c>
      <c r="AD112" s="922" t="s">
        <v>83</v>
      </c>
      <c r="AE112" s="1381">
        <f>SUMIFS(Gajendra!$N$13:$N$373,Gajendra!$P$13:$P$373,"April",Gajendra!$J$13:$J$373,"Midlife Upgrade")</f>
        <v>0</v>
      </c>
      <c r="AF112" s="1381">
        <f>SUMIFS(Gajendra!$N$13:$N$373,Gajendra!$P$13:$P$373,"May",Gajendra!$J$13:$J$373,"Midlife Upgrade")</f>
        <v>0</v>
      </c>
      <c r="AG112" s="1381">
        <f>SUMIFS(Gajendra!$N$13:$N$373,Gajendra!$P$13:$P$373,"June",Gajendra!$J$13:$J$373,"Midlife Upgrade")</f>
        <v>0</v>
      </c>
      <c r="AH112" s="1381">
        <f>SUMIFS(Gajendra!$N$13:$N$373,Gajendra!$P$13:$P$373,"July",Gajendra!$J$13:$J$373,"Midlife Upgrade")</f>
        <v>0</v>
      </c>
      <c r="AI112" s="1381">
        <f>SUMIFS(Gajendra!$N$13:$N$373,Gajendra!$P$13:$P$373,"August",Gajendra!$J$13:$J$373,"Midlife Upgrade")</f>
        <v>997235.33</v>
      </c>
      <c r="AJ112" s="1381">
        <f>SUMIFS(Gajendra!$N$13:$N$373,Gajendra!$P$13:$P$373,"September",Gajendra!$J$13:$J$373,"Midlife Upgrade")</f>
        <v>0</v>
      </c>
      <c r="AK112" s="1381">
        <f>SUMIFS(Gajendra!$N$13:$N$373,Gajendra!$P$13:$P$373,"October",Gajendra!$J$13:$J$373,"Midlife Upgrade")</f>
        <v>0</v>
      </c>
      <c r="AL112" s="1381">
        <f>SUMIFS(Gajendra!$N$13:$N$373,Gajendra!$P$13:$P$373,"November",Gajendra!$J$13:$J$373,"Midlife Upgrade")</f>
        <v>0</v>
      </c>
      <c r="AM112" s="1381">
        <f>SUMIFS(Gajendra!$N$13:$N$373,Gajendra!$P$13:$P$373,"December",Gajendra!$J$13:$J$373,"Midlife Upgrade")</f>
        <v>6485822</v>
      </c>
      <c r="AP112" s="922" t="s">
        <v>83</v>
      </c>
      <c r="AQ112" s="1381">
        <f>SUMIFS(Vinay!$N$13:$N$400,Vinay!$P$13:$P$400,"March",Vinay!$J$13:$J$400,"Midlife Upgrade")</f>
        <v>0</v>
      </c>
      <c r="AR112" s="1381">
        <f>SUMIFS(Vinay!$N$13:$N$400,Vinay!$P$13:$P$400,"April",Vinay!$J$13:$J$400,"Midlife Upgrade")</f>
        <v>0</v>
      </c>
      <c r="AS112" s="1381">
        <f>SUMIFS(Vinay!$N$13:$N$400,Vinay!$P$13:$P$400,"May",Vinay!$J$13:$J$400,"Midlife Upgrade")</f>
        <v>0</v>
      </c>
      <c r="AT112" s="1381">
        <f>SUMIFS(Vinay!$N$13:$N$400,Vinay!$P$13:$P$400,"June",Vinay!$J$13:$J$400,"Midlife Upgrade")</f>
        <v>0</v>
      </c>
      <c r="AU112" s="1381">
        <f>SUMIFS(Vinay!$N$13:$N$400,Vinay!$P$13:$P$400,"July",Vinay!$J$13:$J$400,"Midlife Upgrade")</f>
        <v>0</v>
      </c>
      <c r="AV112" s="1381">
        <f>SUMIFS(Vinay!$N$13:$N$400,Vinay!$P$13:$P$400,"August",Vinay!$J$13:$J$400,"Midlife Upgrade")</f>
        <v>0</v>
      </c>
      <c r="AW112" s="1381">
        <f>SUMIFS(Vinay!$N$13:$N$400,Vinay!$P$13:$P$400,"September",Vinay!$J$13:$J$400,"Midlife Upgrade")</f>
        <v>0</v>
      </c>
      <c r="AX112" s="1381">
        <f>SUMIFS(Vinay!$N$13:$N$400,Vinay!$P$13:$P$400,"October",Vinay!$J$13:$J$400,"Midlife Upgrade")</f>
        <v>0</v>
      </c>
      <c r="AY112" s="1381">
        <f>SUMIFS(Vinay!$N$13:$N$400,Vinay!$P$13:$P$400,"November",Vinay!$J$13:$J$400,"Midlife Upgrade")</f>
        <v>0</v>
      </c>
      <c r="AZ112" s="1381">
        <f>SUMIFS(Vinay!$N$13:$N$400,Vinay!$P$13:$P$400,"December",Vinay!$J$13:$J$400,"Midlife Upgrade")</f>
        <v>0</v>
      </c>
    </row>
    <row r="114" spans="16:52">
      <c r="P114" s="1383" t="s">
        <v>69</v>
      </c>
      <c r="Q114" s="932" t="s">
        <v>36</v>
      </c>
      <c r="R114" s="932">
        <f>SUM(R116:R125)</f>
        <v>4226358</v>
      </c>
      <c r="S114" s="932">
        <f t="shared" ref="S114:AA114" si="46">SUM(S116:S125)</f>
        <v>1926050</v>
      </c>
      <c r="T114" s="932">
        <f t="shared" si="46"/>
        <v>5133652</v>
      </c>
      <c r="U114" s="932">
        <f t="shared" si="46"/>
        <v>6433266</v>
      </c>
      <c r="V114" s="932">
        <f t="shared" si="46"/>
        <v>1442400</v>
      </c>
      <c r="W114" s="932">
        <f t="shared" si="46"/>
        <v>2893860</v>
      </c>
      <c r="X114" s="932">
        <f t="shared" si="46"/>
        <v>488000</v>
      </c>
      <c r="Y114" s="932">
        <f t="shared" si="46"/>
        <v>2694185</v>
      </c>
      <c r="Z114" s="932">
        <f t="shared" si="46"/>
        <v>8781521</v>
      </c>
      <c r="AA114" s="932">
        <f t="shared" si="46"/>
        <v>7990265</v>
      </c>
      <c r="AC114" s="1383" t="s">
        <v>85</v>
      </c>
      <c r="AD114" s="932" t="s">
        <v>36</v>
      </c>
      <c r="AE114" s="932">
        <f t="shared" ref="AE114:AM114" si="47">SUM(AE116:AE125)</f>
        <v>4994909</v>
      </c>
      <c r="AF114" s="932">
        <f t="shared" si="47"/>
        <v>1741036</v>
      </c>
      <c r="AG114" s="932">
        <f t="shared" si="47"/>
        <v>394480</v>
      </c>
      <c r="AH114" s="932">
        <f t="shared" si="47"/>
        <v>7022184</v>
      </c>
      <c r="AI114" s="932">
        <f t="shared" si="47"/>
        <v>10028198</v>
      </c>
      <c r="AJ114" s="932">
        <f t="shared" si="47"/>
        <v>11079547</v>
      </c>
      <c r="AK114" s="932">
        <f t="shared" si="47"/>
        <v>9075607</v>
      </c>
      <c r="AL114" s="932">
        <f t="shared" si="47"/>
        <v>9450065</v>
      </c>
      <c r="AM114" s="932">
        <f t="shared" si="47"/>
        <v>16443807</v>
      </c>
      <c r="AO114" s="1383" t="s">
        <v>90</v>
      </c>
      <c r="AP114" s="932" t="s">
        <v>36</v>
      </c>
      <c r="AQ114" s="932">
        <f>SUM(AQ116:AQ125)</f>
        <v>145000</v>
      </c>
      <c r="AR114" s="932">
        <f t="shared" ref="AR114:AZ114" si="48">SUM(AR116:AR125)</f>
        <v>1148000</v>
      </c>
      <c r="AS114" s="932">
        <f t="shared" si="48"/>
        <v>1062445</v>
      </c>
      <c r="AT114" s="932">
        <f t="shared" si="48"/>
        <v>1858866</v>
      </c>
      <c r="AU114" s="932">
        <f t="shared" si="48"/>
        <v>1728929</v>
      </c>
      <c r="AV114" s="932">
        <f t="shared" si="48"/>
        <v>3798772</v>
      </c>
      <c r="AW114" s="932">
        <f t="shared" si="48"/>
        <v>8233037</v>
      </c>
      <c r="AX114" s="932">
        <f t="shared" si="48"/>
        <v>4224061</v>
      </c>
      <c r="AY114" s="932">
        <f t="shared" si="48"/>
        <v>23545744</v>
      </c>
      <c r="AZ114" s="932">
        <f t="shared" si="48"/>
        <v>6355659</v>
      </c>
    </row>
    <row r="115" spans="16:52" ht="18">
      <c r="Q115" s="921" t="s">
        <v>67</v>
      </c>
      <c r="R115" s="625" t="s">
        <v>25</v>
      </c>
      <c r="S115" s="625" t="s">
        <v>28</v>
      </c>
      <c r="T115" s="625" t="s">
        <v>30</v>
      </c>
      <c r="U115" s="625" t="s">
        <v>34</v>
      </c>
      <c r="V115" s="625" t="s">
        <v>37</v>
      </c>
      <c r="W115" s="625" t="s">
        <v>39</v>
      </c>
      <c r="X115" s="625" t="s">
        <v>44</v>
      </c>
      <c r="Y115" s="625" t="s">
        <v>97</v>
      </c>
      <c r="Z115" s="625" t="s">
        <v>49</v>
      </c>
      <c r="AA115" s="625" t="s">
        <v>62</v>
      </c>
      <c r="AD115" s="921" t="s">
        <v>67</v>
      </c>
      <c r="AE115" s="625" t="s">
        <v>28</v>
      </c>
      <c r="AF115" s="625" t="s">
        <v>30</v>
      </c>
      <c r="AG115" s="625" t="s">
        <v>34</v>
      </c>
      <c r="AH115" s="625" t="s">
        <v>37</v>
      </c>
      <c r="AI115" s="625" t="s">
        <v>39</v>
      </c>
      <c r="AJ115" s="625" t="s">
        <v>44</v>
      </c>
      <c r="AK115" s="625" t="s">
        <v>97</v>
      </c>
      <c r="AL115" s="625" t="s">
        <v>49</v>
      </c>
      <c r="AM115" s="625" t="s">
        <v>62</v>
      </c>
      <c r="AP115" s="921" t="s">
        <v>67</v>
      </c>
      <c r="AQ115" s="625" t="s">
        <v>25</v>
      </c>
      <c r="AR115" s="625" t="s">
        <v>28</v>
      </c>
      <c r="AS115" s="625" t="s">
        <v>30</v>
      </c>
      <c r="AT115" s="625" t="s">
        <v>34</v>
      </c>
      <c r="AU115" s="625" t="s">
        <v>37</v>
      </c>
      <c r="AV115" s="625" t="s">
        <v>39</v>
      </c>
      <c r="AW115" s="625" t="s">
        <v>44</v>
      </c>
      <c r="AX115" s="625" t="s">
        <v>97</v>
      </c>
      <c r="AY115" s="625" t="s">
        <v>49</v>
      </c>
      <c r="AZ115" s="625" t="s">
        <v>62</v>
      </c>
    </row>
    <row r="116" spans="16:52" ht="18">
      <c r="Q116" s="922" t="s">
        <v>73</v>
      </c>
      <c r="R116" s="1381">
        <f>SUMIFS(Ashraf!$N$13:$N$401,Ashraf!$P$13:$P$401,"March",Ashraf!$J$13:$J$401,"Contract")</f>
        <v>1377000</v>
      </c>
      <c r="S116" s="1381">
        <f>SUMIFS(Ashraf!$N$13:$N$401,Ashraf!$P$13:$P$401,"April",Ashraf!$J$13:$J$401,"Contract")</f>
        <v>625660</v>
      </c>
      <c r="T116" s="1381">
        <f>SUMIFS(Ashraf!$N$13:$N$401,Ashraf!$P$13:$P$401,"May",Ashraf!$J$13:$J$401,"Contract")</f>
        <v>4301500</v>
      </c>
      <c r="U116" s="1381">
        <f>SUMIFS(Ashraf!$N$13:$N$401,Ashraf!$P$13:$P$401,"June",Ashraf!$J$13:$J$401,"Contract")</f>
        <v>1504400</v>
      </c>
      <c r="V116" s="1381">
        <f>SUMIFS(Ashraf!$N$13:$N$401,Ashraf!$P$13:$P$401,"July",Ashraf!$J$13:$J$401,"Contract")</f>
        <v>210000</v>
      </c>
      <c r="W116" s="1381">
        <f>SUMIFS(Ashraf!$N$13:$N$401,Ashraf!$P$13:$P$401,"August",Ashraf!$J$13:$J$401,"Contract")</f>
        <v>1337000</v>
      </c>
      <c r="X116" s="1381">
        <f>SUMIFS(Ashraf!$N$13:$N$401,Ashraf!$P$13:$P$401,"September",Ashraf!$J$13:$J$401,"Contract")</f>
        <v>319000</v>
      </c>
      <c r="Y116" s="1381">
        <f>SUMIFS(Ashraf!$N$13:$N$401,Ashraf!$P$13:$P$401,"October",Ashraf!$J$13:$J$401,"Contract")</f>
        <v>150000</v>
      </c>
      <c r="Z116" s="1381">
        <f>SUMIFS(Ashraf!$N$13:$N$401,Ashraf!$P$13:$P$401,"November",Ashraf!$J$13:$J$401,"Contract")</f>
        <v>233000</v>
      </c>
      <c r="AA116" s="1381">
        <f>SUMIFS(Ashraf!$N$13:$N$401,Ashraf!$P$13:$P$401,"December",Ashraf!$J$13:$J$401,"Contract")</f>
        <v>130000</v>
      </c>
      <c r="AD116" s="922" t="s">
        <v>73</v>
      </c>
      <c r="AE116" s="1381">
        <f>SUMIFS(Pradeep!$N$13:$N$400,Pradeep!$P$13:$P$400,"April",Pradeep!$J$13:$J$400,"Contract")</f>
        <v>2142791</v>
      </c>
      <c r="AF116" s="1381">
        <f>SUMIFS(Pradeep!$N$13:$N$400,Pradeep!$P$13:$P$400,"May",Pradeep!$J$13:$J$400,"Contract")</f>
        <v>305760</v>
      </c>
      <c r="AG116" s="1381">
        <f>SUMIFS(Pradeep!$N$13:$N$400,Pradeep!$P$13:$P$400,"June",Pradeep!$J$13:$J$400,"Contract")</f>
        <v>152880</v>
      </c>
      <c r="AH116" s="1381">
        <f>SUMIFS(Pradeep!$N$13:$N$400,Pradeep!$P$13:$P$400,"July",Pradeep!$J$13:$J$400,"Contract")</f>
        <v>2283797</v>
      </c>
      <c r="AI116" s="1381">
        <f>SUMIFS(Pradeep!$N$13:$N$400,Pradeep!$P$13:$P$400,"August",Pradeep!$J$13:$J$400,"Contract")</f>
        <v>394533</v>
      </c>
      <c r="AJ116" s="1381">
        <f>SUMIFS(Pradeep!$N$13:$N$400,Pradeep!$P$13:$P$400,"September",Pradeep!$J$13:$J$400,"Contract")</f>
        <v>760356</v>
      </c>
      <c r="AK116" s="1381">
        <f>SUMIFS(Pradeep!$N$13:$N$400,Pradeep!$P$13:$P$400,"October",Pradeep!$J$13:$J$400,"Contract")</f>
        <v>6946764</v>
      </c>
      <c r="AL116" s="1381">
        <f>SUMIFS(Pradeep!$N$13:$N$400,Pradeep!$P$13:$P$400,"November",Pradeep!$J$13:$J$400,"Contract")</f>
        <v>491630</v>
      </c>
      <c r="AM116" s="1381">
        <f>SUMIFS(Pradeep!$N$13:$N$400,Pradeep!$P$13:$P$400,"December",Pradeep!$J$13:$J$400,"Contract")</f>
        <v>0</v>
      </c>
      <c r="AP116" s="922" t="s">
        <v>73</v>
      </c>
      <c r="AQ116" s="1381">
        <f>SUMIFS(Nitin!$N$13:$N$400,Nitin!$P$13:$P$400,"March",Nitin!$J$13:$J$400,"Contract")</f>
        <v>145000</v>
      </c>
      <c r="AR116" s="1381">
        <f>SUMIFS(Nitin!$N$13:$N$400,Nitin!$P$13:$P$400,"April",Nitin!$J$13:$J$400,"Contract")</f>
        <v>1148000</v>
      </c>
      <c r="AS116" s="1381">
        <f>SUMIFS(Nitin!$N$13:$N$400,Nitin!$P$13:$P$400,"May",Nitin!$J$13:$J$400,"Contract")</f>
        <v>1031000</v>
      </c>
      <c r="AT116" s="1381">
        <f>SUMIFS(Nitin!$N$13:$N$400,Nitin!$P$13:$P$400,"June",Nitin!$J$13:$J$400,"Contract")</f>
        <v>425000</v>
      </c>
      <c r="AU116" s="1381">
        <f>SUMIFS(Nitin!$N$13:$N$400,Nitin!$P$13:$P$400,"July",Nitin!$J$13:$J$400,"Contract")</f>
        <v>786000</v>
      </c>
      <c r="AV116" s="1381">
        <f>SUMIFS(Nitin!$N$13:$N$400,Nitin!$P$13:$P$400,"August",Nitin!$J$13:$J$400,"Contract")</f>
        <v>955000</v>
      </c>
      <c r="AW116" s="1381">
        <f>SUMIFS(Nitin!$N$13:$N$400,Nitin!$P$13:$P$400,"September",Nitin!$J$13:$J$400,"Contract")</f>
        <v>1006000</v>
      </c>
      <c r="AX116" s="1381">
        <f>SUMIFS(Nitin!$N$13:$N$400,Nitin!$P$13:$P$400,"October",Nitin!$J$13:$J$400,"Contract")</f>
        <v>0</v>
      </c>
      <c r="AY116" s="1381">
        <f>SUMIFS(Nitin!$N$13:$N$400,Nitin!$P$13:$P$400,"November",Nitin!$J$13:$J$400,"Contract")</f>
        <v>4182100</v>
      </c>
      <c r="AZ116" s="1381">
        <f>SUMIFS(Nitin!$N$13:$N$400,Nitin!$P$13:$P$400,"December",Nitin!$J$13:$J$400,"Contract")</f>
        <v>3968838</v>
      </c>
    </row>
    <row r="117" spans="16:52" ht="18">
      <c r="Q117" s="922" t="s">
        <v>74</v>
      </c>
      <c r="R117" s="1381">
        <f>SUMIFS(Ashraf!$N$13:$N$401,Ashraf!$P$13:$P$401,"March",Ashraf!$J$13:$J$401,"BD Spare")</f>
        <v>0</v>
      </c>
      <c r="S117" s="1381">
        <f>SUMIFS(Ashraf!$N$13:$N$401,Ashraf!$P$13:$P$401,"April",Ashraf!$J$13:$J$401,"BD Spare")</f>
        <v>146990</v>
      </c>
      <c r="T117" s="1381">
        <f>SUMIFS(Ashraf!$N$13:$N$401,Ashraf!$P$13:$P$401,"May",Ashraf!$J$13:$J$401,"BD Spare")</f>
        <v>255000</v>
      </c>
      <c r="U117" s="1381">
        <f>SUMIFS(Ashraf!$N$13:$N$401,Ashraf!$P$13:$P$401,"June",Ashraf!$J$13:$J$401,"BD Spare")</f>
        <v>470000</v>
      </c>
      <c r="V117" s="1381">
        <f>SUMIFS(Ashraf!$N$13:$N$401,Ashraf!$P$13:$P$401,"July",Ashraf!$J$13:$J$401,"BD Spare")</f>
        <v>0</v>
      </c>
      <c r="W117" s="1381">
        <f>SUMIFS(Ashraf!$N$13:$N$401,Ashraf!$P$13:$P$401,"August",Ashraf!$J$13:$J$401,"BD Spare")</f>
        <v>0</v>
      </c>
      <c r="X117" s="1381">
        <f>SUMIFS(Ashraf!$N$13:$N$401,Ashraf!$P$13:$P$401,"September",Ashraf!$J$13:$J$401,"BD Spare")</f>
        <v>0</v>
      </c>
      <c r="Y117" s="1381">
        <f>SUMIFS(Ashraf!$N$13:$N$401,Ashraf!$P$13:$P$401,"October",Ashraf!$J$13:$J$401,"BD Spare")</f>
        <v>0</v>
      </c>
      <c r="Z117" s="1381">
        <f>SUMIFS(Ashraf!$N$13:$N$401,Ashraf!$P$13:$P$401,"November",Ashraf!$J$13:$J$401,"BD Spare")</f>
        <v>0</v>
      </c>
      <c r="AA117" s="1381">
        <f>SUMIFS(Ashraf!$N$13:$N$401,Ashraf!$P$13:$P$401,"December",Ashraf!$J$13:$J$401,"BD Spare")</f>
        <v>0</v>
      </c>
      <c r="AD117" s="922" t="s">
        <v>74</v>
      </c>
      <c r="AE117" s="1381">
        <f>SUMIFS(Pradeep!$N$13:$N$400,Pradeep!$P$13:$P$400,"April",Pradeep!$J$13:$J$400,"BD Spare")</f>
        <v>0</v>
      </c>
      <c r="AF117" s="1381">
        <f>SUMIFS(Pradeep!$N$13:$N$400,Pradeep!$P$13:$P$400,"May",Pradeep!$J$13:$J$400,"BD Spare")</f>
        <v>38280</v>
      </c>
      <c r="AG117" s="1381">
        <f>SUMIFS(Pradeep!$N$13:$N$400,Pradeep!$P$13:$P$400,"June",Pradeep!$J$13:$J$400,"BD Spare")</f>
        <v>3600</v>
      </c>
      <c r="AH117" s="1381">
        <f>SUMIFS(Pradeep!$N$13:$N$400,Pradeep!$P$13:$P$400,"July",Pradeep!$J$13:$J$400,"BD Spare")</f>
        <v>50800</v>
      </c>
      <c r="AI117" s="1381">
        <f>SUMIFS(Pradeep!$N$13:$N$400,Pradeep!$P$13:$P$400,"August",Pradeep!$J$13:$J$400,"BD Spare")</f>
        <v>510086</v>
      </c>
      <c r="AJ117" s="1381">
        <f>SUMIFS(Pradeep!$N$13:$N$400,Pradeep!$P$13:$P$400,"September",Pradeep!$J$13:$J$400,"BD Spare")</f>
        <v>3600</v>
      </c>
      <c r="AK117" s="1381">
        <f>SUMIFS(Pradeep!$N$13:$N$400,Pradeep!$P$13:$P$400,"October",Pradeep!$J$13:$J$400,"BD Sapre")</f>
        <v>0</v>
      </c>
      <c r="AL117" s="1381">
        <f>SUMIFS(Pradeep!$N$13:$N$400,Pradeep!$P$13:$P$400,"November",Pradeep!$J$13:$J$400,"BD Sapre")</f>
        <v>0</v>
      </c>
      <c r="AM117" s="1381">
        <f>SUMIFS(Pradeep!$N$13:$N$400,Pradeep!$P$13:$P$400,"December",Pradeep!$J$13:$J$400,"BD Spare")</f>
        <v>257586</v>
      </c>
      <c r="AP117" s="922" t="s">
        <v>74</v>
      </c>
      <c r="AQ117" s="1381">
        <f>SUMIFS(Nitin!$N$13:$N$400,Nitin!$P$13:$P$400,"March",Nitin!$J$13:$J$400,"BD Spare")</f>
        <v>0</v>
      </c>
      <c r="AR117" s="1381">
        <f>SUMIFS(Nitin!$N$13:$N$400,Nitin!$P$13:$P$400,"April",Nitin!$J$13:$J$400,"BD Spare")</f>
        <v>0</v>
      </c>
      <c r="AS117" s="1381">
        <f>SUMIFS(Nitin!$N$13:$N$400,Nitin!$P$13:$P$400,"May",Nitin!$J$13:$J$400,"BD Spare")</f>
        <v>0</v>
      </c>
      <c r="AT117" s="1381">
        <f>SUMIFS(Nitin!$N$13:$N$400,Nitin!$P$13:$P$400,"June",Nitin!$J$13:$J$400,"BD Spare")</f>
        <v>0</v>
      </c>
      <c r="AU117" s="1381">
        <f>SUMIFS(Nitin!$N$13:$N$400,Nitin!$P$13:$P$400,"July",Nitin!$J$13:$J$400,"BD Spare")</f>
        <v>0</v>
      </c>
      <c r="AV117" s="1381">
        <f>SUMIFS(Nitin!$N$13:$N$400,Nitin!$P$13:$P$400,"August",Nitin!$J$13:$J$400,"BD Spare")</f>
        <v>522024</v>
      </c>
      <c r="AW117" s="1381">
        <f>SUMIFS(Nitin!$N$13:$N$400,Nitin!$P$13:$P$400,"September",Nitin!$J$13:$J$400,"BD Spare")</f>
        <v>0</v>
      </c>
      <c r="AX117" s="1381">
        <f>SUMIFS(Nitin!$N$13:$N$400,Nitin!$P$13:$P$400,"October",Nitin!$J$13:$J$400,"BD Sapre")</f>
        <v>0</v>
      </c>
      <c r="AY117" s="1381">
        <f>SUMIFS(Nitin!$N$13:$N$400,Nitin!$P$13:$P$400,"November",Nitin!$J$13:$J$400,"BD Sapre")</f>
        <v>0</v>
      </c>
      <c r="AZ117" s="1381">
        <f>SUMIFS(Nitin!$N$13:$N$400,Nitin!$P$13:$P$400,"December",Nitin!$J$13:$J$400,"BD Spare")</f>
        <v>89805</v>
      </c>
    </row>
    <row r="118" spans="16:52" ht="18">
      <c r="Q118" s="922" t="s">
        <v>75</v>
      </c>
      <c r="R118" s="1381">
        <f>SUMIFS(Ashraf!$N$13:$N$401,Ashraf!$P$13:$P$401,"March",Ashraf!$J$13:$J$401,"SPP")</f>
        <v>1349763</v>
      </c>
      <c r="S118" s="1381">
        <f>SUMIFS(Ashraf!$N$13:$N$401,Ashraf!$P$13:$P$401,"April",Ashraf!$J$13:$J$401,"SPP")</f>
        <v>0</v>
      </c>
      <c r="T118" s="1381">
        <f>SUMIFS(Ashraf!$N$13:$N$401,Ashraf!$P$13:$P$401,"May",Ashraf!$J$13:$J$401,"SPP")</f>
        <v>532152</v>
      </c>
      <c r="U118" s="1381">
        <f>SUMIFS(Ashraf!$N$13:$N$401,Ashraf!$P$13:$P$401,"June",Ashraf!$J$13:$J$401,"SPP")</f>
        <v>2748886</v>
      </c>
      <c r="V118" s="1381">
        <f>SUMIFS(Ashraf!$N$13:$N$401,Ashraf!$P$13:$P$401,"July",Ashraf!$J$13:$J$401,"SPP")</f>
        <v>837400</v>
      </c>
      <c r="W118" s="1381">
        <f>SUMIFS(Ashraf!$N$13:$N$401,Ashraf!$P$13:$P$401,"August",Ashraf!$J$13:$J$401,"SPP")</f>
        <v>401244</v>
      </c>
      <c r="X118" s="1381">
        <f>SUMIFS(Ashraf!$N$13:$N$401,Ashraf!$P$13:$P$401,"September",Ashraf!$J$13:$J$401,"SPP")</f>
        <v>137000</v>
      </c>
      <c r="Y118" s="1381">
        <f>SUMIFS(Ashraf!$N$13:$N$401,Ashraf!$P$13:$P$401,"October",Ashraf!$J$13:$J$401,"SPP")</f>
        <v>1479755</v>
      </c>
      <c r="Z118" s="1381">
        <f>SUMIFS(Ashraf!$N$13:$N$401,Ashraf!$P$13:$P$401,"November",Ashraf!$J$13:$J$401,"SPP")</f>
        <v>3749550</v>
      </c>
      <c r="AA118" s="1381">
        <f>SUMIFS(Ashraf!$N$13:$N$401,Ashraf!$P$13:$P$401,"December",Ashraf!$J$13:$J$401,"SPP")</f>
        <v>3380633</v>
      </c>
      <c r="AD118" s="922" t="s">
        <v>75</v>
      </c>
      <c r="AE118" s="1381">
        <f>SUMIFS(Pradeep!$N$13:$N$400,Pradeep!$P$13:$P$400,"April",Pradeep!$J$13:$J$400,"SPP")</f>
        <v>1460486</v>
      </c>
      <c r="AF118" s="1381">
        <f>SUMIFS(Pradeep!$N$13:$N$400,Pradeep!$P$13:$P$400,"May",Pradeep!$J$13:$J$400,"SPP")</f>
        <v>1396996</v>
      </c>
      <c r="AG118" s="1381">
        <f>SUMIFS(Pradeep!$N$13:$N$400,Pradeep!$P$13:$P$400,"June",Pradeep!$J$13:$J$400,"SPP")</f>
        <v>0</v>
      </c>
      <c r="AH118" s="1381">
        <f>SUMIFS(Pradeep!$N$13:$N$400,Pradeep!$P$13:$P$400,"July",Pradeep!$J$13:$J$400,"SPP")</f>
        <v>2307027</v>
      </c>
      <c r="AI118" s="1381">
        <f>SUMIFS(Pradeep!$N$13:$N$400,Pradeep!$P$13:$P$400,"August",Pradeep!$J$13:$J$400,"SPP")</f>
        <v>3566842</v>
      </c>
      <c r="AJ118" s="1381">
        <f>SUMIFS(Pradeep!$N$13:$N$400,Pradeep!$P$13:$P$400,"September",Pradeep!$J$13:$J$400,"SPP")</f>
        <v>1043569</v>
      </c>
      <c r="AK118" s="1381">
        <f>SUMIFS(Pradeep!$N$13:$N$400,Pradeep!$P$13:$P$400,"October",Pradeep!$J$13:$J$400,"SPP")</f>
        <v>2128843</v>
      </c>
      <c r="AL118" s="1381">
        <f>SUMIFS(Pradeep!$N$13:$N$400,Pradeep!$P$13:$P$400,"November",Pradeep!$J$13:$J$400,"SPP")</f>
        <v>0</v>
      </c>
      <c r="AM118" s="1381">
        <f>SUMIFS(Pradeep!$N$13:$N$400,Pradeep!$P$13:$P$400,"December",Pradeep!$J$13:$J$400,"SPP")</f>
        <v>2425342</v>
      </c>
      <c r="AP118" s="922" t="s">
        <v>75</v>
      </c>
      <c r="AQ118" s="1381">
        <f>SUMIFS(Nitin!$N$13:$N$400,Nitin!$P$13:$P$400,"March",Nitin!$J$13:$J$400,"SPP")</f>
        <v>0</v>
      </c>
      <c r="AR118" s="1381">
        <f>SUMIFS(Nitin!$N$13:$N$400,Nitin!$P$13:$P$400,"April",Nitin!$J$13:$J$400,"SPP")</f>
        <v>0</v>
      </c>
      <c r="AS118" s="1381">
        <f>SUMIFS(Nitin!$N$13:$N$400,Nitin!$P$13:$P$400,"May",Nitin!$J$13:$J$400,"SPP")</f>
        <v>31445</v>
      </c>
      <c r="AT118" s="1381">
        <f>SUMIFS(Nitin!$N$13:$N$400,Nitin!$P$13:$P$400,"June",Nitin!$J$13:$J$400,"SPP")</f>
        <v>1433866</v>
      </c>
      <c r="AU118" s="1381">
        <f>SUMIFS(Nitin!$N$13:$N$400,Nitin!$P$13:$P$400,"July",Nitin!$J$13:$J$400,"SPP")</f>
        <v>0</v>
      </c>
      <c r="AV118" s="1381">
        <f>SUMIFS(Nitin!$N$13:$N$400,Nitin!$P$13:$P$400,"August",Nitin!$J$13:$J$400,"SPP")</f>
        <v>1946748</v>
      </c>
      <c r="AW118" s="1381">
        <f>SUMIFS(Nitin!$N$13:$N$400,Nitin!$P$13:$P$400,"September",Nitin!$J$13:$J$400,"SPP")</f>
        <v>0</v>
      </c>
      <c r="AX118" s="1381">
        <f>SUMIFS(Nitin!$N$13:$N$400,Nitin!$P$13:$P$400,"October",Nitin!$J$13:$J$400,"SPP")</f>
        <v>1985099</v>
      </c>
      <c r="AY118" s="1381">
        <f>SUMIFS(Nitin!$N$13:$N$400,Nitin!$P$13:$P$400,"November",Nitin!$J$13:$J$400,"SPP")</f>
        <v>2296191</v>
      </c>
      <c r="AZ118" s="1381">
        <f>SUMIFS(Nitin!$N$13:$N$400,Nitin!$P$13:$P$400,"December",Nitin!$J$13:$J$400,"SPP")</f>
        <v>1372828</v>
      </c>
    </row>
    <row r="119" spans="16:52" ht="18">
      <c r="Q119" s="922" t="s">
        <v>77</v>
      </c>
      <c r="R119" s="1381">
        <f>SUMIFS(Ashraf!$N$13:$N$401,Ashraf!$P$13:$P$401,"March",Ashraf!$J$13:$J$401,"Relocation")</f>
        <v>0</v>
      </c>
      <c r="S119" s="1381">
        <f>SUMIFS(Ashraf!$N$13:$N$401,Ashraf!$P$13:$P$401,"April",Ashraf!$J$13:$J$401,"Relocation")</f>
        <v>0</v>
      </c>
      <c r="T119" s="1381">
        <f>SUMIFS(Ashraf!$N$13:$N$401,Ashraf!$P$13:$P$401,"May",Ashraf!$J$13:$J$401,"Relocation")</f>
        <v>0</v>
      </c>
      <c r="U119" s="1381">
        <f>SUMIFS(Ashraf!$N$13:$N$401,Ashraf!$P$13:$P$401,"June",Ashraf!$J$13:$J$401,"Relocation")</f>
        <v>1205000</v>
      </c>
      <c r="V119" s="1381">
        <f>SUMIFS(Ashraf!$N$13:$N$401,Ashraf!$P$13:$P$401,"July",Ashraf!$J$13:$J$401,"Relocation")</f>
        <v>395000</v>
      </c>
      <c r="W119" s="1381">
        <f>SUMIFS(Ashraf!$N$13:$N$401,Ashraf!$P$13:$P$401,"August",Ashraf!$J$13:$J$401,"Relocation")</f>
        <v>395000</v>
      </c>
      <c r="X119" s="1381">
        <f>SUMIFS(Ashraf!$N$13:$N$401,Ashraf!$P$13:$P$401,"Spetember",Ashraf!$J$13:$J$401,"Relocation")</f>
        <v>0</v>
      </c>
      <c r="Y119" s="1381">
        <f>SUMIFS(Ashraf!$N$13:$N$401,Ashraf!$P$13:$P$401,"October",Ashraf!$J$13:$J$401,"Relocation")</f>
        <v>0</v>
      </c>
      <c r="Z119" s="1381">
        <f>SUMIFS(Ashraf!$N$13:$N$401,Ashraf!$P$13:$P$401,"November",Ashraf!$J$13:$J$401,"Relocation")</f>
        <v>365000</v>
      </c>
      <c r="AA119" s="1381">
        <f>SUMIFS(Ashraf!$N$13:$N$401,Ashraf!$P$13:$P$401,"December",Ashraf!$J$13:$J$401,"Relocation")</f>
        <v>350000</v>
      </c>
      <c r="AD119" s="922" t="s">
        <v>77</v>
      </c>
      <c r="AE119" s="1381">
        <f>SUMIFS(Pradeep!$N$13:$N$400,Pradeep!$P$13:$P$400,"April",Pradeep!$J$13:$J$400,"Relocation")</f>
        <v>0</v>
      </c>
      <c r="AF119" s="1381">
        <f>SUMIFS(Pradeep!$N$13:$N$400,Pradeep!$P$13:$P$400,"May",Pradeep!$J$13:$J$400,"Relocation")</f>
        <v>0</v>
      </c>
      <c r="AG119" s="1381">
        <f>SUMIFS(Pradeep!$N$13:$N$400,Pradeep!$P$13:$P$400,"June",Pradeep!$J$13:$J$400,"Relocation")</f>
        <v>0</v>
      </c>
      <c r="AH119" s="1381">
        <f>SUMIFS(Pradeep!$N$13:$N$400,Pradeep!$P$13:$P$400,"July",Pradeep!$J$13:$J$400,"Relcoation")</f>
        <v>0</v>
      </c>
      <c r="AI119" s="1381">
        <f>SUMIFS(Pradeep!$N$13:$N$400,Pradeep!$P$13:$P$400,"August",Pradeep!$J$13:$J$400,"Relocation")</f>
        <v>485385</v>
      </c>
      <c r="AJ119" s="1381">
        <f>SUMIFS(Pradeep!$N$13:$N$400,Pradeep!$P$13:$P$400,"September",Pradeep!$J$13:$J$400,"Relocation")</f>
        <v>6177751</v>
      </c>
      <c r="AK119" s="1381">
        <f>SUMIFS(Pradeep!$N$13:$N$400,Pradeep!$P$13:$P$400,"October",Pradeep!$J$13:$J$400,"Relocation")</f>
        <v>0</v>
      </c>
      <c r="AL119" s="1381">
        <f>SUMIFS(Pradeep!$N$13:$N$400,Pradeep!$P$13:$P$400,"November",Pradeep!$J$13:$J$400,"Relocation")</f>
        <v>0</v>
      </c>
      <c r="AM119" s="1381">
        <f>SUMIFS(Pradeep!$N$13:$N$400,Pradeep!$P$13:$P$400,"December",Pradeep!$J$13:$J$400,"Relocation")</f>
        <v>3364000</v>
      </c>
      <c r="AP119" s="922" t="s">
        <v>77</v>
      </c>
      <c r="AQ119" s="1381">
        <f>SUMIFS(Nitin!$N$13:$N$400,Nitin!$P$13:$P$400,"March",Nitin!$J$13:$J$400,"Relocation")</f>
        <v>0</v>
      </c>
      <c r="AR119" s="1381">
        <f>SUMIFS(Nitin!$N$13:$N$400,Nitin!$P$13:$P$400,"April",Nitin!$J$13:$J$400,"Relocation")</f>
        <v>0</v>
      </c>
      <c r="AS119" s="1381">
        <f>SUMIFS(Nitin!$N$13:$N$400,Nitin!$P$13:$P$400,"May",Nitin!$J$13:$J$400,"Relocation")</f>
        <v>0</v>
      </c>
      <c r="AT119" s="1381">
        <f>SUMIFS(Nitin!$N$13:$N$400,Nitin!$P$13:$P$400,"June",Nitin!$J$13:$J$400,"Relocation")</f>
        <v>0</v>
      </c>
      <c r="AU119" s="1381">
        <f>SUMIFS(Nitin!$N$13:$N$400,Nitin!$P$13:$P$400,"July",Nitin!$J$13:$J$400,"Relcoation")</f>
        <v>0</v>
      </c>
      <c r="AV119" s="1381">
        <f>SUMIFS(Nitin!$N$13:$N$400,Nitin!$P$13:$P$400,"August",Nitin!$J$13:$J$400,"Relocation")</f>
        <v>375000</v>
      </c>
      <c r="AW119" s="1381">
        <f>SUMIFS(Nitin!$N$13:$N$400,Nitin!$P$13:$P$400,"September",Nitin!$J$13:$J$400,"Relocation")</f>
        <v>2310000</v>
      </c>
      <c r="AX119" s="1381">
        <f>SUMIFS(Nitin!$N$13:$N$400,Nitin!$P$13:$P$400,"October",Nitin!$J$13:$J$400,"Relocation")</f>
        <v>1050000</v>
      </c>
      <c r="AY119" s="1381">
        <f>SUMIFS(Nitin!$N$13:$N$400,Nitin!$P$13:$P$400,"November",Nitin!$J$13:$J$400,"Relocation")</f>
        <v>860000</v>
      </c>
      <c r="AZ119" s="1381">
        <f>SUMIFS(Nitin!$N$13:$N$400,Nitin!$P$13:$P$400,"December",Nitin!$J$13:$J$400,"Relocation")</f>
        <v>0</v>
      </c>
    </row>
    <row r="120" spans="16:52" ht="18">
      <c r="Q120" s="922" t="s">
        <v>78</v>
      </c>
      <c r="R120" s="1381">
        <f>SUMIFS(Ashraf!$N$13:$N$401,Ashraf!$P$13:$P$401,"March",Ashraf!$J$13:$J$401,"Software")</f>
        <v>0</v>
      </c>
      <c r="S120" s="1381">
        <f>SUMIFS(Ashraf!$N$13:$N$401,Ashraf!$P$13:$P$401,"April",Ashraf!$J$13:$J$401,"Software")</f>
        <v>0</v>
      </c>
      <c r="T120" s="1381">
        <f>SUMIFS(Ashraf!$N$13:$N$401,Ashraf!$P$13:$P$401,"May",Ashraf!$J$13:$J$401,"Software")</f>
        <v>0</v>
      </c>
      <c r="U120" s="1381">
        <f>SUMIFS(Ashraf!$N$13:$N$401,Ashraf!$P$13:$P$401,"June",Ashraf!$J$13:$J$401,"Software")</f>
        <v>0</v>
      </c>
      <c r="V120" s="1381">
        <f>SUMIFS(Ashraf!$N$13:$N$401,Ashraf!$P$13:$P$401,"July",Ashraf!$J$13:$J$401,"Software")</f>
        <v>0</v>
      </c>
      <c r="W120" s="1381">
        <f>SUMIFS(Ashraf!$N$13:$N$401,Ashraf!$P$13:$P$401,"August",Ashraf!$J$13:$J$401,"Software")</f>
        <v>0</v>
      </c>
      <c r="X120" s="1381">
        <f>SUMIFS(Ashraf!$N$13:$N$401,Ashraf!$P$13:$P$401,"September",Ashraf!$J$13:$J$401,"Software")</f>
        <v>32000</v>
      </c>
      <c r="Y120" s="1381">
        <f>SUMIFS(Ashraf!$N$13:$N$401,Ashraf!$P$13:$P$401,"October",Ashraf!$J$13:$J$401,"Software")</f>
        <v>0</v>
      </c>
      <c r="Z120" s="1381">
        <f>SUMIFS(Ashraf!$N$13:$N$401,Ashraf!$P$13:$P$401,"November",Ashraf!$J$13:$J$401,"Software")</f>
        <v>0</v>
      </c>
      <c r="AA120" s="1381">
        <f>SUMIFS(Ashraf!$N$13:$N$401,Ashraf!$P$13:$P$401,"December",Ashraf!$J$13:$J$401,"Software")</f>
        <v>0</v>
      </c>
      <c r="AD120" s="922" t="s">
        <v>78</v>
      </c>
      <c r="AE120" s="1381">
        <f>SUMIFS(Pradeep!$N$13:$N$400,Pradeep!$P$13:$P$400,"April",Pradeep!$J$13:$J$400,"Software")</f>
        <v>0</v>
      </c>
      <c r="AF120" s="1381">
        <f>SUMIFS(Pradeep!$N$13:$N$400,Pradeep!$P$13:$P$400,"May",Pradeep!$J$13:$J$400,"Software")</f>
        <v>0</v>
      </c>
      <c r="AG120" s="1381">
        <f>SUMIFS(Pradeep!$N$13:$N$400,Pradeep!$P$13:$P$400,"June",Pradeep!$J$13:$J$400,"Software")</f>
        <v>0</v>
      </c>
      <c r="AH120" s="1381">
        <f>SUMIFS(Pradeep!$N$13:$N$400,Pradeep!$P$13:$P$400,"July",Pradeep!$J$13:$J$400,"Sofwtare")</f>
        <v>0</v>
      </c>
      <c r="AI120" s="1381">
        <f>SUMIFS(Pradeep!$N$13:$N$400,Pradeep!$P$13:$P$400,"August",Pradeep!$J$13:$J$400,"Software")</f>
        <v>0</v>
      </c>
      <c r="AJ120" s="1381">
        <f>SUMIFS(Pradeep!$N$13:$N$400,Pradeep!$P$13:$P$400,"September",Pradeep!$J$13:$J$400,"Sofwtare")</f>
        <v>0</v>
      </c>
      <c r="AK120" s="1381">
        <f>SUMIFS(Pradeep!$N$13:$N$400,Pradeep!$P$13:$P$400,"October",Pradeep!$J$13:$J$400,"Software")</f>
        <v>0</v>
      </c>
      <c r="AL120" s="1381">
        <f>SUMIFS(Pradeep!$N$13:$N$400,Pradeep!$P$13:$P$400,"November",Pradeep!$J$13:$J$400,"Sofwtare")</f>
        <v>0</v>
      </c>
      <c r="AM120" s="1381">
        <f>SUMIFS(Pradeep!$N$13:$N$400,Pradeep!$P$13:$P$400,"December",Pradeep!$J$13:$J$400,"Software")</f>
        <v>0</v>
      </c>
      <c r="AP120" s="922" t="s">
        <v>78</v>
      </c>
      <c r="AQ120" s="1381">
        <f>SUMIFS(Nitin!$N$13:$N$400,Nitin!$P$13:$P$400,"March",Nitin!$J$13:$J$400,"Software")</f>
        <v>0</v>
      </c>
      <c r="AR120" s="1381">
        <f>SUMIFS(Nitin!$N$13:$N$400,Nitin!$P$13:$P$400,"April",Nitin!$J$13:$J$400,"Software")</f>
        <v>0</v>
      </c>
      <c r="AS120" s="1381">
        <f>SUMIFS(Nitin!$N$13:$N$400,Nitin!$P$13:$P$400,"May",Nitin!$J$13:$J$400,"Software")</f>
        <v>0</v>
      </c>
      <c r="AT120" s="1381">
        <f>SUMIFS(Nitin!$N$13:$N$400,Nitin!$P$13:$P$400,"June",Nitin!$J$13:$J$400,"Software")</f>
        <v>0</v>
      </c>
      <c r="AU120" s="1381">
        <f>SUMIFS(Nitin!$N$13:$N$400,Nitin!$P$13:$P$400,"July",Nitin!$J$13:$J$400,"Sofwtare")</f>
        <v>0</v>
      </c>
      <c r="AV120" s="1381">
        <f>SUMIFS(Nitin!$N$13:$N$400,Nitin!$P$13:$P$400,"August",Nitin!$J$13:$J$400,"Software")</f>
        <v>0</v>
      </c>
      <c r="AW120" s="1381">
        <f>SUMIFS(Nitin!$N$13:$N$400,Nitin!$P$13:$P$400,"September",Nitin!$J$13:$J$400,"Sofwtare")</f>
        <v>0</v>
      </c>
      <c r="AX120" s="1381">
        <f>SUMIFS(Nitin!$N$13:$N$400,Nitin!$P$13:$P$400,"October",Nitin!$J$13:$J$400,"Software")</f>
        <v>0</v>
      </c>
      <c r="AY120" s="1381">
        <f>SUMIFS(Nitin!$N$13:$N$400,Nitin!$P$13:$P$400,"November",Nitin!$J$13:$J$400,"Sofwtare")</f>
        <v>0</v>
      </c>
      <c r="AZ120" s="1381">
        <f>SUMIFS(Nitin!$N$13:$N$400,Nitin!$P$13:$P$400,"December",Nitin!$J$13:$J$400,"Software")</f>
        <v>0</v>
      </c>
    </row>
    <row r="121" spans="16:52" ht="18">
      <c r="Q121" s="922" t="s">
        <v>79</v>
      </c>
      <c r="R121" s="1381">
        <f>SUMIFS(Ashraf!$N$13:$N$401,Ashraf!$P$13:$P$401,"March",Ashraf!$J$13:$J$401,"BD Charges")</f>
        <v>0</v>
      </c>
      <c r="S121" s="1381">
        <f>SUMIFS(Ashraf!$N$13:$N$401,Ashraf!$P$13:$P$401,"April",Ashraf!$J$13:$J$401,"BD charges")</f>
        <v>0</v>
      </c>
      <c r="T121" s="1381">
        <f>SUMIFS(Ashraf!$N$13:$N$401,Ashraf!$P$13:$P$401,"May",Ashraf!$J$13:$J$401,"CBD charges")</f>
        <v>0</v>
      </c>
      <c r="U121" s="1381">
        <f>SUMIFS(Ashraf!$N$13:$N$401,Ashraf!$P$13:$P$401,"June",Ashraf!$J$13:$J$401,"BD charges")</f>
        <v>0</v>
      </c>
      <c r="V121" s="1381">
        <f>SUMIFS(Ashraf!$N$13:$N$401,Ashraf!$P$13:$P$401,"July",Ashraf!$J$13:$J$401,"BD charges")</f>
        <v>0</v>
      </c>
      <c r="W121" s="1381">
        <f>SUMIFS(Ashraf!$N$13:$N$401,Ashraf!$P$13:$P$401,"August",Ashraf!$J$13:$J$401,"BD charges")</f>
        <v>0</v>
      </c>
      <c r="X121" s="1381">
        <f>SUMIFS(Ashraf!$N$13:$N$401,Ashraf!$P$13:$P$401,"September",Ashraf!$J$13:$J$401,"BD charges")</f>
        <v>0</v>
      </c>
      <c r="Y121" s="1381">
        <f>SUMIFS(Ashraf!$N$13:$N$401,Ashraf!$P$13:$P$401,"October",Ashraf!$J$13:$J$401,"BD charges")</f>
        <v>38500</v>
      </c>
      <c r="Z121" s="1381">
        <f>SUMIFS(Ashraf!$N$13:$N$401,Ashraf!$P$13:$P$401,"November",Ashraf!$J$13:$J$401,"BD charges")</f>
        <v>0</v>
      </c>
      <c r="AA121" s="1381">
        <f>SUMIFS(Ashraf!$N$13:$N$401,Ashraf!$P$13:$P$401,"December",Ashraf!$J$13:$J$401,"BD charges")</f>
        <v>0</v>
      </c>
      <c r="AD121" s="922" t="s">
        <v>79</v>
      </c>
      <c r="AE121" s="1381">
        <f>SUMIFS(Pradeep!$N$13:$N$400,Pradeep!$P$13:$P$400,"April",Pradeep!$J$13:$J$400,"BD charges")</f>
        <v>0</v>
      </c>
      <c r="AF121" s="1381">
        <f>SUMIFS(Pradeep!$N$13:$N$400,Pradeep!$P$13:$P$400,"May",Pradeep!$J$13:$J$400,"BD charges")</f>
        <v>0</v>
      </c>
      <c r="AG121" s="1381">
        <f>SUMIFS(Pradeep!$N$13:$N$400,Pradeep!$P$13:$P$400,"June",Pradeep!$J$13:$J$400,"BD charges")</f>
        <v>0</v>
      </c>
      <c r="AH121" s="1381">
        <f>SUMIFS(Pradeep!$N$13:$N$400,Pradeep!$P$13:$P$400,"July",Pradeep!$J$13:$J$400,"BD charges")</f>
        <v>71000</v>
      </c>
      <c r="AI121" s="1381">
        <f>SUMIFS(Pradeep!$N$13:$N$400,Pradeep!$P$13:$P$400,"August",Pradeep!$J$13:$J$400,"BD charges")</f>
        <v>25000</v>
      </c>
      <c r="AJ121" s="1381">
        <f>SUMIFS(Pradeep!$N$13:$N$400,Pradeep!$P$13:$P$400,"September",Pradeep!$J$13:$J$400,"BD charges")</f>
        <v>0</v>
      </c>
      <c r="AK121" s="1381">
        <f>SUMIFS(Pradeep!$N$13:$N$400,Pradeep!$P$13:$P$400,"October",Pradeep!$J$13:$J$400,"BD charges")</f>
        <v>0</v>
      </c>
      <c r="AL121" s="1381">
        <f>SUMIFS(Pradeep!$N$13:$N$400,Pradeep!$P$13:$P$400,"November",Pradeep!$J$13:$J$400,"BD charges")</f>
        <v>0</v>
      </c>
      <c r="AM121" s="1381">
        <f>SUMIFS(Pradeep!$N$13:$N$400,Pradeep!$P$13:$P$400,"December",Pradeep!$J$13:$J$400,"BD charges")</f>
        <v>0</v>
      </c>
      <c r="AP121" s="922" t="s">
        <v>79</v>
      </c>
      <c r="AQ121" s="1381">
        <f>SUMIFS(Nitin!$N$13:$N$400,Nitin!$P$13:$P$400,"March",Nitin!$J$13:$J$400,"BD Charges")</f>
        <v>0</v>
      </c>
      <c r="AR121" s="1381">
        <f>SUMIFS(Nitin!$N$13:$N$400,Nitin!$P$13:$P$400,"April",Nitin!$J$13:$J$400,"BD charges")</f>
        <v>0</v>
      </c>
      <c r="AS121" s="1381">
        <f>SUMIFS(Nitin!$N$13:$N$400,Nitin!$P$13:$P$400,"May",Nitin!$J$13:$J$400,"BD charges")</f>
        <v>0</v>
      </c>
      <c r="AT121" s="1381">
        <f>SUMIFS(Nitin!$N$13:$N$400,Nitin!$P$13:$P$400,"June",Nitin!$J$13:$J$400,"BD charges")</f>
        <v>0</v>
      </c>
      <c r="AU121" s="1381">
        <f>SUMIFS(Nitin!$N$13:$N$400,Nitin!$P$13:$P$400,"July",Nitin!$J$13:$J$400,"BD charges")</f>
        <v>0</v>
      </c>
      <c r="AV121" s="1381">
        <f>SUMIFS(Nitin!$N$13:$N$400,Nitin!$P$13:$P$400,"August",Nitin!$J$13:$J$400,"BD charges")</f>
        <v>0</v>
      </c>
      <c r="AW121" s="1381">
        <f>SUMIFS(Nitin!$N$13:$N$400,Nitin!$P$13:$P$400,"September",Nitin!$J$13:$J$400,"BD charges")</f>
        <v>0</v>
      </c>
      <c r="AX121" s="1381">
        <f>SUMIFS(Nitin!$N$13:$N$400,Nitin!$P$13:$P$400,"October",Nitin!$J$13:$J$400,"BD charges")</f>
        <v>0</v>
      </c>
      <c r="AY121" s="1381">
        <f>SUMIFS(Nitin!$N$13:$N$400,Nitin!$P$13:$P$400,"November",Nitin!$J$13:$J$400,"BD charges")</f>
        <v>0</v>
      </c>
      <c r="AZ121" s="1381">
        <f>SUMIFS(Nitin!$N$13:$N$400,Nitin!$P$13:$P$400,"December",Nitin!$J$13:$J$400,"BD charges")</f>
        <v>0</v>
      </c>
    </row>
    <row r="122" spans="16:52" ht="18">
      <c r="Q122" s="922" t="s">
        <v>80</v>
      </c>
      <c r="R122" s="1381">
        <f>SUMIFS(Ashraf!$N$13:$N$401,Ashraf!$P$13:$P$401,"March",Ashraf!$J$13:$J$401,"Retrofit kit")</f>
        <v>0</v>
      </c>
      <c r="S122" s="1381">
        <f>SUMIFS(Ashraf!$N$13:$N$401,Ashraf!$P$13:$P$401,"April",Ashraf!$J$13:$J$401,"Retrofit kit")</f>
        <v>0</v>
      </c>
      <c r="T122" s="1381">
        <f>SUMIFS(Ashraf!$N$13:$N$401,Ashraf!$P$13:$P$401,"May",Ashraf!$J$13:$J$401,"Retrofit kit")</f>
        <v>0</v>
      </c>
      <c r="U122" s="1381">
        <f>SUMIFS(Ashraf!$N$13:$N$401,Ashraf!$P$13:$P$401,"June",Ashraf!$J$13:$J$401,"Retrofit kit")</f>
        <v>0</v>
      </c>
      <c r="V122" s="1381">
        <f>SUMIFS(Ashraf!$N$13:$N$401,Ashraf!$P$13:$P$401,"July",Ashraf!$J$13:$J$401,"Retrofit kit")</f>
        <v>0</v>
      </c>
      <c r="W122" s="1381">
        <f>SUMIFS(Ashraf!$N$13:$N$401,Ashraf!$P$13:$P$401,"August",Ashraf!$J$13:$J$401,"Retrofit kit")</f>
        <v>0</v>
      </c>
      <c r="X122" s="1381">
        <f>SUMIFS(Ashraf!$N$13:$N$401,Ashraf!$P$13:$P$401,"September",Ashraf!$J$13:$J$401,"Retrofit kit")</f>
        <v>0</v>
      </c>
      <c r="Y122" s="1381">
        <f>SUMIFS(Ashraf!$N$13:$N$401,Ashraf!$P$13:$P$401,"October",Ashraf!$J$13:$J$401,"Retrofit kit")</f>
        <v>0</v>
      </c>
      <c r="Z122" s="1381">
        <f>SUMIFS(Ashraf!$N$13:$N$401,Ashraf!$P$13:$P$401,"November",Ashraf!$J$13:$J$401,"Retrofit kit")</f>
        <v>2625000</v>
      </c>
      <c r="AA122" s="1381">
        <f>SUMIFS(Ashraf!$N$13:$N$401,Ashraf!$P$13:$P$401,"December",Ashraf!$J$13:$J$401,"Retrofit kit")</f>
        <v>2720000</v>
      </c>
      <c r="AD122" s="922" t="s">
        <v>80</v>
      </c>
      <c r="AE122" s="1381">
        <f>SUMIFS(Pradeep!$N$13:$N$400,Pradeep!$P$13:$P$400,"April",Pradeep!$J$13:$J$400,"Retrofit kit")</f>
        <v>0</v>
      </c>
      <c r="AF122" s="1381">
        <f>SUMIFS(Pradeep!$N$13:$N$400,Pradeep!$P$13:$P$400,"May",Pradeep!$J$13:$J$400,"Retrofit kit")</f>
        <v>0</v>
      </c>
      <c r="AG122" s="1381">
        <f>SUMIFS(Pradeep!$N$13:$N$400,Pradeep!$P$13:$P$400,"June",Pradeep!$J$13:$J$400,"Retrofit kit")</f>
        <v>0</v>
      </c>
      <c r="AH122" s="1381">
        <f>SUMIFS(Pradeep!$N$13:$N$400,Pradeep!$P$13:$P$400,"July",Pradeep!$J$13:$J$400,"Retrofit kit")</f>
        <v>0</v>
      </c>
      <c r="AI122" s="1381">
        <f>SUMIFS(Pradeep!$N$13:$N$400,Pradeep!$P$13:$P$400,"August",Pradeep!$J$13:$J$400,"Retrofit kit")</f>
        <v>2424000</v>
      </c>
      <c r="AJ122" s="1381">
        <f>SUMIFS(Pradeep!$N$13:$N$400,Pradeep!$P$13:$P$400,"September",Pradeep!$J$13:$J$400,"Retrofit kit")</f>
        <v>0</v>
      </c>
      <c r="AK122" s="1381">
        <f>SUMIFS(Pradeep!$N$13:$N$400,Pradeep!$P$13:$P$400,"October",Pradeep!$J$13:$J$400,"Retrofit kit")</f>
        <v>0</v>
      </c>
      <c r="AL122" s="1381">
        <f>SUMIFS(Pradeep!$N$13:$N$400,Pradeep!$P$13:$P$400,"November",Pradeep!$J$13:$J$400,"Retrofit kit")</f>
        <v>2697800</v>
      </c>
      <c r="AM122" s="1381">
        <f>SUMIFS(Pradeep!$N$13:$N$400,Pradeep!$P$13:$P$400,"December",Pradeep!$J$13:$J$400,"Retrofit kit")</f>
        <v>2330000</v>
      </c>
      <c r="AP122" s="922" t="s">
        <v>80</v>
      </c>
      <c r="AQ122" s="1381">
        <f>SUMIFS(Nitin!$N$13:$N$400,Nitin!$P$13:$P$400,"March",Nitin!$J$13:$J$400,"Retrofit kit")</f>
        <v>0</v>
      </c>
      <c r="AR122" s="1381">
        <f>SUMIFS(Nitin!$N$13:$N$400,Nitin!$P$13:$P$400,"April",Nitin!$J$13:$J$400,"Retrofit kit")</f>
        <v>0</v>
      </c>
      <c r="AS122" s="1381">
        <f>SUMIFS(Nitin!$N$13:$N$400,Nitin!$P$13:$P$400,"May",Nitin!$J$13:$J$400,"Retrofit kit")</f>
        <v>0</v>
      </c>
      <c r="AT122" s="1381">
        <f>SUMIFS(Nitin!$N$13:$N$400,Nitin!$P$13:$P$400,"June",Nitin!$J$13:$J$400,"Retrofit kit")</f>
        <v>0</v>
      </c>
      <c r="AU122" s="1381">
        <f>SUMIFS(Nitin!$N$13:$N$400,Nitin!$P$13:$P$400,"July",Nitin!$J$13:$J$400,"Retrofit kit")</f>
        <v>0</v>
      </c>
      <c r="AV122" s="1381">
        <f>SUMIFS(Nitin!$N$13:$N$400,Nitin!$P$13:$P$400,"August",Nitin!$J$13:$J$400,"Retrofit kit")</f>
        <v>0</v>
      </c>
      <c r="AW122" s="1381">
        <f>SUMIFS(Nitin!$N$13:$N$400,Nitin!$P$13:$P$400,"September",Nitin!$J$13:$J$400,"Retrofit kit")</f>
        <v>370000</v>
      </c>
      <c r="AX122" s="1381">
        <f>SUMIFS(Nitin!$N$13:$N$400,Nitin!$P$13:$P$400,"October",Nitin!$J$13:$J$400,"Retrofit kit")</f>
        <v>0</v>
      </c>
      <c r="AY122" s="1381">
        <f>SUMIFS(Nitin!$N$13:$N$400,Nitin!$P$13:$P$400,"November",Nitin!$J$13:$J$400,"Retrofit kit")</f>
        <v>7899970</v>
      </c>
      <c r="AZ122" s="1381">
        <f>SUMIFS(Nitin!$N$13:$N$400,Nitin!$P$13:$P$400,"December",Nitin!$J$13:$J$400,"Retrofit kit")</f>
        <v>0</v>
      </c>
    </row>
    <row r="123" spans="16:52" ht="18">
      <c r="Q123" s="922" t="s">
        <v>81</v>
      </c>
      <c r="R123" s="1381">
        <f>SUMIFS(Ashraf!$N$13:$N$401,Ashraf!$P$13:$P$401,"March",Ashraf!$J$13:$J$401,"Upgrade kit")</f>
        <v>1499595</v>
      </c>
      <c r="S123" s="1381">
        <f>SUMIFS(Ashraf!$N$13:$N$401,Ashraf!$P$13:$P$401,"April",Ashraf!$J$13:$J$401,"Upgrade kit")</f>
        <v>0</v>
      </c>
      <c r="T123" s="1381">
        <f>SUMIFS(Ashraf!$N$13:$N$401,Ashraf!$P$13:$P$401,"May",Ashraf!$J$13:$J$401,"Upgrade kit")</f>
        <v>45000</v>
      </c>
      <c r="U123" s="1381">
        <f>SUMIFS(Ashraf!$N$13:$N$401,Ashraf!$P$13:$P$401,"June",Ashraf!$J$13:$J$401,"Upgrade kit")</f>
        <v>0</v>
      </c>
      <c r="V123" s="1381">
        <f>SUMIFS(Ashraf!$N$13:$N$401,Ashraf!$P$13:$P$401,"July",Ashraf!$J$13:$J$401,"Upgrade kit")</f>
        <v>0</v>
      </c>
      <c r="W123" s="1381">
        <f>SUMIFS(Ashraf!$N$13:$N$401,Ashraf!$P$13:$P$401,"August",Ashraf!$J$13:$J$401,"Upgrade kit")</f>
        <v>0</v>
      </c>
      <c r="X123" s="1381">
        <f>SUMIFS(Ashraf!$N$13:$N$401,Ashraf!$P$13:$P$401,"September",Ashraf!$J$13:$J$401,"Upgrade kit")</f>
        <v>0</v>
      </c>
      <c r="Y123" s="1381">
        <f>SUMIFS(Ashraf!$N$13:$N$401,Ashraf!$P$13:$P$401,"October",Ashraf!$J$13:$J$401,"Upgrade kit")</f>
        <v>339000</v>
      </c>
      <c r="Z123" s="1381">
        <f>SUMIFS(Ashraf!$N$13:$N$401,Ashraf!$P$13:$P$401,"November",Ashraf!$J$13:$J$401,"Upgrade kit")</f>
        <v>516900</v>
      </c>
      <c r="AA123" s="1381">
        <f>SUMIFS(Ashraf!$N$13:$N$401,Ashraf!$P$13:$P$401,"December",Ashraf!$J$13:$J$401,"Upgrade kit")</f>
        <v>1221242</v>
      </c>
      <c r="AD123" s="922" t="s">
        <v>81</v>
      </c>
      <c r="AE123" s="1381">
        <f>SUMIFS(Pradeep!$N$13:$N$400,Pradeep!$P$13:$P$400,"April",Pradeep!$J$13:$J$400,"Upgrade kit")</f>
        <v>1391632</v>
      </c>
      <c r="AF123" s="1381">
        <f>SUMIFS(Pradeep!$N$13:$N$400,Pradeep!$P$13:$P$400,"May",Pradeep!$J$13:$J$400,"Upgrade kit")</f>
        <v>0</v>
      </c>
      <c r="AG123" s="1381">
        <f>SUMIFS(Pradeep!$N$13:$N$400,Pradeep!$P$13:$P$400,"June",Pradeep!$J$13:$J$400,"Upgrade kit")</f>
        <v>238000</v>
      </c>
      <c r="AH123" s="1381">
        <f>SUMIFS(Pradeep!$N$13:$N$400,Pradeep!$P$13:$P$400,"July",Pradeep!$J$13:$J$400,"Upgrade kit")</f>
        <v>958700</v>
      </c>
      <c r="AI123" s="1381">
        <f>SUMIFS(Pradeep!$N$13:$N$400,Pradeep!$P$13:$P$400,"August",Pradeep!$J$13:$J$400,"Upgrade kit")</f>
        <v>1138880</v>
      </c>
      <c r="AJ123" s="1381">
        <f>SUMIFS(Pradeep!$N$13:$N$400,Pradeep!$P$13:$P$400,"September",Pradeep!$J$13:$J$400,"Upgrade kit")</f>
        <v>2120000</v>
      </c>
      <c r="AK123" s="1381">
        <f>SUMIFS(Pradeep!$N$13:$N$400,Pradeep!$P$13:$P$400,"October",Pradeep!$J$13:$J$400,"Upgrade kit")</f>
        <v>0</v>
      </c>
      <c r="AL123" s="1381">
        <f>SUMIFS(Pradeep!$N$13:$N$400,Pradeep!$P$13:$P$400,"November",Pradeep!$J$13:$J$400,"Upgrade kit")</f>
        <v>0</v>
      </c>
      <c r="AM123" s="1381">
        <f>SUMIFS(Pradeep!$N$13:$N$400,Pradeep!$P$13:$P$400,"December",Pradeep!$J$13:$J$400,"Upgrade kit")</f>
        <v>2878170</v>
      </c>
      <c r="AP123" s="922" t="s">
        <v>81</v>
      </c>
      <c r="AQ123" s="1381">
        <f>SUMIFS(Nitin!$N$13:$N$400,Nitin!$P$13:$P$400,"March",Nitin!$J$13:$J$400,"Upgrade kit")</f>
        <v>0</v>
      </c>
      <c r="AR123" s="1381">
        <f>SUMIFS(Nitin!$N$13:$N$400,Nitin!$P$13:$P$400,"April",Nitin!$J$13:$J$400,"Upgrade kit")</f>
        <v>0</v>
      </c>
      <c r="AS123" s="1381">
        <f>SUMIFS(Nitin!$N$13:$N$400,Nitin!$P$13:$P$400,"May",Nitin!$J$13:$J$400,"Upgrade kit")</f>
        <v>0</v>
      </c>
      <c r="AT123" s="1381">
        <f>SUMIFS(Nitin!$N$13:$N$400,Nitin!$P$13:$P$400,"June",Nitin!$J$13:$J$400,"Upgrade kit")</f>
        <v>0</v>
      </c>
      <c r="AU123" s="1381">
        <f>SUMIFS(Nitin!$N$13:$N$400,Nitin!$P$13:$P$400,"July",Nitin!$J$13:$J$400,"Upgrade kit")</f>
        <v>0</v>
      </c>
      <c r="AV123" s="1381">
        <f>SUMIFS(Nitin!$N$13:$N$400,Nitin!$P$13:$P$400,"August",Nitin!$J$13:$J$400,"Upgrade kit")</f>
        <v>0</v>
      </c>
      <c r="AW123" s="1381">
        <f>SUMIFS(Nitin!$N$13:$N$400,Nitin!$P$13:$P$400,"September",Nitin!$J$13:$J$400,"Upgrade kit")</f>
        <v>0</v>
      </c>
      <c r="AX123" s="1381">
        <f>SUMIFS(Nitin!$N$13:$N$400,Nitin!$P$13:$P$400,"October",Nitin!$J$13:$J$400,"Upgrade kit")</f>
        <v>0</v>
      </c>
      <c r="AY123" s="1381">
        <f>SUMIFS(Nitin!$N$13:$N$400,Nitin!$P$13:$P$400,"November",Nitin!$J$13:$J$400,"Upgrade kit")</f>
        <v>0</v>
      </c>
      <c r="AZ123" s="1381">
        <f>SUMIFS(Nitin!$N$13:$N$400,Nitin!$P$13:$P$400,"December",Nitin!$J$13:$J$400,"Upgrade kit")</f>
        <v>0</v>
      </c>
    </row>
    <row r="124" spans="16:52" ht="18">
      <c r="Q124" s="922" t="s">
        <v>82</v>
      </c>
      <c r="R124" s="1381">
        <f>SUMIFS(Ashraf!$N$13:$N$401,Ashraf!$P$13:$P$401,"March",Ashraf!$J$13:$J$401,"Training")</f>
        <v>0</v>
      </c>
      <c r="S124" s="1381">
        <f>SUMIFS(Ashraf!$N$13:$N$401,Ashraf!$P$13:$P$401,"April",Ashraf!$J$13:$J$401,"Training")</f>
        <v>0</v>
      </c>
      <c r="T124" s="1381">
        <f>SUMIFS(Ashraf!$N$13:$N$401,Ashraf!$P$13:$P$401,"May",Ashraf!$J$13:$J$401,"Training")</f>
        <v>0</v>
      </c>
      <c r="U124" s="1381">
        <f>SUMIFS(Ashraf!$N$13:$N$401,Ashraf!$P$13:$P$401,"June",Ashraf!$J$13:$J$401,"Training")</f>
        <v>0</v>
      </c>
      <c r="V124" s="1381">
        <f>SUMIFS(Ashraf!$N$13:$N$401,Ashraf!$P$13:$P$401,"July",Ashraf!$J$13:$J$401,"Training")</f>
        <v>0</v>
      </c>
      <c r="W124" s="1381">
        <f>SUMIFS(Ashraf!$N$13:$N$401,Ashraf!$P$13:$P$401,"August",Ashraf!$J$13:$J$401,"Training")</f>
        <v>0</v>
      </c>
      <c r="X124" s="1381">
        <f>SUMIFS(Ashraf!$N$13:$N$401,Ashraf!$P$13:$P$401,"September",Ashraf!$J$13:$J$401,"Training")</f>
        <v>0</v>
      </c>
      <c r="Y124" s="1381">
        <f>SUMIFS(Ashraf!$N$13:$N$401,Ashraf!$P$13:$P$401,"October",Ashraf!$J$13:$J$401,"Training")</f>
        <v>0</v>
      </c>
      <c r="Z124" s="1381">
        <f>SUMIFS(Ashraf!$N$13:$N$401,Ashraf!$P$13:$P$401,"November",Ashraf!$J$13:$J$401,"Training")</f>
        <v>0</v>
      </c>
      <c r="AA124" s="1381">
        <f>SUMIFS(Ashraf!$N$13:$N$401,Ashraf!$P$13:$P$401,"December",Ashraf!$J$13:$J$401,"Training")</f>
        <v>0</v>
      </c>
      <c r="AD124" s="922" t="s">
        <v>82</v>
      </c>
      <c r="AE124" s="1381">
        <f>SUMIFS(Pradeep!$N$13:$N$400,Pradeep!$P$13:$P$400,"April",Pradeep!$J$13:$J$400,"Training")</f>
        <v>0</v>
      </c>
      <c r="AF124" s="1381">
        <f>SUMIFS(Pradeep!$N$13:$N$400,Pradeep!$P$13:$P$400,"May",Pradeep!$J$13:$J$400,"Training")</f>
        <v>0</v>
      </c>
      <c r="AG124" s="1381">
        <f>SUMIFS(Pradeep!$N$13:$N$400,Pradeep!$P$13:$P$400,"June",Pradeep!$J$13:$J$400,"Training")</f>
        <v>0</v>
      </c>
      <c r="AH124" s="1381">
        <f>SUMIFS(Pradeep!$N$13:$N$400,Pradeep!$P$13:$P$400,"July",Pradeep!$J$13:$J$400,"Training")</f>
        <v>0</v>
      </c>
      <c r="AI124" s="1381">
        <f>SUMIFS(Pradeep!$N$13:$N$400,Pradeep!$P$13:$P$400,"August",Pradeep!$J$13:$J$400,"Training")</f>
        <v>0</v>
      </c>
      <c r="AJ124" s="1381">
        <f>SUMIFS(Pradeep!$N$13:$N$400,Pradeep!$P$13:$P$400,"September",Pradeep!$J$13:$J$400,"Training")</f>
        <v>0</v>
      </c>
      <c r="AK124" s="1381">
        <f>SUMIFS(Pradeep!$N$13:$N$400,Pradeep!$P$13:$P$400,"October",Pradeep!$J$13:$J$400,"Training")</f>
        <v>0</v>
      </c>
      <c r="AL124" s="1381">
        <f>SUMIFS(Pradeep!$N$13:$N$400,Pradeep!$P$13:$P$400,"November",Pradeep!$J$13:$J$400,"Training")</f>
        <v>0</v>
      </c>
      <c r="AM124" s="1381">
        <f>SUMIFS(Pradeep!$N$13:$N$400,Pradeep!$P$13:$P$400,"December",Pradeep!$J$13:$J$400,"Training")</f>
        <v>0</v>
      </c>
      <c r="AP124" s="922" t="s">
        <v>82</v>
      </c>
      <c r="AQ124" s="1381">
        <f>SUMIFS(Nitin!$N$13:$N$400,Nitin!$P$13:$P$400,"March",Nitin!$J$13:$J$400,"Training")</f>
        <v>0</v>
      </c>
      <c r="AR124" s="1381">
        <f>SUMIFS(Nitin!$N$13:$N$400,Nitin!$P$13:$P$400,"April",Nitin!$J$13:$J$400,"Training")</f>
        <v>0</v>
      </c>
      <c r="AS124" s="1381">
        <f>SUMIFS(Nitin!$N$13:$N$400,Nitin!$P$13:$P$400,"May",Nitin!$J$13:$J$400,"Training")</f>
        <v>0</v>
      </c>
      <c r="AT124" s="1381">
        <f>SUMIFS(Nitin!$N$13:$N$400,Nitin!$P$13:$P$400,"June",Nitin!$J$13:$J$400,"Training")</f>
        <v>0</v>
      </c>
      <c r="AU124" s="1381">
        <f>SUMIFS(Nitin!$N$13:$N$400,Nitin!$P$13:$P$400,"July",Nitin!$J$13:$J$400,"Training")</f>
        <v>0</v>
      </c>
      <c r="AV124" s="1381">
        <f>SUMIFS(Nitin!$N$13:$N$400,Nitin!$P$13:$P$400,"August",Nitin!$J$13:$J$400,"Training")</f>
        <v>0</v>
      </c>
      <c r="AW124" s="1381">
        <f>SUMIFS(Nitin!$N$13:$N$400,Nitin!$P$13:$P$400,"September",Nitin!$J$13:$J$400,"Training")</f>
        <v>0</v>
      </c>
      <c r="AX124" s="1381">
        <f>SUMIFS(Nitin!$N$13:$N$400,Nitin!$P$13:$P$400,"October",Nitin!$J$13:$J$400,"Training")</f>
        <v>0</v>
      </c>
      <c r="AY124" s="1381">
        <f>SUMIFS(Nitin!$N$13:$N$400,Nitin!$P$13:$P$400,"November",Nitin!$J$13:$J$400,"Training")</f>
        <v>0</v>
      </c>
      <c r="AZ124" s="1381">
        <f>SUMIFS(Nitin!$N$13:$N$400,Nitin!$P$13:$P$400,"December",Nitin!$J$13:$J$400,"Training")</f>
        <v>0</v>
      </c>
    </row>
    <row r="125" spans="16:52" ht="18">
      <c r="Q125" s="922" t="s">
        <v>83</v>
      </c>
      <c r="R125" s="1381">
        <f>SUMIFS(Ashraf!$N$13:$N$401,Ashraf!$P$13:$P$401,"March",Ashraf!$J$13:$J$401,"Midlife upgrade")</f>
        <v>0</v>
      </c>
      <c r="S125" s="1381">
        <f>SUMIFS(Ashraf!$N$13:$N$401,Ashraf!$P$13:$P$401,"April",Ashraf!$J$13:$J$401,"Midlife upgrade")</f>
        <v>1153400</v>
      </c>
      <c r="T125" s="1381">
        <f>SUMIFS(Ashraf!$N$13:$N$401,Ashraf!$P$13:$P$401,"May",Ashraf!$J$13:$J$401,"Midlife upgrade")</f>
        <v>0</v>
      </c>
      <c r="U125" s="1381">
        <f>SUMIFS(Ashraf!$N$13:$N$401,Ashraf!$P$13:$P$401,"June",Ashraf!$J$13:$J$401,"Midlife upgrade")</f>
        <v>504980</v>
      </c>
      <c r="V125" s="1381">
        <f>SUMIFS(Ashraf!$N$13:$N$401,Ashraf!$P$13:$P$401,"July",Ashraf!$J$13:$J$401,"Midlife upgrade")</f>
        <v>0</v>
      </c>
      <c r="W125" s="1381">
        <f>SUMIFS(Ashraf!$N$13:$N$401,Ashraf!$P$13:$P$401,"August",Ashraf!$J$13:$J$401,"Midlife upgrade")</f>
        <v>760616</v>
      </c>
      <c r="X125" s="1381">
        <f>SUMIFS(Ashraf!$N$13:$N$401,Ashraf!$P$13:$P$401,"September",Ashraf!$J$13:$J$401,"Midlife upgrade")</f>
        <v>0</v>
      </c>
      <c r="Y125" s="1381">
        <f>SUMIFS(Ashraf!$N$13:$N$401,Ashraf!$P$13:$P$401,"October",Ashraf!$J$13:$J$401,"Midlife upgrade")</f>
        <v>686930</v>
      </c>
      <c r="Z125" s="1381">
        <f>SUMIFS(Ashraf!$N$13:$N$401,Ashraf!$P$13:$P$401,"November",Ashraf!$J$13:$J$401,"Midlife upgrade")</f>
        <v>1292071</v>
      </c>
      <c r="AA125" s="1381">
        <f>SUMIFS(Ashraf!$N$13:$N$401,Ashraf!$P$13:$P$401,"December",Ashraf!$J$13:$J$401,"Midlife upgrade")</f>
        <v>188390</v>
      </c>
      <c r="AD125" s="922" t="s">
        <v>83</v>
      </c>
      <c r="AE125" s="1381">
        <f>SUMIFS(Pradeep!$N$13:$N$400,Pradeep!$P$13:$P$400,"April",Pradeep!$J$13:$J$400,"Midlife Upgrade")</f>
        <v>0</v>
      </c>
      <c r="AF125" s="1381">
        <f>SUMIFS(Pradeep!$N$13:$N$400,Pradeep!$P$13:$P$400,"May",Pradeep!$J$13:$J$400,"Midlife Upgrade")</f>
        <v>0</v>
      </c>
      <c r="AG125" s="1381">
        <f>SUMIFS(Pradeep!$N$13:$N$400,Pradeep!$P$13:$P$400,"June",Pradeep!$J$13:$J$400,"Midlife Upgrade")</f>
        <v>0</v>
      </c>
      <c r="AH125" s="1381">
        <f>SUMIFS(Pradeep!$N$13:$N$400,Pradeep!$P$13:$P$400,"July",Pradeep!$J$13:$J$400,"Midlife Upgrade")</f>
        <v>1350860</v>
      </c>
      <c r="AI125" s="1381">
        <f>SUMIFS(Pradeep!$N$13:$N$400,Pradeep!$P$13:$P$400,"August",Pradeep!$J$13:$J$400,"Midlife Upgrade")</f>
        <v>1483472</v>
      </c>
      <c r="AJ125" s="1381">
        <f>SUMIFS(Pradeep!$N$13:$N$400,Pradeep!$P$13:$P$400,"September",Pradeep!$J$13:$J$400,"Midlife Upgrade")</f>
        <v>974271</v>
      </c>
      <c r="AK125" s="1381">
        <f>SUMIFS(Pradeep!$N$13:$N$400,Pradeep!$P$13:$P$400,"October",Pradeep!$J$13:$J$400,"Midlife Upgrade")</f>
        <v>0</v>
      </c>
      <c r="AL125" s="1381">
        <f>SUMIFS(Pradeep!$N$13:$N$400,Pradeep!$P$13:$P$400,"November",Pradeep!$J$13:$J$400,"Midlife Upgrade")</f>
        <v>6260635</v>
      </c>
      <c r="AM125" s="1381">
        <f>SUMIFS(Pradeep!$N$13:$N$400,Pradeep!$P$13:$P$400,"December",Pradeep!$J$13:$J$400,"Midlife Upgrade")</f>
        <v>5188709</v>
      </c>
      <c r="AP125" s="922" t="s">
        <v>83</v>
      </c>
      <c r="AQ125" s="1381">
        <f>SUMIFS(Nitin!$N$13:$N$400,Nitin!$P$13:$P$400,"March",Nitin!$J$13:$J$400,"Midlife Upgrade")</f>
        <v>0</v>
      </c>
      <c r="AR125" s="1381">
        <f>SUMIFS(Nitin!$N$13:$N$400,Nitin!$P$13:$P$400,"April",Nitin!$J$13:$J$400,"Midlife Upgrade")</f>
        <v>0</v>
      </c>
      <c r="AS125" s="1381">
        <f>SUMIFS(Nitin!$N$13:$N$400,Nitin!$P$13:$P$400,"May",Nitin!$J$13:$J$400,"Midlife Upgrade")</f>
        <v>0</v>
      </c>
      <c r="AT125" s="1381">
        <f>SUMIFS(Nitin!$N$13:$N$400,Nitin!$P$13:$P$400,"June",Nitin!$J$13:$J$400,"Midlife Upgrade")</f>
        <v>0</v>
      </c>
      <c r="AU125" s="1381">
        <f>SUMIFS(Nitin!$N$13:$N$400,Nitin!$P$13:$P$400,"July",Nitin!$J$13:$J$400,"Midlife Upgrade")</f>
        <v>942929</v>
      </c>
      <c r="AV125" s="1381">
        <f>SUMIFS(Nitin!$N$13:$N$400,Nitin!$P$13:$P$400,"August",Nitin!$J$13:$J$400,"Midlife Upgrade")</f>
        <v>0</v>
      </c>
      <c r="AW125" s="1381">
        <f>SUMIFS(Nitin!$N$13:$N$400,Nitin!$P$13:$P$400,"September",Nitin!$J$13:$J$400,"Midlife Upgrade")</f>
        <v>4547037</v>
      </c>
      <c r="AX125" s="1381">
        <f>SUMIFS(Nitin!$N$13:$N$400,Nitin!$P$13:$P$400,"October",Nitin!$J$13:$J$400,"Midlife Upgrade")</f>
        <v>1188962</v>
      </c>
      <c r="AY125" s="1381">
        <f>SUMIFS(Nitin!$N$13:$N$400,Nitin!$P$13:$P$400,"November",Nitin!$J$13:$J$400,"Midlife Upgrade")</f>
        <v>8307483</v>
      </c>
      <c r="AZ125" s="1381">
        <f>SUMIFS(Nitin!$N$13:$N$400,Nitin!$P$13:$P$400,"December",Nitin!$J$13:$J$400,"Midlife Upgrade")</f>
        <v>924188</v>
      </c>
    </row>
    <row r="127" spans="16:52">
      <c r="P127" s="1383" t="s">
        <v>70</v>
      </c>
      <c r="Q127" s="932" t="s">
        <v>36</v>
      </c>
      <c r="R127" s="932">
        <f>SUM(R129:R138)</f>
        <v>4630660</v>
      </c>
      <c r="S127" s="932">
        <f t="shared" ref="S127:AA127" si="49">SUM(S129:S138)</f>
        <v>3799298</v>
      </c>
      <c r="T127" s="932">
        <f t="shared" si="49"/>
        <v>5936472</v>
      </c>
      <c r="U127" s="932">
        <f t="shared" si="49"/>
        <v>6140548</v>
      </c>
      <c r="V127" s="932">
        <f t="shared" si="49"/>
        <v>4247261</v>
      </c>
      <c r="W127" s="932">
        <f t="shared" si="49"/>
        <v>1809730</v>
      </c>
      <c r="X127" s="932">
        <f t="shared" si="49"/>
        <v>1523678</v>
      </c>
      <c r="Y127" s="932">
        <f t="shared" si="49"/>
        <v>2049077</v>
      </c>
      <c r="Z127" s="932">
        <f t="shared" si="49"/>
        <v>7527818</v>
      </c>
      <c r="AA127" s="932">
        <f t="shared" si="49"/>
        <v>8187712</v>
      </c>
      <c r="AC127" s="1383" t="s">
        <v>86</v>
      </c>
      <c r="AD127" s="932" t="s">
        <v>36</v>
      </c>
      <c r="AE127" s="932">
        <f t="shared" ref="AE127:AM127" si="50">SUM(AE129:AE138)</f>
        <v>4359887.7</v>
      </c>
      <c r="AF127" s="932">
        <f t="shared" si="50"/>
        <v>298690</v>
      </c>
      <c r="AG127" s="932">
        <f t="shared" si="50"/>
        <v>2500144</v>
      </c>
      <c r="AH127" s="932">
        <f t="shared" si="50"/>
        <v>1867308</v>
      </c>
      <c r="AI127" s="932">
        <f t="shared" si="50"/>
        <v>5700035.7199999997</v>
      </c>
      <c r="AJ127" s="932">
        <f t="shared" si="50"/>
        <v>4652140</v>
      </c>
      <c r="AK127" s="932">
        <f t="shared" si="50"/>
        <v>0</v>
      </c>
      <c r="AL127" s="932">
        <f t="shared" si="50"/>
        <v>3080016</v>
      </c>
      <c r="AM127" s="932">
        <f t="shared" si="50"/>
        <v>0</v>
      </c>
      <c r="AO127" s="1383" t="s">
        <v>91</v>
      </c>
      <c r="AP127" s="932" t="s">
        <v>36</v>
      </c>
      <c r="AQ127" s="932">
        <f>SUM(AQ129:AQ138)</f>
        <v>290412</v>
      </c>
      <c r="AR127" s="932">
        <f t="shared" ref="AR127:AZ127" si="51">SUM(AR129:AR138)</f>
        <v>1048338</v>
      </c>
      <c r="AS127" s="932">
        <f t="shared" si="51"/>
        <v>662770</v>
      </c>
      <c r="AT127" s="932">
        <f t="shared" si="51"/>
        <v>0</v>
      </c>
      <c r="AU127" s="932">
        <f t="shared" si="51"/>
        <v>310000</v>
      </c>
      <c r="AV127" s="932">
        <f t="shared" si="51"/>
        <v>160176</v>
      </c>
      <c r="AW127" s="932">
        <f t="shared" si="51"/>
        <v>180576</v>
      </c>
      <c r="AX127" s="932">
        <f t="shared" si="51"/>
        <v>869988</v>
      </c>
      <c r="AY127" s="932">
        <f t="shared" si="51"/>
        <v>3208676</v>
      </c>
      <c r="AZ127" s="932">
        <f t="shared" si="51"/>
        <v>3565273</v>
      </c>
    </row>
    <row r="128" spans="16:52" ht="18">
      <c r="Q128" s="921" t="s">
        <v>67</v>
      </c>
      <c r="R128" s="625" t="s">
        <v>25</v>
      </c>
      <c r="S128" s="625" t="s">
        <v>28</v>
      </c>
      <c r="T128" s="625" t="s">
        <v>30</v>
      </c>
      <c r="U128" s="625" t="s">
        <v>34</v>
      </c>
      <c r="V128" s="625" t="s">
        <v>37</v>
      </c>
      <c r="W128" s="625" t="s">
        <v>39</v>
      </c>
      <c r="X128" s="625" t="s">
        <v>44</v>
      </c>
      <c r="Y128" s="625" t="s">
        <v>97</v>
      </c>
      <c r="Z128" s="625" t="s">
        <v>49</v>
      </c>
      <c r="AA128" s="625" t="s">
        <v>62</v>
      </c>
      <c r="AD128" s="921" t="s">
        <v>67</v>
      </c>
      <c r="AE128" s="625" t="s">
        <v>28</v>
      </c>
      <c r="AF128" s="625" t="s">
        <v>30</v>
      </c>
      <c r="AG128" s="625" t="s">
        <v>34</v>
      </c>
      <c r="AH128" s="625" t="s">
        <v>37</v>
      </c>
      <c r="AI128" s="625" t="s">
        <v>39</v>
      </c>
      <c r="AJ128" s="625" t="s">
        <v>44</v>
      </c>
      <c r="AK128" s="625" t="s">
        <v>97</v>
      </c>
      <c r="AL128" s="625" t="s">
        <v>49</v>
      </c>
      <c r="AM128" s="625" t="s">
        <v>62</v>
      </c>
      <c r="AP128" s="921" t="s">
        <v>67</v>
      </c>
      <c r="AQ128" s="625" t="s">
        <v>25</v>
      </c>
      <c r="AR128" s="625" t="s">
        <v>28</v>
      </c>
      <c r="AS128" s="625" t="s">
        <v>30</v>
      </c>
      <c r="AT128" s="625" t="s">
        <v>34</v>
      </c>
      <c r="AU128" s="625" t="s">
        <v>37</v>
      </c>
      <c r="AV128" s="625" t="s">
        <v>39</v>
      </c>
      <c r="AW128" s="625" t="s">
        <v>44</v>
      </c>
      <c r="AX128" s="625" t="s">
        <v>97</v>
      </c>
      <c r="AY128" s="625" t="s">
        <v>49</v>
      </c>
      <c r="AZ128" s="625" t="s">
        <v>62</v>
      </c>
    </row>
    <row r="129" spans="16:52" ht="18">
      <c r="Q129" s="922" t="s">
        <v>73</v>
      </c>
      <c r="R129" s="1381">
        <f>SUMIFS(Rahul!$N$13:$N$400,Rahul!$P$13:$P$400,"March",Rahul!$J$13:$J$400,"Contract")</f>
        <v>147000</v>
      </c>
      <c r="S129" s="1381">
        <f>SUMIFS(Rahul!$N$13:$N$400,Rahul!$P$13:$P$400,"April",Rahul!$J$13:$J$400,"Contract")</f>
        <v>596244</v>
      </c>
      <c r="T129" s="1381">
        <f>SUMIFS(Rahul!$N$13:$N$400,Rahul!$P$13:$P$400,"May",Rahul!$J$13:$J$400,"Contract")</f>
        <v>0</v>
      </c>
      <c r="U129" s="1381">
        <f>SUMIFS(Rahul!$N$13:$N$400,Rahul!$P$13:$P$400,"June",Rahul!$J$13:$J$400,"Contract")</f>
        <v>308700</v>
      </c>
      <c r="V129" s="1381">
        <f>SUMIFS(Rahul!$N$13:$N$400,Rahul!$P$13:$P$400,"July",Rahul!$J$13:$J$400,"Contract")</f>
        <v>2495491</v>
      </c>
      <c r="W129" s="1381">
        <f>SUMIFS(Rahul!$N$13:$N$400,Rahul!$P$13:$P$400,"August",Rahul!$J$13:$J$400,"Contract")</f>
        <v>1299640</v>
      </c>
      <c r="X129" s="1381">
        <f>SUMIFS(Rahul!$N$13:$N$400,Rahul!$P$13:$P$400,"September",Rahul!$J$13:$J$400,"Contract")</f>
        <v>246000</v>
      </c>
      <c r="Y129" s="1381">
        <f>SUMIFS(Rahul!$N$13:$N$400,Rahul!$P$13:$P$400,"October",Rahul!$J$13:$J$400,"Contract")</f>
        <v>80000</v>
      </c>
      <c r="Z129" s="1381">
        <f>SUMIFS(Rahul!$N$13:$N$400,Rahul!$P$13:$P$400,"November",Rahul!$J$13:$J$400,"Contract")</f>
        <v>244000</v>
      </c>
      <c r="AA129" s="1381">
        <f>SUMIFS(Rahul!$N$13:$N$400,Rahul!$P$13:$P$400,"December",Rahul!$J$13:$J$400,"Contract")</f>
        <v>1192880</v>
      </c>
      <c r="AD129" s="922" t="s">
        <v>73</v>
      </c>
      <c r="AE129" s="1381">
        <f>SUMIFS(Sasi!$N$14:$N$403,Sasi!$P$14:$P$403,"April",Sasi!$J$14:$J$403,"Contract")</f>
        <v>1452560</v>
      </c>
      <c r="AF129" s="1381">
        <f>SUMIFS(Sasi!$N$14:$N$403,Sasi!$P$14:$P$403,"May",Sasi!$J$14:$J$403,"Contract")</f>
        <v>95300</v>
      </c>
      <c r="AG129" s="1381">
        <f>SUMIFS(Sasi!$N$14:$N$403,Sasi!$P$14:$P$403,"June",Sasi!$J$14:$J$403,"Contract")</f>
        <v>0</v>
      </c>
      <c r="AH129" s="1381">
        <f>SUMIFS(Sasi!$N$14:$N$403,Sasi!$P$14:$P$403,"July",Sasi!$J$14:$J$403,"Contract")</f>
        <v>98900</v>
      </c>
      <c r="AI129" s="1381">
        <f>SUMIFS(Sasi!$N$14:$N$403,Sasi!$P$14:$P$403,"August",Sasi!$J$14:$J$403,"Contract")</f>
        <v>560725</v>
      </c>
      <c r="AJ129" s="1381">
        <f>SUMIFS(Sasi!$N$14:$N$403,Sasi!$P$14:$P$403,"September",Sasi!$J$14:$J$403,"Contract")</f>
        <v>1563800</v>
      </c>
      <c r="AK129" s="1381">
        <f>SUMIFS(Sasi!$N$14:$N$403,Sasi!$P$14:$P$403,"October",Sasi!$J$14:$J$403,"Contract")</f>
        <v>0</v>
      </c>
      <c r="AL129" s="1381">
        <f>SUMIFS(Sasi!$N$14:$N$403,Sasi!$P$14:$P$403,"November",Sasi!$J$14:$J$403,"Contract")</f>
        <v>363000</v>
      </c>
      <c r="AM129" s="1381">
        <f>SUMIFS(Sasi!$N$14:$N$403,Sasi!$P$14:$P$403,"December",Sasi!$J$14:$J$403,"Contract")</f>
        <v>0</v>
      </c>
      <c r="AP129" s="922" t="s">
        <v>73</v>
      </c>
      <c r="AQ129" s="1381">
        <f>SUMIFS(Pankaj!$N$13:$N$400,Pankaj!$P$13:$P$400,"March",Pankaj!$J$13:$J$400,"Contract")</f>
        <v>0</v>
      </c>
      <c r="AR129" s="1381">
        <f>SUMIFS(Pankaj!$N$13:$N$400,Pankaj!$P$13:$P$400,"April",Pankaj!$J$13:$J$400,"Contract")</f>
        <v>420413</v>
      </c>
      <c r="AS129" s="1381">
        <f>SUMIFS(Pankaj!$N$13:$N$400,Pankaj!$P$13:$P$400,"May",Pankaj!$J$13:$J$400,"Contract")</f>
        <v>640330</v>
      </c>
      <c r="AT129" s="1381">
        <f>SUMIFS(Pankaj!$N$13:$N$400,Pankaj!$P$13:$P$400,"June",Pankaj!$J$13:$J$400,"Contract")</f>
        <v>0</v>
      </c>
      <c r="AU129" s="1381">
        <f>SUMIFS(Pankaj!$N$13:$N$400,Pankaj!$P$13:$P$400,"July",Pankaj!$J$13:$J$400,"Contract")</f>
        <v>0</v>
      </c>
      <c r="AV129" s="1381">
        <f>SUMIFS(Pankaj!$N$13:$N$400,Pankaj!$P$13:$P$400,"August",Pankaj!$J$13:$J$400,"Contract")</f>
        <v>139698</v>
      </c>
      <c r="AW129" s="1381">
        <f>SUMIFS(Pankaj!$N$13:$N$400,Pankaj!$P$13:$P$400,"September",Pankaj!$J$13:$J$400,"Contract")</f>
        <v>180576</v>
      </c>
      <c r="AX129" s="1381">
        <f>SUMIFS(Pankaj!$N$13:$N$400,Pankaj!$P$13:$P$400,"October",Pankaj!$J$13:$J$400,"Contract")</f>
        <v>0</v>
      </c>
      <c r="AY129" s="1381">
        <f>SUMIFS(Pankaj!$N$13:$N$400,Pankaj!$P$13:$P$400,"November",Pankaj!$J$13:$J$400,"Contract")</f>
        <v>1560162</v>
      </c>
      <c r="AZ129" s="1381">
        <f>SUMIFS(Pankaj!$N$13:$N$400,Pankaj!$P$13:$P$400,"December",Pankaj!$J$13:$J$400,"Contract")</f>
        <v>0</v>
      </c>
    </row>
    <row r="130" spans="16:52" ht="18">
      <c r="Q130" s="922" t="s">
        <v>74</v>
      </c>
      <c r="R130" s="1381">
        <f>SUMIFS(Rahul!$N$13:$N$400,Rahul!$P$13:$P$400,"March",Rahul!$J$13:$J$400,"BD Spare")</f>
        <v>45900</v>
      </c>
      <c r="S130" s="1381">
        <f>SUMIFS(Rahul!$N$13:$N$400,Rahul!$P$13:$P$400,"April",Rahul!$J$13:$J$400,"BD Spare")</f>
        <v>0</v>
      </c>
      <c r="T130" s="1381">
        <f>SUMIFS(Rahul!$N$13:$N$400,Rahul!$P$13:$P$400,"May",Rahul!$J$13:$J$400,"BD Spare")</f>
        <v>0</v>
      </c>
      <c r="U130" s="1381">
        <f>SUMIFS(Rahul!$N$13:$N$400,Rahul!$P$13:$P$400,"June",Rahul!$J$13:$J$400,"BD Spare")</f>
        <v>0</v>
      </c>
      <c r="V130" s="1381">
        <f>SUMIFS(Rahul!$N$13:$N$400,Rahul!$P$13:$P$400,"July",Rahul!$J$13:$J$400,"BD Spare")</f>
        <v>0</v>
      </c>
      <c r="W130" s="1381">
        <f>SUMIFS(Rahul!$N$13:$N$400,Rahul!$P$13:$P$400,"August",Rahul!$J$13:$J$400,"BD Spare")</f>
        <v>0</v>
      </c>
      <c r="X130" s="1381">
        <f>SUMIFS(Rahul!$N$13:$N$400,Rahul!$P$13:$P$400,"September",Rahul!$J$13:$J$400,"BD Spare")</f>
        <v>275490</v>
      </c>
      <c r="Y130" s="1381">
        <f>SUMIFS(Rahul!$N$13:$N$400,Rahul!$P$13:$P$400,"October",Rahul!$J$13:$J$400,"BD Spare")</f>
        <v>0</v>
      </c>
      <c r="Z130" s="1381">
        <f>SUMIFS(Rahul!$N$13:$N$400,Rahul!$P$13:$P$400,"November",Rahul!$J$13:$J$400,"BD Spare")</f>
        <v>0</v>
      </c>
      <c r="AA130" s="1381">
        <f>SUMIFS(Rahul!$N$13:$N$400,Rahul!$P$13:$P$400,"December",Rahul!$J$13:$J$400,"BD Spare")</f>
        <v>0</v>
      </c>
      <c r="AD130" s="922" t="s">
        <v>74</v>
      </c>
      <c r="AE130" s="1381">
        <f>SUMIFS(Sasi!$N$14:$N$403,Sasi!$P$14:$P$403,"April",Sasi!$J$14:$J$403,"BD Spare")</f>
        <v>0</v>
      </c>
      <c r="AF130" s="1381">
        <f>SUMIFS(Sasi!$N$14:$N$403,Sasi!$P$14:$P$403,"May",Sasi!$J$14:$J$403,"BD Spare")</f>
        <v>0</v>
      </c>
      <c r="AG130" s="1381">
        <f>SUMIFS(Sasi!$N$14:$N$403,Sasi!$P$14:$P$403,"June",Sasi!$J$14:$J$403,"BD Spare")</f>
        <v>1243406</v>
      </c>
      <c r="AH130" s="1381">
        <f>SUMIFS(Sasi!$N$14:$N$403,Sasi!$P$14:$P$403,"July",Sasi!$J$14:$J$403,"BD Spare")</f>
        <v>296800</v>
      </c>
      <c r="AI130" s="1381">
        <f>SUMIFS(Sasi!$N$14:$N$403,Sasi!$P$14:$P$403,"August",Sasi!$J$14:$J$403,"BD Spare")</f>
        <v>0</v>
      </c>
      <c r="AJ130" s="1381">
        <f>SUMIFS(Sasi!$N$14:$N$403,Sasi!$P$14:$P$403,"September",Sasi!$J$14:$J$403,"BD Spare")</f>
        <v>0</v>
      </c>
      <c r="AK130" s="1381">
        <f>SUMIFS(Sasi!$N$14:$N$403,Sasi!$P$14:$P$403,"October",Sasi!$J$14:$J$403,"BD Sapre")</f>
        <v>0</v>
      </c>
      <c r="AL130" s="1381">
        <f>SUMIFS(Sasi!$N$14:$N$403,Sasi!$P$14:$P$403,"November",Sasi!$J$14:$J$403,"BD Sapre")</f>
        <v>0</v>
      </c>
      <c r="AM130" s="1381">
        <f>SUMIFS(Sasi!$N$14:$N$403,Sasi!$P$14:$P$403,"December",Sasi!$J$14:$J$403,"BD Spare")</f>
        <v>0</v>
      </c>
      <c r="AP130" s="922" t="s">
        <v>74</v>
      </c>
      <c r="AQ130" s="1381">
        <f>SUMIFS(Pankaj!$N$13:$N$400,Pankaj!$P$13:$P$400,"March",Pankaj!$J$13:$J$400,"BD Spare")</f>
        <v>0</v>
      </c>
      <c r="AR130" s="1381">
        <f>SUMIFS(Pankaj!$N$13:$N$400,Pankaj!$P$13:$P$400,"April",Pankaj!$J$13:$J$400,"BD Spare")</f>
        <v>0</v>
      </c>
      <c r="AS130" s="1381">
        <f>SUMIFS(Pankaj!$N$13:$N$400,Pankaj!$P$13:$P$400,"May",Pankaj!$J$13:$J$400,"BD Spare")</f>
        <v>0</v>
      </c>
      <c r="AT130" s="1381">
        <f>SUMIFS(Pankaj!$N$13:$N$400,Pankaj!$P$13:$P$400,"June",Pankaj!$J$13:$J$400,"BD Spare")</f>
        <v>0</v>
      </c>
      <c r="AU130" s="1381">
        <f>SUMIFS(Pankaj!$N$13:$N$400,Pankaj!$P$13:$P$400,"July",Pankaj!$J$13:$J$400,"BD Spare")</f>
        <v>0</v>
      </c>
      <c r="AV130" s="1381">
        <f>SUMIFS(Pankaj!$N$13:$N$400,Pankaj!$P$13:$P$400,"August",Pankaj!$J$13:$J$400,"BD Spare")</f>
        <v>0</v>
      </c>
      <c r="AW130" s="1381">
        <f>SUMIFS(Pankaj!$N$13:$N$400,Pankaj!$P$13:$P$400,"September",Pankaj!$J$13:$J$400,"BD Spare")</f>
        <v>0</v>
      </c>
      <c r="AX130" s="1381">
        <f>SUMIFS(Pankaj!$N$13:$N$400,Pankaj!$P$13:$P$400,"October",Pankaj!$J$13:$J$400,"BD Sapre")</f>
        <v>0</v>
      </c>
      <c r="AY130" s="1381">
        <f>SUMIFS(Pankaj!$N$13:$N$400,Pankaj!$P$13:$P$400,"November",Pankaj!$J$13:$J$400,"BD Sapre")</f>
        <v>0</v>
      </c>
      <c r="AZ130" s="1381">
        <f>SUMIFS(Pankaj!$N$13:$N$400,Pankaj!$P$13:$P$400,"December",Pankaj!$J$13:$J$400,"BD Spare")</f>
        <v>0</v>
      </c>
    </row>
    <row r="131" spans="16:52" ht="18">
      <c r="Q131" s="922" t="s">
        <v>75</v>
      </c>
      <c r="R131" s="1381">
        <f>SUMIFS(Rahul!$N$13:$N$400,Rahul!$P$13:$P$400,"March",Rahul!$J$13:$J$400,"SPP")</f>
        <v>256700</v>
      </c>
      <c r="S131" s="1381">
        <f>SUMIFS(Rahul!$N$13:$N$400,Rahul!$P$13:$P$400,"April",Rahul!$J$13:$J$400,"SPP")</f>
        <v>587564</v>
      </c>
      <c r="T131" s="1381">
        <f>SUMIFS(Rahul!$N$13:$N$400,Rahul!$P$13:$P$400,"May",Rahul!$J$13:$J$400,"SPP")</f>
        <v>398390</v>
      </c>
      <c r="U131" s="1381">
        <f>SUMIFS(Rahul!$N$13:$N$400,Rahul!$P$13:$P$400,"June",Rahul!$J$13:$J$400,"SPP")</f>
        <v>2924040</v>
      </c>
      <c r="V131" s="1381">
        <f>SUMIFS(Rahul!$N$13:$N$400,Rahul!$P$13:$P$400,"July",Rahul!$J$13:$J$400,"SPP")</f>
        <v>836000</v>
      </c>
      <c r="W131" s="1381">
        <f>SUMIFS(Rahul!$N$13:$N$400,Rahul!$P$13:$P$400,"August",Rahul!$J$13:$J$400,"SPP")</f>
        <v>88140</v>
      </c>
      <c r="X131" s="1381">
        <f>SUMIFS(Rahul!$N$13:$N$400,Rahul!$P$13:$P$400,"September",Rahul!$J$13:$J$400,"SPP")</f>
        <v>710940</v>
      </c>
      <c r="Y131" s="1381">
        <f>SUMIFS(Rahul!$N$13:$N$400,Rahul!$P$13:$P$400,"October",Rahul!$J$13:$J$400,"SPP")</f>
        <v>1298577</v>
      </c>
      <c r="Z131" s="1381">
        <f>SUMIFS(Rahul!$N$13:$N$400,Rahul!$P$13:$P$400,"November",Rahul!$J$13:$J$400,"SPP")</f>
        <v>1044056</v>
      </c>
      <c r="AA131" s="1381">
        <f>SUMIFS(Rahul!$N$13:$N$400,Rahul!$P$13:$P$400,"December",Rahul!$J$13:$J$400,"SPP")</f>
        <v>3956924</v>
      </c>
      <c r="AD131" s="922" t="s">
        <v>75</v>
      </c>
      <c r="AE131" s="1381">
        <f>SUMIFS(Sasi!$N$14:$N$403,Sasi!$P$14:$P$403,"April",Sasi!$J$14:$J$403,"SPP")</f>
        <v>1495166</v>
      </c>
      <c r="AF131" s="1381">
        <f>SUMIFS(Sasi!$N$14:$N$403,Sasi!$P$14:$P$403,"May",Sasi!$J$14:$J$403,"SPP")</f>
        <v>203390</v>
      </c>
      <c r="AG131" s="1381">
        <f>SUMIFS(Sasi!$N$14:$N$403,Sasi!$P$14:$P$403,"June",Sasi!$J$14:$J$403,"SPP")</f>
        <v>1072133</v>
      </c>
      <c r="AH131" s="1381">
        <f>SUMIFS(Sasi!$N$14:$N$403,Sasi!$P$14:$P$403,"July",Sasi!$J$14:$J$403,"SPP")</f>
        <v>1471608</v>
      </c>
      <c r="AI131" s="1381">
        <f>SUMIFS(Sasi!$N$14:$N$403,Sasi!$P$14:$P$403,"August",Sasi!$J$14:$J$403,"SPP")</f>
        <v>1852552.72</v>
      </c>
      <c r="AJ131" s="1381">
        <f>SUMIFS(Sasi!$N$14:$N$403,Sasi!$P$14:$P$403,"September",Sasi!$J$14:$J$403,"SPP")</f>
        <v>1913160</v>
      </c>
      <c r="AK131" s="1381">
        <f>SUMIFS(Sasi!$N$14:$N$403,Sasi!$P$14:$P$403,"October",Sasi!$J$14:$J$403,"SPP")</f>
        <v>0</v>
      </c>
      <c r="AL131" s="1381">
        <f>SUMIFS(Sasi!$N$14:$N$403,Sasi!$P$14:$P$403,"November",Sasi!$J$14:$J$403,"SPP")</f>
        <v>999202</v>
      </c>
      <c r="AM131" s="1381">
        <f>SUMIFS(Sasi!$N$14:$N$403,Sasi!$P$14:$P$403,"December",Sasi!$J$14:$J$403,"SPP")</f>
        <v>0</v>
      </c>
      <c r="AP131" s="922" t="s">
        <v>75</v>
      </c>
      <c r="AQ131" s="1381">
        <f>SUMIFS(Pankaj!$N$13:$N$400,Pankaj!$P$13:$P$400,"March",Pankaj!$J$13:$J$400,"SPP")</f>
        <v>290412</v>
      </c>
      <c r="AR131" s="1381">
        <f>SUMIFS(Pankaj!$N$13:$N$400,Pankaj!$P$13:$P$400,"April",Pankaj!$J$13:$J$400,"SPP")</f>
        <v>627925</v>
      </c>
      <c r="AS131" s="1381">
        <f>SUMIFS(Pankaj!$N$13:$N$400,Pankaj!$P$13:$P$400,"May",Pankaj!$J$13:$J$400,"SPP")</f>
        <v>22440</v>
      </c>
      <c r="AT131" s="1381">
        <f>SUMIFS(Pankaj!$N$13:$N$400,Pankaj!$P$13:$P$400,"June",Pankaj!$J$13:$J$400,"SPP")</f>
        <v>0</v>
      </c>
      <c r="AU131" s="1381">
        <f>SUMIFS(Pankaj!$N$13:$N$400,Pankaj!$P$13:$P$400,"July",Pankaj!$J$13:$J$400,"SPP")</f>
        <v>310000</v>
      </c>
      <c r="AV131" s="1381">
        <f>SUMIFS(Pankaj!$N$13:$N$400,Pankaj!$P$13:$P$400,"August",Pankaj!$J$13:$J$400,"SPP")</f>
        <v>20478</v>
      </c>
      <c r="AW131" s="1381">
        <f>SUMIFS(Pankaj!$N$13:$N$400,Pankaj!$P$13:$P$400,"September",Pankaj!$J$13:$J$400,"SPP")</f>
        <v>0</v>
      </c>
      <c r="AX131" s="1381">
        <f>SUMIFS(Pankaj!$N$13:$N$400,Pankaj!$P$13:$P$400,"October",Pankaj!$J$13:$J$400,"SPP")</f>
        <v>869988</v>
      </c>
      <c r="AY131" s="1381">
        <f>SUMIFS(Pankaj!$N$13:$N$400,Pankaj!$P$13:$P$400,"November",Pankaj!$J$13:$J$400,"SPP")</f>
        <v>1548514</v>
      </c>
      <c r="AZ131" s="1381">
        <f>SUMIFS(Pankaj!$N$13:$N$400,Pankaj!$P$13:$P$400,"December",Pankaj!$J$13:$J$400,"SPP")</f>
        <v>3565273</v>
      </c>
    </row>
    <row r="132" spans="16:52" ht="18">
      <c r="Q132" s="922" t="s">
        <v>77</v>
      </c>
      <c r="R132" s="1381">
        <f>SUMIFS(Rahul!$N$13:$N$400,Rahul!$P$13:$P$400,"March",Rahul!$J$13:$J$400,"Relocation")</f>
        <v>0</v>
      </c>
      <c r="S132" s="1381">
        <f>SUMIFS(Rahul!$N$13:$N$400,Rahul!$P$13:$P$400,"April",Rahul!$J$13:$J$400,"Relocation")</f>
        <v>0</v>
      </c>
      <c r="T132" s="1381">
        <f>SUMIFS(Rahul!$N$13:$N$400,Rahul!$P$13:$P$400,"May",Rahul!$J$13:$J$400,"Relocation")</f>
        <v>355000</v>
      </c>
      <c r="U132" s="1381">
        <f>SUMIFS(Rahul!$N$13:$N$400,Rahul!$P$13:$P$400,"June",Rahul!$J$13:$J$400,"Relocation")</f>
        <v>0</v>
      </c>
      <c r="V132" s="1381">
        <f>SUMIFS(Rahul!$N$13:$N$400,Rahul!$P$13:$P$400,"July",Rahul!$J$13:$J$400,"Relocation")</f>
        <v>0</v>
      </c>
      <c r="W132" s="1381">
        <f>SUMIFS(Rahul!$N$13:$N$400,Rahul!$P$13:$P$400,"August",Rahul!$J$13:$J$400,"Relocation")</f>
        <v>0</v>
      </c>
      <c r="X132" s="1381">
        <f>SUMIFS(Rahul!$N$13:$N$400,Rahul!$P$13:$P$400,"Spetember",Rahul!$J$13:$J$400,"Relocation")</f>
        <v>0</v>
      </c>
      <c r="Y132" s="1381">
        <f>SUMIFS(Rahul!$N$13:$N$400,Rahul!$P$13:$P$400,"October",Rahul!$J$13:$J$400,"Relocation")</f>
        <v>585000</v>
      </c>
      <c r="Z132" s="1381">
        <f>SUMIFS(Rahul!$N$13:$N$400,Rahul!$P$13:$P$400,"November",Rahul!$J$13:$J$400,"Relocation")</f>
        <v>0</v>
      </c>
      <c r="AA132" s="1381">
        <f>SUMIFS(Rahul!$N$13:$N$400,Rahul!$P$13:$P$400,"December",Rahul!$J$13:$J$400,"Relocation")</f>
        <v>350000</v>
      </c>
      <c r="AD132" s="922" t="s">
        <v>77</v>
      </c>
      <c r="AE132" s="1381">
        <f>SUMIFS(Sasi!$N$14:$N$403,Sasi!$P$14:$P$403,"April",Sasi!$J$14:$J$403,"Relocation")</f>
        <v>0</v>
      </c>
      <c r="AF132" s="1381">
        <f>SUMIFS(Sasi!$N$14:$N$403,Sasi!$P$14:$P$403,"May",Sasi!$J$14:$J$403,"Relocation")</f>
        <v>0</v>
      </c>
      <c r="AG132" s="1381">
        <f>SUMIFS(Sasi!$N$14:$N$403,Sasi!$P$14:$P$403,"June",Sasi!$J$14:$J$403,"Relocation")</f>
        <v>0</v>
      </c>
      <c r="AH132" s="1381">
        <f>SUMIFS(Sasi!$N$14:$N$403,Sasi!$P$14:$P$403,"July",Sasi!$J$14:$J$403,"Relcoation")</f>
        <v>0</v>
      </c>
      <c r="AI132" s="1381">
        <f>SUMIFS(Sasi!$N$14:$N$403,Sasi!$P$14:$P$403,"August",Sasi!$J$14:$J$403,"Relocation")</f>
        <v>0</v>
      </c>
      <c r="AJ132" s="1381">
        <f>SUMIFS(Sasi!$N$14:$N$403,Sasi!$P$14:$P$403,"September",Sasi!$J$14:$J$403,"Relocation")</f>
        <v>600000</v>
      </c>
      <c r="AK132" s="1381">
        <f>SUMIFS(Sasi!$N$14:$N$403,Sasi!$P$14:$P$403,"October",Sasi!$J$14:$J$403,"Relocation")</f>
        <v>0</v>
      </c>
      <c r="AL132" s="1381">
        <f>SUMIFS(Sasi!$N$14:$N$403,Sasi!$P$14:$P$403,"November",Sasi!$J$14:$J$403,"Relocation")</f>
        <v>0</v>
      </c>
      <c r="AM132" s="1381">
        <f>SUMIFS(Sasi!$N$14:$N$403,Sasi!$P$14:$P$403,"December",Sasi!$J$14:$J$403,"Relocation")</f>
        <v>0</v>
      </c>
      <c r="AP132" s="922" t="s">
        <v>77</v>
      </c>
      <c r="AQ132" s="1381">
        <f>SUMIFS(Pankaj!$N$13:$N$400,Pankaj!$P$13:$P$400,"March",Pankaj!$J$13:$J$400,"Relocation")</f>
        <v>0</v>
      </c>
      <c r="AR132" s="1381">
        <f>SUMIFS(Pankaj!$N$13:$N$400,Pankaj!$P$13:$P$400,"April",Pankaj!$J$13:$J$400,"Relocation")</f>
        <v>0</v>
      </c>
      <c r="AS132" s="1381">
        <f>SUMIFS(Pankaj!$N$13:$N$400,Pankaj!$P$13:$P$400,"May",Pankaj!$J$13:$J$400,"Relocation")</f>
        <v>0</v>
      </c>
      <c r="AT132" s="1381">
        <f>SUMIFS(Pankaj!$N$13:$N$400,Pankaj!$P$13:$P$400,"June",Pankaj!$J$13:$J$400,"Relocation")</f>
        <v>0</v>
      </c>
      <c r="AU132" s="1381">
        <f>SUMIFS(Pankaj!$N$13:$N$400,Pankaj!$P$13:$P$400,"July",Pankaj!$J$13:$J$400,"Relcoation")</f>
        <v>0</v>
      </c>
      <c r="AV132" s="1381">
        <f>SUMIFS(Pankaj!$N$13:$N$400,Pankaj!$P$13:$P$400,"August",Pankaj!$J$13:$J$400,"Relocation")</f>
        <v>0</v>
      </c>
      <c r="AW132" s="1381">
        <f>SUMIFS(Pankaj!$N$13:$N$400,Pankaj!$P$13:$P$400,"September",Pankaj!$J$13:$J$400,"Relocation")</f>
        <v>0</v>
      </c>
      <c r="AX132" s="1381">
        <f>SUMIFS(Pankaj!$N$13:$N$400,Pankaj!$P$13:$P$400,"October",Pankaj!$J$13:$J$400,"Relocation")</f>
        <v>0</v>
      </c>
      <c r="AY132" s="1381">
        <f>SUMIFS(Pankaj!$N$13:$N$400,Pankaj!$P$13:$P$400,"November",Pankaj!$J$13:$J$400,"Relocation")</f>
        <v>0</v>
      </c>
      <c r="AZ132" s="1381">
        <f>SUMIFS(Pankaj!$N$13:$N$400,Pankaj!$P$13:$P$400,"December",Pankaj!$J$13:$J$400,"Relocation")</f>
        <v>0</v>
      </c>
    </row>
    <row r="133" spans="16:52" ht="18">
      <c r="Q133" s="922" t="s">
        <v>78</v>
      </c>
      <c r="R133" s="1381">
        <f>SUMIFS(Rahul!$N$13:$N$400,Rahul!$P$13:$P$400,"March",Rahul!$J$13:$J$400,"Software")</f>
        <v>0</v>
      </c>
      <c r="S133" s="1381">
        <f>SUMIFS(Rahul!$N$13:$N$400,Rahul!$P$13:$P$400,"April",Rahul!$J$13:$J$400,"Software")</f>
        <v>0</v>
      </c>
      <c r="T133" s="1381">
        <f>SUMIFS(Rahul!$N$13:$N$400,Rahul!$P$13:$P$400,"May",Rahul!$J$13:$J$400,"Software")</f>
        <v>0</v>
      </c>
      <c r="U133" s="1381">
        <f>SUMIFS(Rahul!$N$13:$N$400,Rahul!$P$13:$P$400,"June",Rahul!$J$13:$J$400,"Software")</f>
        <v>0</v>
      </c>
      <c r="V133" s="1381">
        <f>SUMIFS(Rahul!$N$13:$N$400,Rahul!$P$13:$P$400,"July",Rahul!$J$13:$J$400,"Software")</f>
        <v>0</v>
      </c>
      <c r="W133" s="1381">
        <f>SUMIFS(Rahul!$N$13:$N$400,Rahul!$P$13:$P$400,"August",Rahul!$J$13:$J$400,"Software")</f>
        <v>0</v>
      </c>
      <c r="X133" s="1381">
        <f>SUMIFS(Rahul!$N$13:$N$400,Rahul!$P$13:$P$400,"September",Rahul!$J$13:$J$400,"Software")</f>
        <v>0</v>
      </c>
      <c r="Y133" s="1381">
        <f>SUMIFS(Rahul!$N$13:$N$400,Rahul!$P$13:$P$400,"October",Rahul!$J$13:$J$400,"Software")</f>
        <v>0</v>
      </c>
      <c r="Z133" s="1381">
        <f>SUMIFS(Rahul!$N$13:$N$400,Rahul!$P$13:$P$400,"November",Rahul!$J$13:$J$400,"Software")</f>
        <v>0</v>
      </c>
      <c r="AA133" s="1381">
        <f>SUMIFS(Rahul!$N$13:$N$400,Rahul!$P$13:$P$400,"December",Rahul!$J$13:$J$400,"Software")</f>
        <v>0</v>
      </c>
      <c r="AD133" s="922" t="s">
        <v>78</v>
      </c>
      <c r="AE133" s="1381">
        <f>SUMIFS(Sasi!$N$14:$N$403,Sasi!$P$14:$P$403,"April",Sasi!$J$14:$J$403,"Software")</f>
        <v>0</v>
      </c>
      <c r="AF133" s="1381">
        <f>SUMIFS(Sasi!$N$14:$N$403,Sasi!$P$14:$P$403,"May",Sasi!$J$14:$J$403,"Software")</f>
        <v>0</v>
      </c>
      <c r="AG133" s="1381">
        <f>SUMIFS(Sasi!$N$14:$N$403,Sasi!$P$14:$P$403,"June",Sasi!$J$14:$J$403,"Software")</f>
        <v>0</v>
      </c>
      <c r="AH133" s="1381">
        <f>SUMIFS(Sasi!$N$14:$N$403,Sasi!$P$14:$P$403,"July",Sasi!$J$14:$J$403,"Sofwtare")</f>
        <v>0</v>
      </c>
      <c r="AI133" s="1381">
        <f>SUMIFS(Sasi!$N$14:$N$403,Sasi!$P$14:$P$403,"August",Sasi!$J$14:$J$403,"Software")</f>
        <v>0</v>
      </c>
      <c r="AJ133" s="1381">
        <f>SUMIFS(Sasi!$N$14:$N$403,Sasi!$P$14:$P$403,"September",Sasi!$J$14:$J$403,"Sofwtare")</f>
        <v>0</v>
      </c>
      <c r="AK133" s="1381">
        <f>SUMIFS(Sasi!$N$14:$N$403,Sasi!$P$14:$P$403,"October",Sasi!$J$14:$J$403,"Software")</f>
        <v>0</v>
      </c>
      <c r="AL133" s="1381">
        <f>SUMIFS(Sasi!$N$14:$N$403,Sasi!$P$14:$P$403,"November",Sasi!$J$14:$J$403,"Sofwtare")</f>
        <v>0</v>
      </c>
      <c r="AM133" s="1381">
        <f>SUMIFS(Sasi!$N$14:$N$403,Sasi!$P$14:$P$403,"December",Sasi!$J$14:$J$403,"Software")</f>
        <v>0</v>
      </c>
      <c r="AP133" s="922" t="s">
        <v>78</v>
      </c>
      <c r="AQ133" s="1381">
        <f>SUMIFS(Pankaj!$N$13:$N$400,Pankaj!$P$13:$P$400,"March",Pankaj!$J$13:$J$400,"Software")</f>
        <v>0</v>
      </c>
      <c r="AR133" s="1381">
        <f>SUMIFS(Pankaj!$N$13:$N$400,Pankaj!$P$13:$P$400,"April",Pankaj!$J$13:$J$400,"Software")</f>
        <v>0</v>
      </c>
      <c r="AS133" s="1381">
        <f>SUMIFS(Pankaj!$N$13:$N$400,Pankaj!$P$13:$P$400,"May",Pankaj!$J$13:$J$400,"Software")</f>
        <v>0</v>
      </c>
      <c r="AT133" s="1381">
        <f>SUMIFS(Pankaj!$N$13:$N$400,Pankaj!$P$13:$P$400,"June",Pankaj!$J$13:$J$400,"Software")</f>
        <v>0</v>
      </c>
      <c r="AU133" s="1381">
        <f>SUMIFS(Pankaj!$N$13:$N$400,Pankaj!$P$13:$P$400,"July",Pankaj!$J$13:$J$400,"Sofwtare")</f>
        <v>0</v>
      </c>
      <c r="AV133" s="1381">
        <f>SUMIFS(Pankaj!$N$13:$N$400,Pankaj!$P$13:$P$400,"August",Pankaj!$J$13:$J$400,"Software")</f>
        <v>0</v>
      </c>
      <c r="AW133" s="1381">
        <f>SUMIFS(Pankaj!$N$13:$N$400,Pankaj!$P$13:$P$400,"September",Pankaj!$J$13:$J$400,"Sofwtare")</f>
        <v>0</v>
      </c>
      <c r="AX133" s="1381">
        <f>SUMIFS(Pankaj!$N$13:$N$400,Pankaj!$P$13:$P$400,"October",Pankaj!$J$13:$J$400,"Software")</f>
        <v>0</v>
      </c>
      <c r="AY133" s="1381">
        <f>SUMIFS(Pankaj!$N$13:$N$400,Pankaj!$P$13:$P$400,"November",Pankaj!$J$13:$J$400,"Sofwtare")</f>
        <v>0</v>
      </c>
      <c r="AZ133" s="1381">
        <f>SUMIFS(Pankaj!$N$13:$N$400,Pankaj!$P$13:$P$400,"December",Pankaj!$J$13:$J$400,"Software")</f>
        <v>0</v>
      </c>
    </row>
    <row r="134" spans="16:52" ht="18">
      <c r="Q134" s="922" t="s">
        <v>79</v>
      </c>
      <c r="R134" s="1381">
        <f>SUMIFS(Rahul!$N$13:$N$400,Rahul!$P$13:$P$400,"March",Rahul!$J$13:$J$400,"BD Charges")</f>
        <v>0</v>
      </c>
      <c r="S134" s="1381">
        <f>SUMIFS(Rahul!$N$13:$N$400,Rahul!$P$13:$P$400,"April",Rahul!$J$13:$J$400,"BD charges")</f>
        <v>0</v>
      </c>
      <c r="T134" s="1381">
        <f>SUMIFS(Rahul!$N$13:$N$400,Rahul!$P$13:$P$400,"May",Rahul!$J$13:$J$400,"CBD charges")</f>
        <v>0</v>
      </c>
      <c r="U134" s="1381">
        <f>SUMIFS(Rahul!$N$13:$N$400,Rahul!$P$13:$P$400,"June",Rahul!$J$13:$J$400,"BD charges")</f>
        <v>0</v>
      </c>
      <c r="V134" s="1381">
        <f>SUMIFS(Rahul!$N$13:$N$400,Rahul!$P$13:$P$400,"July",Rahul!$J$13:$J$400,"BD charges")</f>
        <v>76500</v>
      </c>
      <c r="W134" s="1381">
        <f>SUMIFS(Rahul!$N$13:$N$400,Rahul!$P$13:$P$400,"August",Rahul!$J$13:$J$400,"BD charges")</f>
        <v>31500</v>
      </c>
      <c r="X134" s="1381">
        <f>SUMIFS(Rahul!$N$13:$N$400,Rahul!$P$13:$P$400,"September",Rahul!$J$13:$J$400,"BD charges")</f>
        <v>105500</v>
      </c>
      <c r="Y134" s="1381">
        <f>SUMIFS(Rahul!$N$13:$N$400,Rahul!$P$13:$P$400,"October",Rahul!$J$13:$J$400,"BD charges")</f>
        <v>85500</v>
      </c>
      <c r="Z134" s="1381">
        <f>SUMIFS(Rahul!$N$13:$N$400,Rahul!$P$13:$P$400,"November",Rahul!$J$13:$J$400,"BD charges")</f>
        <v>89000</v>
      </c>
      <c r="AA134" s="1381">
        <f>SUMIFS(Rahul!$N$13:$N$400,Rahul!$P$13:$P$400,"December",Rahul!$J$13:$J$400,"BD charges")</f>
        <v>0</v>
      </c>
      <c r="AD134" s="922" t="s">
        <v>79</v>
      </c>
      <c r="AE134" s="1381">
        <f>SUMIFS(Sasi!$N$14:$N$403,Sasi!$P$14:$P$403,"April",Sasi!$J$14:$J$403,"BD charges")</f>
        <v>0</v>
      </c>
      <c r="AF134" s="1381">
        <f>SUMIFS(Sasi!$N$14:$N$403,Sasi!$P$14:$P$403,"May",Sasi!$J$14:$J$403,"BD charges")</f>
        <v>0</v>
      </c>
      <c r="AG134" s="1381">
        <f>SUMIFS(Sasi!$N$14:$N$403,Sasi!$P$14:$P$403,"June",Sasi!$J$14:$J$403,"BD charges")</f>
        <v>0</v>
      </c>
      <c r="AH134" s="1381">
        <f>SUMIFS(Sasi!$N$14:$N$403,Sasi!$P$14:$P$403,"July",Sasi!$J$14:$J$403,"BD charges")</f>
        <v>0</v>
      </c>
      <c r="AI134" s="1381">
        <f>SUMIFS(Sasi!$N$14:$N$403,Sasi!$P$14:$P$403,"August",Sasi!$J$14:$J$403,"BD charges")</f>
        <v>0</v>
      </c>
      <c r="AJ134" s="1381">
        <f>SUMIFS(Sasi!$N$14:$N$403,Sasi!$P$14:$P$403,"September",Sasi!$J$14:$J$403,"BD charges")</f>
        <v>0</v>
      </c>
      <c r="AK134" s="1381">
        <f>SUMIFS(Sasi!$N$14:$N$403,Sasi!$P$14:$P$403,"October",Sasi!$J$14:$J$403,"BD charges")</f>
        <v>0</v>
      </c>
      <c r="AL134" s="1381">
        <f>SUMIFS(Sasi!$N$14:$N$403,Sasi!$P$14:$P$403,"November",Sasi!$J$14:$J$403,"BD charges")</f>
        <v>0</v>
      </c>
      <c r="AM134" s="1381">
        <f>SUMIFS(Sasi!$N$14:$N$403,Sasi!$P$14:$P$403,"December",Sasi!$J$14:$J$403,"BD charges")</f>
        <v>0</v>
      </c>
      <c r="AP134" s="922" t="s">
        <v>79</v>
      </c>
      <c r="AQ134" s="1381">
        <f>SUMIFS(Pankaj!$N$13:$N$400,Pankaj!$P$13:$P$400,"March",Pankaj!$J$13:$J$400,"BD Charges")</f>
        <v>0</v>
      </c>
      <c r="AR134" s="1381">
        <f>SUMIFS(Pankaj!$N$13:$N$400,Pankaj!$P$13:$P$400,"April",Pankaj!$J$13:$J$400,"BD charges")</f>
        <v>0</v>
      </c>
      <c r="AS134" s="1381">
        <f>SUMIFS(Pankaj!$N$13:$N$400,Pankaj!$P$13:$P$400,"May",Pankaj!$J$13:$J$400,"BD charges")</f>
        <v>0</v>
      </c>
      <c r="AT134" s="1381">
        <f>SUMIFS(Pankaj!$N$13:$N$400,Pankaj!$P$13:$P$400,"June",Pankaj!$J$13:$J$400,"BD charges")</f>
        <v>0</v>
      </c>
      <c r="AU134" s="1381">
        <f>SUMIFS(Pankaj!$N$13:$N$400,Pankaj!$P$13:$P$400,"July",Pankaj!$J$13:$J$400,"BD charges")</f>
        <v>0</v>
      </c>
      <c r="AV134" s="1381">
        <f>SUMIFS(Pankaj!$N$13:$N$400,Pankaj!$P$13:$P$400,"August",Pankaj!$J$13:$J$400,"BD charges")</f>
        <v>0</v>
      </c>
      <c r="AW134" s="1381">
        <f>SUMIFS(Pankaj!$N$13:$N$400,Pankaj!$P$13:$P$400,"September",Pankaj!$J$13:$J$400,"BD charges")</f>
        <v>0</v>
      </c>
      <c r="AX134" s="1381">
        <f>SUMIFS(Pankaj!$N$13:$N$400,Pankaj!$P$13:$P$400,"October",Pankaj!$J$13:$J$400,"BD charges")</f>
        <v>0</v>
      </c>
      <c r="AY134" s="1381">
        <f>SUMIFS(Pankaj!$N$13:$N$400,Pankaj!$P$13:$P$400,"November",Pankaj!$J$13:$J$400,"BD charges")</f>
        <v>100000</v>
      </c>
      <c r="AZ134" s="1381">
        <f>SUMIFS(Pankaj!$N$13:$N$400,Pankaj!$P$13:$P$400,"December",Pankaj!$J$13:$J$400,"BD charges")</f>
        <v>0</v>
      </c>
    </row>
    <row r="135" spans="16:52" ht="18">
      <c r="Q135" s="922" t="s">
        <v>80</v>
      </c>
      <c r="R135" s="1381">
        <f>SUMIFS(Rahul!$N$13:$N$400,Rahul!$P$13:$P$400,"March",Rahul!$J$13:$J$400,"Retrofit kit")</f>
        <v>3570900</v>
      </c>
      <c r="S135" s="1381">
        <f>SUMIFS(Rahul!$N$13:$N$400,Rahul!$P$13:$P$400,"April",Rahul!$J$13:$J$400,"Retrofit kit")</f>
        <v>292500</v>
      </c>
      <c r="T135" s="1381">
        <f>SUMIFS(Rahul!$N$13:$N$400,Rahul!$P$13:$P$400,"May",Rahul!$J$13:$J$400,"Retrofit kit")</f>
        <v>0</v>
      </c>
      <c r="U135" s="1381">
        <f>SUMIFS(Rahul!$N$13:$N$400,Rahul!$P$13:$P$400,"June",Rahul!$J$13:$J$400,"Retrofit kit")</f>
        <v>0</v>
      </c>
      <c r="V135" s="1381">
        <f>SUMIFS(Rahul!$N$13:$N$400,Rahul!$P$13:$P$400,"July",Rahul!$J$13:$J$400,"Retrofit kit")</f>
        <v>0</v>
      </c>
      <c r="W135" s="1381">
        <f>SUMIFS(Rahul!$N$13:$N$400,Rahul!$P$13:$P$400,"August",Rahul!$J$13:$J$400,"Retrofit kit")</f>
        <v>390450</v>
      </c>
      <c r="X135" s="1381">
        <f>SUMIFS(Rahul!$N$13:$N$400,Rahul!$P$13:$P$400,"September",Rahul!$J$13:$J$400,"Retrofit kit")</f>
        <v>0</v>
      </c>
      <c r="Y135" s="1381">
        <f>SUMIFS(Rahul!$N$13:$N$400,Rahul!$P$13:$P$400,"October",Rahul!$J$13:$J$400,"Retrofit kit")</f>
        <v>0</v>
      </c>
      <c r="Z135" s="1381">
        <f>SUMIFS(Rahul!$N$13:$N$400,Rahul!$P$13:$P$400,"November",Rahul!$J$13:$J$400,"Retrofit kit")</f>
        <v>0</v>
      </c>
      <c r="AA135" s="1381">
        <f>SUMIFS(Rahul!$N$13:$N$400,Rahul!$P$13:$P$400,"December",Rahul!$J$13:$J$400,"Retrofit kit")</f>
        <v>0</v>
      </c>
      <c r="AD135" s="922" t="s">
        <v>80</v>
      </c>
      <c r="AE135" s="1381">
        <f>SUMIFS(Sasi!$N$14:$N$403,Sasi!$P$14:$P$403,"April",Sasi!$J$14:$J$403,"Retrofit kit")</f>
        <v>0</v>
      </c>
      <c r="AF135" s="1381">
        <f>SUMIFS(Sasi!$N$14:$N$403,Sasi!$P$14:$P$403,"May",Sasi!$J$14:$J$403,"Retrofit kit")</f>
        <v>0</v>
      </c>
      <c r="AG135" s="1381">
        <f>SUMIFS(Sasi!$N$14:$N$403,Sasi!$P$14:$P$403,"June",Sasi!$J$14:$J$403,"Retrofit kit")</f>
        <v>0</v>
      </c>
      <c r="AH135" s="1381">
        <f>SUMIFS(Sasi!$N$14:$N$403,Sasi!$P$14:$P$403,"July",Sasi!$J$14:$J$403,"Retrofit kit")</f>
        <v>0</v>
      </c>
      <c r="AI135" s="1381">
        <f>SUMIFS(Sasi!$N$14:$N$403,Sasi!$P$14:$P$403,"August",Sasi!$J$14:$J$403,"Retrofit kit")</f>
        <v>3286758</v>
      </c>
      <c r="AJ135" s="1381">
        <f>SUMIFS(Sasi!$N$14:$N$403,Sasi!$P$14:$P$403,"September",Sasi!$J$14:$J$403,"Retrofit kit")</f>
        <v>0</v>
      </c>
      <c r="AK135" s="1381">
        <f>SUMIFS(Sasi!$N$14:$N$403,Sasi!$P$14:$P$403,"October",Sasi!$J$14:$J$403,"Retrofit kit")</f>
        <v>0</v>
      </c>
      <c r="AL135" s="1381">
        <f>SUMIFS(Sasi!$N$14:$N$403,Sasi!$P$14:$P$403,"November",Sasi!$J$14:$J$403,"Retrofit kit")</f>
        <v>0</v>
      </c>
      <c r="AM135" s="1381">
        <f>SUMIFS(Sasi!$N$14:$N$403,Sasi!$P$14:$P$403,"December",Sasi!$J$14:$J$403,"Retrofit kit")</f>
        <v>0</v>
      </c>
      <c r="AP135" s="922" t="s">
        <v>80</v>
      </c>
      <c r="AQ135" s="1381">
        <f>SUMIFS(Pankaj!$N$13:$N$400,Pankaj!$P$13:$P$400,"March",Pankaj!$J$13:$J$400,"Retrofit kit")</f>
        <v>0</v>
      </c>
      <c r="AR135" s="1381">
        <f>SUMIFS(Pankaj!$N$13:$N$400,Pankaj!$P$13:$P$400,"April",Pankaj!$J$13:$J$400,"Retrofit kit")</f>
        <v>0</v>
      </c>
      <c r="AS135" s="1381">
        <f>SUMIFS(Pankaj!$N$13:$N$400,Pankaj!$P$13:$P$400,"May",Pankaj!$J$13:$J$400,"Retrofit kit")</f>
        <v>0</v>
      </c>
      <c r="AT135" s="1381">
        <f>SUMIFS(Pankaj!$N$13:$N$400,Pankaj!$P$13:$P$400,"June",Pankaj!$J$13:$J$400,"Retrofit kit")</f>
        <v>0</v>
      </c>
      <c r="AU135" s="1381">
        <f>SUMIFS(Pankaj!$N$13:$N$400,Pankaj!$P$13:$P$400,"July",Pankaj!$J$13:$J$400,"Retrofit kit")</f>
        <v>0</v>
      </c>
      <c r="AV135" s="1381">
        <f>SUMIFS(Pankaj!$N$13:$N$400,Pankaj!$P$13:$P$400,"August",Pankaj!$J$13:$J$400,"Retrofit kit")</f>
        <v>0</v>
      </c>
      <c r="AW135" s="1381">
        <f>SUMIFS(Pankaj!$N$13:$N$400,Pankaj!$P$13:$P$400,"September",Pankaj!$J$13:$J$400,"Retrofit kit")</f>
        <v>0</v>
      </c>
      <c r="AX135" s="1381">
        <f>SUMIFS(Pankaj!$N$13:$N$400,Pankaj!$P$13:$P$400,"October",Pankaj!$J$13:$J$400,"Retrofit kit")</f>
        <v>0</v>
      </c>
      <c r="AY135" s="1381">
        <f>SUMIFS(Pankaj!$N$13:$N$400,Pankaj!$P$13:$P$400,"November",Pankaj!$J$13:$J$400,"Retrofit kit")</f>
        <v>0</v>
      </c>
      <c r="AZ135" s="1381">
        <f>SUMIFS(Pankaj!$N$13:$N$400,Pankaj!$P$13:$P$400,"December",Pankaj!$J$13:$J$400,"Retrofit kit")</f>
        <v>0</v>
      </c>
    </row>
    <row r="136" spans="16:52" ht="18">
      <c r="Q136" s="922" t="s">
        <v>81</v>
      </c>
      <c r="R136" s="1381">
        <f>SUMIFS(Rahul!$N$13:$N$400,Rahul!$P$13:$P$400,"March",Rahul!$J$13:$J$400,"Upgrade kit")</f>
        <v>0</v>
      </c>
      <c r="S136" s="1381">
        <f>SUMIFS(Rahul!$N$13:$N$400,Rahul!$P$13:$P$400,"April",Rahul!$J$13:$J$400,"Upgrade kit")</f>
        <v>0</v>
      </c>
      <c r="T136" s="1381">
        <f>SUMIFS(Rahul!$N$13:$N$400,Rahul!$P$13:$P$400,"May",Rahul!$J$13:$J$400,"Upgrade kit")</f>
        <v>0</v>
      </c>
      <c r="U136" s="1381">
        <f>SUMIFS(Rahul!$N$13:$N$400,Rahul!$P$13:$P$400,"June",Rahul!$J$13:$J$400,"Upgrade kit")</f>
        <v>0</v>
      </c>
      <c r="V136" s="1381">
        <f>SUMIFS(Rahul!$N$13:$N$400,Rahul!$P$13:$P$400,"July",Rahul!$J$13:$J$400,"Upgrade kit")</f>
        <v>0</v>
      </c>
      <c r="W136" s="1381">
        <f>SUMIFS(Rahul!$N$13:$N$400,Rahul!$P$13:$P$400,"August",Rahul!$J$13:$J$400,"Upgrade kit")</f>
        <v>0</v>
      </c>
      <c r="X136" s="1381">
        <f>SUMIFS(Rahul!$N$13:$N$400,Rahul!$P$13:$P$400,"September",Rahul!$J$13:$J$400,"Upgrade kit")</f>
        <v>0</v>
      </c>
      <c r="Y136" s="1381">
        <f>SUMIFS(Rahul!$N$13:$N$400,Rahul!$P$13:$P$400,"October",Rahul!$J$13:$J$400,"Upgrade kit")</f>
        <v>0</v>
      </c>
      <c r="Z136" s="1381">
        <f>SUMIFS(Rahul!$N$13:$N$400,Rahul!$P$13:$P$400,"November",Rahul!$J$13:$J$400,"Upgrade kit")</f>
        <v>0</v>
      </c>
      <c r="AA136" s="1381">
        <f>SUMIFS(Rahul!$N$13:$N$400,Rahul!$P$13:$P$400,"December",Rahul!$J$13:$J$400,"Upgrade kit")</f>
        <v>0</v>
      </c>
      <c r="AD136" s="922" t="s">
        <v>81</v>
      </c>
      <c r="AE136" s="1381">
        <f>SUMIFS(Sasi!$N$14:$N$403,Sasi!$P$14:$P$403,"April",Sasi!$J$14:$J$403,"Upgrade kit")</f>
        <v>0</v>
      </c>
      <c r="AF136" s="1381">
        <f>SUMIFS(Sasi!$N$14:$N$403,Sasi!$P$14:$P$403,"May",Sasi!$J$14:$J$403,"Upgrade kit")</f>
        <v>0</v>
      </c>
      <c r="AG136" s="1381">
        <f>SUMIFS(Sasi!$N$14:$N$403,Sasi!$P$14:$P$403,"June",Sasi!$J$14:$J$403,"Upgrade kit")</f>
        <v>184605</v>
      </c>
      <c r="AH136" s="1381">
        <f>SUMIFS(Sasi!$N$14:$N$403,Sasi!$P$14:$P$403,"July",Sasi!$J$14:$J$403,"Upgrade kit")</f>
        <v>0</v>
      </c>
      <c r="AI136" s="1381">
        <f>SUMIFS(Sasi!$N$14:$N$403,Sasi!$P$14:$P$403,"August",Sasi!$J$14:$J$403,"Upgrade kit")</f>
        <v>0</v>
      </c>
      <c r="AJ136" s="1381">
        <f>SUMIFS(Sasi!$N$14:$N$403,Sasi!$P$14:$P$403,"September",Sasi!$J$14:$J$403,"Upgrade kit")</f>
        <v>0</v>
      </c>
      <c r="AK136" s="1381">
        <f>SUMIFS(Sasi!$N$14:$N$403,Sasi!$P$14:$P$403,"October",Sasi!$J$14:$J$403,"Upgrade kit")</f>
        <v>0</v>
      </c>
      <c r="AL136" s="1381">
        <f>SUMIFS(Sasi!$N$14:$N$403,Sasi!$P$14:$P$403,"November",Sasi!$J$14:$J$403,"Upgrade kit")</f>
        <v>0</v>
      </c>
      <c r="AM136" s="1381">
        <f>SUMIFS(Sasi!$N$14:$N$403,Sasi!$P$14:$P$403,"December",Sasi!$J$14:$J$403,"Upgrade kit")</f>
        <v>0</v>
      </c>
      <c r="AP136" s="922" t="s">
        <v>81</v>
      </c>
      <c r="AQ136" s="1381">
        <f>SUMIFS(Pankaj!$N$13:$N$400,Pankaj!$P$13:$P$400,"March",Pankaj!$J$13:$J$400,"Upgrade kit")</f>
        <v>0</v>
      </c>
      <c r="AR136" s="1381">
        <f>SUMIFS(Pankaj!$N$13:$N$400,Pankaj!$P$13:$P$400,"April",Pankaj!$J$13:$J$400,"Upgrade kit")</f>
        <v>0</v>
      </c>
      <c r="AS136" s="1381">
        <f>SUMIFS(Pankaj!$N$13:$N$400,Pankaj!$P$13:$P$400,"May",Pankaj!$J$13:$J$400,"Upgrade kit")</f>
        <v>0</v>
      </c>
      <c r="AT136" s="1381">
        <f>SUMIFS(Pankaj!$N$13:$N$400,Pankaj!$P$13:$P$400,"June",Pankaj!$J$13:$J$400,"Upgrade kit")</f>
        <v>0</v>
      </c>
      <c r="AU136" s="1381">
        <f>SUMIFS(Pankaj!$N$13:$N$400,Pankaj!$P$13:$P$400,"July",Pankaj!$J$13:$J$400,"Upgrade kit")</f>
        <v>0</v>
      </c>
      <c r="AV136" s="1381">
        <f>SUMIFS(Pankaj!$N$13:$N$400,Pankaj!$P$13:$P$400,"August",Pankaj!$J$13:$J$400,"Upgrade kit")</f>
        <v>0</v>
      </c>
      <c r="AW136" s="1381">
        <f>SUMIFS(Pankaj!$N$13:$N$400,Pankaj!$P$13:$P$400,"September",Pankaj!$J$13:$J$400,"Upgrade kit")</f>
        <v>0</v>
      </c>
      <c r="AX136" s="1381">
        <f>SUMIFS(Pankaj!$N$13:$N$400,Pankaj!$P$13:$P$400,"October",Pankaj!$J$13:$J$400,"Upgrade kit")</f>
        <v>0</v>
      </c>
      <c r="AY136" s="1381">
        <f>SUMIFS(Pankaj!$N$13:$N$400,Pankaj!$P$13:$P$400,"November",Pankaj!$J$13:$J$400,"Upgrade kit")</f>
        <v>0</v>
      </c>
      <c r="AZ136" s="1381">
        <f>SUMIFS(Pankaj!$N$13:$N$400,Pankaj!$P$13:$P$400,"December",Pankaj!$J$13:$J$400,"Upgrade kit")</f>
        <v>0</v>
      </c>
    </row>
    <row r="137" spans="16:52" ht="18">
      <c r="Q137" s="922" t="s">
        <v>82</v>
      </c>
      <c r="R137" s="1381">
        <f>SUMIFS(Rahul!$N$13:$N$400,Rahul!$P$13:$P$400,"March",Rahul!$J$13:$J$400,"Training")</f>
        <v>0</v>
      </c>
      <c r="S137" s="1381">
        <f>SUMIFS(Rahul!$N$13:$N$400,Rahul!$P$13:$P$400,"April",Rahul!$J$13:$J$400,"Training")</f>
        <v>0</v>
      </c>
      <c r="T137" s="1381">
        <f>SUMIFS(Rahul!$N$13:$N$400,Rahul!$P$13:$P$400,"May",Rahul!$J$13:$J$400,"Training")</f>
        <v>0</v>
      </c>
      <c r="U137" s="1381">
        <f>SUMIFS(Rahul!$N$13:$N$400,Rahul!$P$13:$P$400,"June",Rahul!$J$13:$J$400,"Training")</f>
        <v>0</v>
      </c>
      <c r="V137" s="1381">
        <f>SUMIFS(Rahul!$N$13:$N$400,Rahul!$P$13:$P$400,"July",Rahul!$J$13:$J$400,"Training")</f>
        <v>0</v>
      </c>
      <c r="W137" s="1381">
        <f>SUMIFS(Rahul!$N$13:$N$400,Rahul!$P$13:$P$400,"August",Rahul!$J$13:$J$400,"Training")</f>
        <v>0</v>
      </c>
      <c r="X137" s="1381">
        <f>SUMIFS(Rahul!$N$13:$N$400,Rahul!$P$13:$P$400,"September",Rahul!$J$13:$J$400,"Training")</f>
        <v>0</v>
      </c>
      <c r="Y137" s="1381">
        <f>SUMIFS(Rahul!$N$13:$N$400,Rahul!$P$13:$P$400,"October",Rahul!$J$13:$J$400,"Training")</f>
        <v>0</v>
      </c>
      <c r="Z137" s="1381">
        <f>SUMIFS(Rahul!$N$13:$N$400,Rahul!$P$13:$P$400,"November",Rahul!$J$13:$J$400,"Training")</f>
        <v>0</v>
      </c>
      <c r="AA137" s="1381">
        <f>SUMIFS(Rahul!$N$13:$N$400,Rahul!$P$13:$P$400,"December",Rahul!$J$13:$J$400,"Training")</f>
        <v>0</v>
      </c>
      <c r="AD137" s="922" t="s">
        <v>82</v>
      </c>
      <c r="AE137" s="1381">
        <f>SUMIFS(Sasi!$N$14:$N$403,Sasi!$P$14:$P$403,"April",Sasi!$J$14:$J$403,"Training")</f>
        <v>0</v>
      </c>
      <c r="AF137" s="1381">
        <f>SUMIFS(Sasi!$N$14:$N$403,Sasi!$P$14:$P$403,"May",Sasi!$J$14:$J$403,"Training")</f>
        <v>0</v>
      </c>
      <c r="AG137" s="1381">
        <f>SUMIFS(Sasi!$N$14:$N$403,Sasi!$P$14:$P$403,"June",Sasi!$J$14:$J$403,"Training")</f>
        <v>0</v>
      </c>
      <c r="AH137" s="1381">
        <f>SUMIFS(Sasi!$N$14:$N$403,Sasi!$P$14:$P$403,"July",Sasi!$J$14:$J$403,"Training")</f>
        <v>0</v>
      </c>
      <c r="AI137" s="1381">
        <f>SUMIFS(Sasi!$N$14:$N$403,Sasi!$P$14:$P$403,"August",Sasi!$J$14:$J$403,"Training")</f>
        <v>0</v>
      </c>
      <c r="AJ137" s="1381">
        <f>SUMIFS(Sasi!$N$14:$N$403,Sasi!$P$14:$P$403,"September",Sasi!$J$14:$J$403,"Training")</f>
        <v>0</v>
      </c>
      <c r="AK137" s="1381">
        <f>SUMIFS(Sasi!$N$14:$N$403,Sasi!$P$14:$P$403,"October",Sasi!$J$14:$J$403,"Training")</f>
        <v>0</v>
      </c>
      <c r="AL137" s="1381">
        <f>SUMIFS(Sasi!$N$14:$N$403,Sasi!$P$14:$P$403,"November",Sasi!$J$14:$J$403,"Training")</f>
        <v>0</v>
      </c>
      <c r="AM137" s="1381">
        <f>SUMIFS(Sasi!$N$14:$N$403,Sasi!$P$14:$P$403,"December",Sasi!$J$14:$J$403,"Training")</f>
        <v>0</v>
      </c>
      <c r="AP137" s="922" t="s">
        <v>82</v>
      </c>
      <c r="AQ137" s="1381">
        <f>SUMIFS(Pankaj!$N$13:$N$400,Pankaj!$P$13:$P$400,"March",Pankaj!$J$13:$J$400,"Training")</f>
        <v>0</v>
      </c>
      <c r="AR137" s="1381">
        <f>SUMIFS(Pankaj!$N$13:$N$400,Pankaj!$P$13:$P$400,"April",Pankaj!$J$13:$J$400,"Training")</f>
        <v>0</v>
      </c>
      <c r="AS137" s="1381">
        <f>SUMIFS(Pankaj!$N$13:$N$400,Pankaj!$P$13:$P$400,"May",Pankaj!$J$13:$J$400,"Training")</f>
        <v>0</v>
      </c>
      <c r="AT137" s="1381">
        <f>SUMIFS(Pankaj!$N$13:$N$400,Pankaj!$P$13:$P$400,"June",Pankaj!$J$13:$J$400,"Training")</f>
        <v>0</v>
      </c>
      <c r="AU137" s="1381">
        <f>SUMIFS(Pankaj!$N$13:$N$400,Pankaj!$P$13:$P$400,"July",Pankaj!$J$13:$J$400,"Training")</f>
        <v>0</v>
      </c>
      <c r="AV137" s="1381">
        <f>SUMIFS(Pankaj!$N$13:$N$400,Pankaj!$P$13:$P$400,"August",Pankaj!$J$13:$J$400,"Training")</f>
        <v>0</v>
      </c>
      <c r="AW137" s="1381">
        <f>SUMIFS(Pankaj!$N$13:$N$400,Pankaj!$P$13:$P$400,"September",Pankaj!$J$13:$J$400,"Training")</f>
        <v>0</v>
      </c>
      <c r="AX137" s="1381">
        <f>SUMIFS(Pankaj!$N$13:$N$400,Pankaj!$P$13:$P$400,"October",Pankaj!$J$13:$J$400,"Training")</f>
        <v>0</v>
      </c>
      <c r="AY137" s="1381">
        <f>SUMIFS(Pankaj!$N$13:$N$400,Pankaj!$P$13:$P$400,"November",Pankaj!$J$13:$J$400,"Training")</f>
        <v>0</v>
      </c>
      <c r="AZ137" s="1381">
        <f>SUMIFS(Pankaj!$N$13:$N$400,Pankaj!$P$13:$P$400,"December",Pankaj!$J$13:$J$400,"Training")</f>
        <v>0</v>
      </c>
    </row>
    <row r="138" spans="16:52" ht="18">
      <c r="Q138" s="922" t="s">
        <v>83</v>
      </c>
      <c r="R138" s="1381">
        <f>SUMIFS(Rahul!$N$13:$N$400,Rahul!$P$13:$P$400,"March",Rahul!$J$13:$J$400,"Midlife upgrade")</f>
        <v>610160</v>
      </c>
      <c r="S138" s="1381">
        <f>SUMIFS(Rahul!$N$13:$N$400,Rahul!$P$13:$P$400,"April",Rahul!$J$13:$J$400,"Midlife upgrade")</f>
        <v>2322990</v>
      </c>
      <c r="T138" s="1381">
        <f>SUMIFS(Rahul!$N$13:$N$400,Rahul!$P$13:$P$400,"May",Rahul!$J$13:$J$400,"Midlife upgrade")</f>
        <v>5183082</v>
      </c>
      <c r="U138" s="1381">
        <f>SUMIFS(Rahul!$N$13:$N$400,Rahul!$P$13:$P$400,"June",Rahul!$J$13:$J$400,"Midlife upgrade")</f>
        <v>2907808</v>
      </c>
      <c r="V138" s="1381">
        <f>SUMIFS(Rahul!$N$13:$N$400,Rahul!$P$13:$P$400,"July",Rahul!$J$13:$J$400,"Midlife upgrade")</f>
        <v>839270</v>
      </c>
      <c r="W138" s="1381">
        <f>SUMIFS(Rahul!$N$13:$N$400,Rahul!$P$13:$P$400,"August",Rahul!$J$13:$J$400,"Midlife upgrade")</f>
        <v>0</v>
      </c>
      <c r="X138" s="1381">
        <f>SUMIFS(Rahul!$N$13:$N$400,Rahul!$P$13:$P$400,"September",Rahul!$J$13:$J$400,"Midlife upgrade")</f>
        <v>185748</v>
      </c>
      <c r="Y138" s="1381">
        <f>SUMIFS(Rahul!$N$13:$N$400,Rahul!$P$13:$P$400,"October",Rahul!$J$13:$J$400,"Midlife upgrade")</f>
        <v>0</v>
      </c>
      <c r="Z138" s="1381">
        <f>SUMIFS(Rahul!$N$13:$N$400,Rahul!$P$13:$P$400,"November",Rahul!$J$13:$J$400,"Midlife upgrade")</f>
        <v>6150762</v>
      </c>
      <c r="AA138" s="1381">
        <f>SUMIFS(Rahul!$N$13:$N$400,Rahul!$P$13:$P$400,"December",Rahul!$J$13:$J$400,"Midlife upgrade")</f>
        <v>2687908</v>
      </c>
      <c r="AD138" s="922" t="s">
        <v>83</v>
      </c>
      <c r="AE138" s="1381">
        <f>SUMIFS(Sasi!$N$14:$N$403,Sasi!$P$14:$P$403,"April",Sasi!$J$14:$J$403,"Midlife Upgrade")</f>
        <v>1412161.7</v>
      </c>
      <c r="AF138" s="1381">
        <f>SUMIFS(Sasi!$N$14:$N$403,Sasi!$P$14:$P$403,"May",Sasi!$J$14:$J$403,"Midlife Upgrade")</f>
        <v>0</v>
      </c>
      <c r="AG138" s="1381">
        <f>SUMIFS(Sasi!$N$14:$N$403,Sasi!$P$14:$P$403,"June",Sasi!$J$14:$J$403,"Midlife Upgrade")</f>
        <v>0</v>
      </c>
      <c r="AH138" s="1381">
        <f>SUMIFS(Sasi!$N$14:$N$403,Sasi!$P$14:$P$403,"July",Sasi!$J$14:$J$403,"Midlife Upgrade")</f>
        <v>0</v>
      </c>
      <c r="AI138" s="1381">
        <f>SUMIFS(Sasi!$N$14:$N$403,Sasi!$P$14:$P$403,"August",Sasi!$J$14:$J$403,"Midlife Upgrade")</f>
        <v>0</v>
      </c>
      <c r="AJ138" s="1381">
        <f>SUMIFS(Sasi!$N$14:$N$403,Sasi!$P$14:$P$403,"September",Sasi!$J$14:$J$403,"Midlife Upgrade")</f>
        <v>575180</v>
      </c>
      <c r="AK138" s="1381">
        <f>SUMIFS(Sasi!$N$14:$N$403,Sasi!$P$14:$P$403,"October",Sasi!$J$14:$J$403,"Midlife Upgrade")</f>
        <v>0</v>
      </c>
      <c r="AL138" s="1381">
        <f>SUMIFS(Sasi!$N$14:$N$403,Sasi!$P$14:$P$403,"November",Sasi!$J$14:$J$403,"Midlife Upgrade")</f>
        <v>1717814</v>
      </c>
      <c r="AM138" s="1381">
        <f>SUMIFS(Sasi!$N$14:$N$403,Sasi!$P$14:$P$403,"December",Sasi!$J$14:$J$403,"Midlife Upgrade")</f>
        <v>0</v>
      </c>
      <c r="AP138" s="922" t="s">
        <v>83</v>
      </c>
      <c r="AQ138" s="1381">
        <f>SUMIFS(Pankaj!$N$13:$N$400,Pankaj!$P$13:$P$400,"March",Pankaj!$J$13:$J$400,"Midlife Upgrade")</f>
        <v>0</v>
      </c>
      <c r="AR138" s="1381">
        <f>SUMIFS(Pankaj!$N$13:$N$400,Pankaj!$P$13:$P$400,"April",Pankaj!$J$13:$J$400,"Midlife Upgrade")</f>
        <v>0</v>
      </c>
      <c r="AS138" s="1381">
        <f>SUMIFS(Pankaj!$N$13:$N$400,Pankaj!$P$13:$P$400,"May",Pankaj!$J$13:$J$400,"Midlife Upgrade")</f>
        <v>0</v>
      </c>
      <c r="AT138" s="1381">
        <f>SUMIFS(Pankaj!$N$13:$N$400,Pankaj!$P$13:$P$400,"June",Pankaj!$J$13:$J$400,"Midlife Upgrade")</f>
        <v>0</v>
      </c>
      <c r="AU138" s="1381">
        <f>SUMIFS(Pankaj!$N$13:$N$400,Pankaj!$P$13:$P$400,"July",Pankaj!$J$13:$J$400,"Midlife Upgrade")</f>
        <v>0</v>
      </c>
      <c r="AV138" s="1381">
        <f>SUMIFS(Pankaj!$N$13:$N$400,Pankaj!$P$13:$P$400,"August",Pankaj!$J$13:$J$400,"Midlife Upgrade")</f>
        <v>0</v>
      </c>
      <c r="AW138" s="1381">
        <f>SUMIFS(Pankaj!$N$13:$N$400,Pankaj!$P$13:$P$400,"September",Pankaj!$J$13:$J$400,"Midlife Upgrade")</f>
        <v>0</v>
      </c>
      <c r="AX138" s="1381">
        <f>SUMIFS(Pankaj!$N$13:$N$400,Pankaj!$P$13:$P$400,"October",Pankaj!$J$13:$J$400,"Midlife Upgrade")</f>
        <v>0</v>
      </c>
      <c r="AY138" s="1381">
        <f>SUMIFS(Pankaj!$N$13:$N$400,Pankaj!$P$13:$P$400,"November",Pankaj!$J$13:$J$400,"Midlife Upgrade")</f>
        <v>0</v>
      </c>
      <c r="AZ138" s="1381">
        <f>SUMIFS(Pankaj!$N$13:$N$400,Pankaj!$P$13:$P$400,"December",Pankaj!$J$13:$J$400,"Midlife Upgrade")</f>
        <v>0</v>
      </c>
    </row>
    <row r="140" spans="16:52">
      <c r="P140" s="1383" t="s">
        <v>71</v>
      </c>
      <c r="Q140" s="932" t="s">
        <v>36</v>
      </c>
      <c r="R140" s="932">
        <f>SUM(R142:R151)</f>
        <v>405650</v>
      </c>
      <c r="S140" s="932">
        <f t="shared" ref="S140:AA140" si="52">SUM(S142:S151)</f>
        <v>2936340</v>
      </c>
      <c r="T140" s="932">
        <f t="shared" si="52"/>
        <v>2524790</v>
      </c>
      <c r="U140" s="932">
        <f t="shared" si="52"/>
        <v>2174860</v>
      </c>
      <c r="V140" s="932">
        <f t="shared" si="52"/>
        <v>129000</v>
      </c>
      <c r="W140" s="932">
        <f t="shared" si="52"/>
        <v>4429476</v>
      </c>
      <c r="X140" s="932">
        <f t="shared" si="52"/>
        <v>2696450</v>
      </c>
      <c r="Y140" s="932">
        <f t="shared" si="52"/>
        <v>2755540</v>
      </c>
      <c r="Z140" s="932">
        <f t="shared" si="52"/>
        <v>1000130</v>
      </c>
      <c r="AA140" s="932">
        <f t="shared" si="52"/>
        <v>3204850</v>
      </c>
    </row>
    <row r="141" spans="16:52" ht="18">
      <c r="Q141" s="921" t="s">
        <v>67</v>
      </c>
      <c r="R141" s="625" t="s">
        <v>25</v>
      </c>
      <c r="S141" s="625" t="s">
        <v>28</v>
      </c>
      <c r="T141" s="625" t="s">
        <v>30</v>
      </c>
      <c r="U141" s="625" t="s">
        <v>34</v>
      </c>
      <c r="V141" s="625" t="s">
        <v>37</v>
      </c>
      <c r="W141" s="625" t="s">
        <v>39</v>
      </c>
      <c r="X141" s="625" t="s">
        <v>44</v>
      </c>
      <c r="Y141" s="625" t="s">
        <v>97</v>
      </c>
      <c r="Z141" s="625" t="s">
        <v>49</v>
      </c>
      <c r="AA141" s="625" t="s">
        <v>62</v>
      </c>
    </row>
    <row r="142" spans="16:52" ht="18">
      <c r="Q142" s="922" t="s">
        <v>73</v>
      </c>
      <c r="R142" s="1381">
        <f>SUMIFS(Minesh!$N$13:$N$401,Minesh!$P$13:$P$401,"March",Minesh!$J$13:$J$401,"Contract")</f>
        <v>52000</v>
      </c>
      <c r="S142" s="1381">
        <f>SUMIFS(Minesh!$N$13:$N$401,Minesh!$P$13:$P$401,"April",Minesh!$J$13:$J$401,"Contract")</f>
        <v>2310700</v>
      </c>
      <c r="T142" s="1381">
        <f>SUMIFS(Minesh!$N$13:$N$401,Minesh!$P$13:$P$401,"May",Minesh!$J$13:$J$401,"Contract")</f>
        <v>486000</v>
      </c>
      <c r="U142" s="1381">
        <f>SUMIFS(Minesh!$N$13:$N$401,Minesh!$P$13:$P$401,"June",Minesh!$J$13:$J$401,"Contract")</f>
        <v>1028880</v>
      </c>
      <c r="V142" s="1381">
        <f>SUMIFS(Minesh!$N$13:$N$401,Minesh!$P$13:$P$401,"July",Minesh!$J$13:$J$401,"Contract")</f>
        <v>55000</v>
      </c>
      <c r="W142" s="1381">
        <f>SUMIFS(Minesh!$N$13:$N$401,Minesh!$P$13:$P$401,"August",Minesh!$J$13:$J$401,"Contract")</f>
        <v>0</v>
      </c>
      <c r="X142" s="1381">
        <f>SUMIFS(Minesh!$N$13:$N$401,Minesh!$P$13:$P$401,"September",Minesh!$J$13:$J$401,"Contract")</f>
        <v>393150</v>
      </c>
      <c r="Y142" s="1381">
        <f>SUMIFS(Minesh!$N$13:$N$401,Minesh!$P$13:$P$401,"October",Minesh!$J$13:$J$401,"Contract")</f>
        <v>316560</v>
      </c>
      <c r="Z142" s="1381">
        <f>SUMIFS(Minesh!$N$13:$N$401,Minesh!$P$13:$P$401,"November",Minesh!$J$13:$J$401,"Contract")</f>
        <v>0</v>
      </c>
      <c r="AA142" s="1381">
        <f>SUMIFS(Minesh!$N$13:$N$401,Minesh!$P$13:$P$401,"December",Minesh!$J$13:$J$401,"Contract")</f>
        <v>2261750</v>
      </c>
    </row>
    <row r="143" spans="16:52" ht="18">
      <c r="Q143" s="922" t="s">
        <v>74</v>
      </c>
      <c r="R143" s="1381">
        <f>SUMIFS(Minesh!$N$13:$N$401,Minesh!$P$13:$P$401,"March",Minesh!$J$13:$J$401,"BD Spare")</f>
        <v>0</v>
      </c>
      <c r="S143" s="1381">
        <f>SUMIFS(Minesh!$N$13:$N$401,Minesh!$P$13:$P$401,"April",Minesh!$J$13:$J$401,"BD Spare")</f>
        <v>0</v>
      </c>
      <c r="T143" s="1381">
        <f>SUMIFS(Minesh!$N$13:$N$401,Minesh!$P$13:$P$401,"May",Minesh!$J$13:$J$401,"BD Spare")</f>
        <v>0</v>
      </c>
      <c r="U143" s="1381">
        <f>SUMIFS(Minesh!$N$13:$N$401,Minesh!$P$13:$P$401,"June",Minesh!$J$13:$J$401,"BD Spare")</f>
        <v>243600</v>
      </c>
      <c r="V143" s="1381">
        <f>SUMIFS(Minesh!$N$13:$N$401,Minesh!$P$13:$P$401,"July",Minesh!$J$13:$J$401,"BD Spare")</f>
        <v>0</v>
      </c>
      <c r="W143" s="1381">
        <f>SUMIFS(Minesh!$N$13:$N$401,Minesh!$P$13:$P$401,"August",Minesh!$J$13:$J$401,"BD Spare")</f>
        <v>0</v>
      </c>
      <c r="X143" s="1381">
        <f>SUMIFS(Minesh!$N$13:$N$401,Minesh!$P$13:$P$401,"September",Minesh!$J$13:$J$401,"BD Spare")</f>
        <v>658000</v>
      </c>
      <c r="Y143" s="1381">
        <f>SUMIFS(Minesh!$N$13:$N$401,Minesh!$P$13:$P$401,"October",Minesh!$J$13:$J$401,"BD Spare")</f>
        <v>592600</v>
      </c>
      <c r="Z143" s="1381">
        <f>SUMIFS(Minesh!$N$13:$N$401,Minesh!$P$13:$P$401,"November",Minesh!$J$13:$J$401,"BD Spare")</f>
        <v>0</v>
      </c>
      <c r="AA143" s="1381">
        <f>SUMIFS(Minesh!$N$13:$N$401,Minesh!$P$13:$P$401,"December",Minesh!$J$13:$J$401,"BD Spare")</f>
        <v>423800</v>
      </c>
    </row>
    <row r="144" spans="16:52" ht="18">
      <c r="Q144" s="922" t="s">
        <v>75</v>
      </c>
      <c r="R144" s="1381">
        <f>SUMIFS(Minesh!$N$13:$N$401,Minesh!$P$13:$P$401,"March",Minesh!$J$13:$J$401,"SPP")</f>
        <v>353650</v>
      </c>
      <c r="S144" s="1381">
        <f>SUMIFS(Minesh!$N$13:$N$401,Minesh!$P$13:$P$401,"April",Minesh!$J$13:$J$401,"SPP")</f>
        <v>625640</v>
      </c>
      <c r="T144" s="1381">
        <f>SUMIFS(Minesh!$N$13:$N$401,Minesh!$P$13:$P$401,"May",Minesh!$J$13:$J$401,"SPP")</f>
        <v>1343820</v>
      </c>
      <c r="U144" s="1381">
        <f>SUMIFS(Minesh!$N$13:$N$401,Minesh!$P$13:$P$401,"June",Minesh!$J$13:$J$401,"SPP")</f>
        <v>722380</v>
      </c>
      <c r="V144" s="1381">
        <f>SUMIFS(Minesh!$N$13:$N$401,Minesh!$P$13:$P$401,"July",Minesh!$J$13:$J$401,"SPP")</f>
        <v>74000</v>
      </c>
      <c r="W144" s="1381">
        <f>SUMIFS(Minesh!$N$13:$N$401,Minesh!$P$13:$P$401,"August",Minesh!$J$13:$J$401,"SPP")</f>
        <v>4429476</v>
      </c>
      <c r="X144" s="1381">
        <f>SUMIFS(Minesh!$N$13:$N$401,Minesh!$P$13:$P$401,"September",Minesh!$J$13:$J$401,"SPP")</f>
        <v>1625800</v>
      </c>
      <c r="Y144" s="1381">
        <f>SUMIFS(Minesh!$N$13:$N$401,Minesh!$P$13:$P$401,"October",Minesh!$J$13:$J$401,"SPP")</f>
        <v>1826880</v>
      </c>
      <c r="Z144" s="1381">
        <f>SUMIFS(Minesh!$N$13:$N$401,Minesh!$P$13:$P$401,"November",Minesh!$J$13:$J$401,"SPP")</f>
        <v>754530</v>
      </c>
      <c r="AA144" s="1381">
        <f>SUMIFS(Minesh!$N$13:$N$401,Minesh!$P$13:$P$401,"December",Minesh!$J$13:$J$401,"SPP")</f>
        <v>519300</v>
      </c>
    </row>
    <row r="145" spans="17:51" ht="18">
      <c r="Q145" s="922" t="s">
        <v>77</v>
      </c>
      <c r="R145" s="1381">
        <f>SUMIFS(Minesh!$N$13:$N$401,Minesh!$P$13:$P$401,"March",Minesh!$J$13:$J$401,"Relocation")</f>
        <v>0</v>
      </c>
      <c r="S145" s="1381">
        <f>SUMIFS(Minesh!$N$13:$N$401,Minesh!$P$13:$P$401,"April",Minesh!$J$13:$J$401,"Relocation")</f>
        <v>0</v>
      </c>
      <c r="T145" s="1381">
        <f>SUMIFS(Minesh!$N$13:$N$401,Minesh!$P$13:$P$401,"May",Minesh!$J$13:$J$401,"Relocation")</f>
        <v>0</v>
      </c>
      <c r="U145" s="1381">
        <f>SUMIFS(Minesh!$N$13:$N$401,Minesh!$P$13:$P$401,"June",Minesh!$J$13:$J$401,"Relocation")</f>
        <v>180000</v>
      </c>
      <c r="V145" s="1381">
        <f>SUMIFS(Minesh!$N$13:$N$401,Minesh!$P$13:$P$401,"July",Minesh!$J$13:$J$401,"Relocation")</f>
        <v>0</v>
      </c>
      <c r="W145" s="1381">
        <f>SUMIFS(Minesh!$N$13:$N$401,Minesh!$P$13:$P$401,"August",Minesh!$J$13:$J$401,"Relocation")</f>
        <v>0</v>
      </c>
      <c r="X145" s="1381">
        <f>SUMIFS(Minesh!$N$13:$N$401,Minesh!$P$13:$P$401,"Spetember",Minesh!$J$13:$J$401,"Relocation")</f>
        <v>0</v>
      </c>
      <c r="Y145" s="1381">
        <f>SUMIFS(Minesh!$N$13:$N$401,Minesh!$P$13:$P$401,"October",Minesh!$J$13:$J$401,"Relocation")</f>
        <v>0</v>
      </c>
      <c r="Z145" s="1381">
        <f>SUMIFS(Minesh!$N$13:$N$401,Minesh!$P$13:$P$401,"November",Minesh!$J$13:$J$401,"Relocation")</f>
        <v>245600</v>
      </c>
      <c r="AA145" s="1381">
        <f>SUMIFS(Minesh!$N$13:$N$401,Minesh!$P$13:$P$401,"December",Minesh!$J$13:$J$401,"Relocation")</f>
        <v>0</v>
      </c>
    </row>
    <row r="146" spans="17:51" ht="18">
      <c r="Q146" s="922" t="s">
        <v>78</v>
      </c>
      <c r="R146" s="1381">
        <f>SUMIFS(Minesh!$N$13:$N$401,Minesh!$P$13:$P$401,"March",Minesh!$J$13:$J$401,"Software")</f>
        <v>0</v>
      </c>
      <c r="S146" s="1381">
        <f>SUMIFS(Minesh!$N$13:$N$401,Minesh!$P$13:$P$401,"April",Minesh!$J$13:$J$401,"Software")</f>
        <v>0</v>
      </c>
      <c r="T146" s="1381">
        <f>SUMIFS(Minesh!$N$13:$N$401,Minesh!$P$13:$P$401,"May",Minesh!$J$13:$J$401,"Software")</f>
        <v>0</v>
      </c>
      <c r="U146" s="1381">
        <f>SUMIFS(Minesh!$N$13:$N$401,Minesh!$P$13:$P$401,"June",Minesh!$J$13:$J$401,"Software")</f>
        <v>0</v>
      </c>
      <c r="V146" s="1381">
        <f>SUMIFS(Minesh!$N$13:$N$401,Minesh!$P$13:$P$401,"July",Minesh!$J$13:$J$401,"Software")</f>
        <v>0</v>
      </c>
      <c r="W146" s="1381">
        <f>SUMIFS(Minesh!$N$13:$N$401,Minesh!$P$13:$P$401,"August",Minesh!$J$13:$J$401,"Software")</f>
        <v>0</v>
      </c>
      <c r="X146" s="1381">
        <f>SUMIFS(Minesh!$N$13:$N$401,Minesh!$P$13:$P$401,"September",Minesh!$J$13:$J$401,"Software")</f>
        <v>0</v>
      </c>
      <c r="Y146" s="1381">
        <f>SUMIFS(Minesh!$N$13:$N$401,Minesh!$P$13:$P$401,"October",Minesh!$J$13:$J$401,"Software")</f>
        <v>0</v>
      </c>
      <c r="Z146" s="1381">
        <f>SUMIFS(Minesh!$N$13:$N$401,Minesh!$P$13:$P$401,"November",Minesh!$J$13:$J$401,"Software")</f>
        <v>0</v>
      </c>
      <c r="AA146" s="1381">
        <f>SUMIFS(Minesh!$N$13:$N$401,Minesh!$P$13:$P$401,"December",Minesh!$J$13:$J$401,"Software")</f>
        <v>0</v>
      </c>
    </row>
    <row r="147" spans="17:51" ht="18">
      <c r="Q147" s="922" t="s">
        <v>79</v>
      </c>
      <c r="R147" s="1381">
        <f>SUMIFS(Minesh!$N$13:$N$401,Minesh!$P$13:$P$401,"March",Minesh!$J$13:$J$401,"BD Charges")</f>
        <v>0</v>
      </c>
      <c r="S147" s="1381">
        <f>SUMIFS(Minesh!$N$13:$N$401,Minesh!$P$13:$P$401,"April",Minesh!$J$13:$J$401,"BD charges")</f>
        <v>0</v>
      </c>
      <c r="T147" s="1381">
        <f>SUMIFS(Minesh!$N$13:$N$401,Minesh!$P$13:$P$401,"May",Minesh!$J$13:$J$401,"CBD charges")</f>
        <v>0</v>
      </c>
      <c r="U147" s="1381">
        <f>SUMIFS(Minesh!$N$13:$N$401,Minesh!$P$13:$P$401,"June",Minesh!$J$13:$J$401,"BD charges")</f>
        <v>0</v>
      </c>
      <c r="V147" s="1381">
        <f>SUMIFS(Minesh!$N$13:$N$401,Minesh!$P$13:$P$401,"July",Minesh!$J$13:$J$401,"BD charges")</f>
        <v>0</v>
      </c>
      <c r="W147" s="1381">
        <f>SUMIFS(Minesh!$N$13:$N$401,Minesh!$P$13:$P$401,"August",Minesh!$J$13:$J$401,"BD charges")</f>
        <v>0</v>
      </c>
      <c r="X147" s="1381">
        <f>SUMIFS(Minesh!$N$13:$N$401,Minesh!$P$13:$P$401,"September",Minesh!$J$13:$J$401,"BD charges")</f>
        <v>19500</v>
      </c>
      <c r="Y147" s="1381">
        <f>SUMIFS(Minesh!$N$13:$N$401,Minesh!$P$13:$P$401,"October",Minesh!$J$13:$J$401,"BD charges")</f>
        <v>19500</v>
      </c>
      <c r="Z147" s="1381">
        <f>SUMIFS(Minesh!$N$13:$N$401,Minesh!$P$13:$P$401,"November",Minesh!$J$13:$J$401,"BD charges")</f>
        <v>0</v>
      </c>
      <c r="AA147" s="1381">
        <f>SUMIFS(Minesh!$N$13:$N$401,Minesh!$P$13:$P$401,"December",Minesh!$J$13:$J$401,"BD charges")</f>
        <v>0</v>
      </c>
    </row>
    <row r="148" spans="17:51" ht="18">
      <c r="Q148" s="922" t="s">
        <v>80</v>
      </c>
      <c r="R148" s="1381">
        <f>SUMIFS(Minesh!$N$13:$N$401,Minesh!$P$13:$P$401,"March",Minesh!$J$13:$J$401,"Retrofit kit")</f>
        <v>0</v>
      </c>
      <c r="S148" s="1381">
        <f>SUMIFS(Minesh!$N$13:$N$401,Minesh!$P$13:$P$401,"April",Minesh!$J$13:$J$401,"Retrofit kit")</f>
        <v>0</v>
      </c>
      <c r="T148" s="1381">
        <f>SUMIFS(Minesh!$N$13:$N$401,Minesh!$P$13:$P$401,"May",Minesh!$J$13:$J$401,"Retrofit kit")</f>
        <v>0</v>
      </c>
      <c r="U148" s="1381">
        <f>SUMIFS(Minesh!$N$13:$N$401,Minesh!$P$13:$P$401,"June",Minesh!$J$13:$J$401,"Retrofit kit")</f>
        <v>0</v>
      </c>
      <c r="V148" s="1381">
        <f>SUMIFS(Minesh!$N$13:$N$401,Minesh!$P$13:$P$401,"July",Minesh!$J$13:$J$401,"Retrofit kit")</f>
        <v>0</v>
      </c>
      <c r="W148" s="1381">
        <f>SUMIFS(Minesh!$N$13:$N$401,Minesh!$P$13:$P$401,"August",Minesh!$J$13:$J$401,"Retrofit kit")</f>
        <v>0</v>
      </c>
      <c r="X148" s="1381">
        <f>SUMIFS(Minesh!$N$13:$N$401,Minesh!$P$13:$P$401,"September",Minesh!$J$13:$J$401,"Retrofit kit")</f>
        <v>0</v>
      </c>
      <c r="Y148" s="1381">
        <f>SUMIFS(Minesh!$N$13:$N$401,Minesh!$P$13:$P$401,"October",Minesh!$J$13:$J$401,"Retrofit kit")</f>
        <v>0</v>
      </c>
      <c r="Z148" s="1381">
        <f>SUMIFS(Minesh!$N$13:$N$401,Minesh!$P$13:$P$401,"November",Minesh!$J$13:$J$401,"Retrofit kit")</f>
        <v>0</v>
      </c>
      <c r="AA148" s="1381">
        <f>SUMIFS(Minesh!$N$13:$N$401,Minesh!$P$13:$P$401,"December",Minesh!$J$13:$J$401,"Retrofit kit")</f>
        <v>0</v>
      </c>
    </row>
    <row r="149" spans="17:51" ht="18">
      <c r="Q149" s="922" t="s">
        <v>81</v>
      </c>
      <c r="R149" s="1381">
        <f>SUMIFS(Minesh!$N$13:$N$401,Minesh!$P$13:$P$401,"March",Minesh!$J$13:$J$401,"Upgrade kit")</f>
        <v>0</v>
      </c>
      <c r="S149" s="1381">
        <f>SUMIFS(Minesh!$N$13:$N$401,Minesh!$P$13:$P$401,"April",Minesh!$J$13:$J$401,"Upgrade kit")</f>
        <v>0</v>
      </c>
      <c r="T149" s="1381">
        <f>SUMIFS(Minesh!$N$13:$N$401,Minesh!$P$13:$P$401,"May",Minesh!$J$13:$J$401,"Upgrade kit")</f>
        <v>0</v>
      </c>
      <c r="U149" s="1381">
        <f>SUMIFS(Minesh!$N$13:$N$401,Minesh!$P$13:$P$401,"June",Minesh!$J$13:$J$401,"Upgrade kit")</f>
        <v>0</v>
      </c>
      <c r="V149" s="1381">
        <f>SUMIFS(Minesh!$N$13:$N$401,Minesh!$P$13:$P$401,"July",Minesh!$J$13:$J$401,"Upgrade kit")</f>
        <v>0</v>
      </c>
      <c r="W149" s="1381">
        <f>SUMIFS(Minesh!$N$13:$N$401,Minesh!$P$13:$P$401,"August",Minesh!$J$13:$J$401,"Upgrade kit")</f>
        <v>0</v>
      </c>
      <c r="X149" s="1381">
        <f>SUMIFS(Minesh!$N$13:$N$401,Minesh!$P$13:$P$401,"September",Minesh!$J$13:$J$401,"Upgrade kit")</f>
        <v>0</v>
      </c>
      <c r="Y149" s="1381">
        <f>SUMIFS(Minesh!$N$13:$N$401,Minesh!$P$13:$P$401,"October",Minesh!$J$13:$J$401,"Upgrade kit")</f>
        <v>0</v>
      </c>
      <c r="Z149" s="1381">
        <f>SUMIFS(Minesh!$N$13:$N$401,Minesh!$P$13:$P$401,"November",Minesh!$J$13:$J$401,"Upgrade kit")</f>
        <v>0</v>
      </c>
      <c r="AA149" s="1381">
        <f>SUMIFS(Minesh!$N$13:$N$401,Minesh!$P$13:$P$401,"December",Minesh!$J$13:$J$401,"Upgrade kit")</f>
        <v>0</v>
      </c>
    </row>
    <row r="150" spans="17:51" ht="18">
      <c r="Q150" s="922" t="s">
        <v>82</v>
      </c>
      <c r="R150" s="1381">
        <f>SUMIFS(Minesh!$N$13:$N$401,Minesh!$P$13:$P$401,"March",Minesh!$J$13:$J$401,"Training")</f>
        <v>0</v>
      </c>
      <c r="S150" s="1381">
        <f>SUMIFS(Minesh!$N$13:$N$401,Minesh!$P$13:$P$401,"April",Minesh!$J$13:$J$401,"Training")</f>
        <v>0</v>
      </c>
      <c r="T150" s="1381">
        <f>SUMIFS(Minesh!$N$13:$N$401,Minesh!$P$13:$P$401,"May",Minesh!$J$13:$J$401,"Training")</f>
        <v>0</v>
      </c>
      <c r="U150" s="1381">
        <f>SUMIFS(Minesh!$N$13:$N$401,Minesh!$P$13:$P$401,"June",Minesh!$J$13:$J$401,"Training")</f>
        <v>0</v>
      </c>
      <c r="V150" s="1381">
        <f>SUMIFS(Minesh!$N$13:$N$401,Minesh!$P$13:$P$401,"July",Minesh!$J$13:$J$401,"Training")</f>
        <v>0</v>
      </c>
      <c r="W150" s="1381">
        <f>SUMIFS(Minesh!$N$13:$N$401,Minesh!$P$13:$P$401,"August",Minesh!$J$13:$J$401,"Training")</f>
        <v>0</v>
      </c>
      <c r="X150" s="1381">
        <f>SUMIFS(Minesh!$N$13:$N$401,Minesh!$P$13:$P$401,"September",Minesh!$J$13:$J$401,"Training")</f>
        <v>0</v>
      </c>
      <c r="Y150" s="1381">
        <f>SUMIFS(Minesh!$N$13:$N$401,Minesh!$P$13:$P$401,"October",Minesh!$J$13:$J$401,"Training")</f>
        <v>0</v>
      </c>
      <c r="Z150" s="1381">
        <f>SUMIFS(Minesh!$N$13:$N$401,Minesh!$P$13:$P$401,"November",Minesh!$J$13:$J$401,"Training")</f>
        <v>0</v>
      </c>
      <c r="AA150" s="1381">
        <f>SUMIFS(Minesh!$N$13:$N$401,Minesh!$P$13:$P$401,"December",Minesh!$J$13:$J$401,"Training")</f>
        <v>0</v>
      </c>
    </row>
    <row r="151" spans="17:51" ht="18">
      <c r="Q151" s="922" t="s">
        <v>83</v>
      </c>
      <c r="R151" s="1381">
        <f>SUMIFS(Minesh!$N$13:$N$401,Minesh!$P$13:$P$401,"March",Minesh!$J$13:$J$401,"Midlife upgrade")</f>
        <v>0</v>
      </c>
      <c r="S151" s="1381">
        <f>SUMIFS(Minesh!$N$13:$N$401,Minesh!$P$13:$P$401,"April",Minesh!$J$13:$J$401,"Midlife upgrade")</f>
        <v>0</v>
      </c>
      <c r="T151" s="1381">
        <f>SUMIFS(Minesh!$N$13:$N$401,Minesh!$P$13:$P$401,"May",Minesh!$J$13:$J$401,"Midlife upgrade")</f>
        <v>694970</v>
      </c>
      <c r="U151" s="1381">
        <f>SUMIFS(Minesh!$N$13:$N$401,Minesh!$P$13:$P$401,"June",Minesh!$J$13:$J$401,"Midlife upgrade")</f>
        <v>0</v>
      </c>
      <c r="V151" s="1381">
        <f>SUMIFS(Minesh!$N$13:$N$401,Minesh!$P$13:$P$401,"July",Minesh!$J$13:$J$401,"Midlife upgrade")</f>
        <v>0</v>
      </c>
      <c r="W151" s="1381">
        <f>SUMIFS(Minesh!$N$13:$N$401,Minesh!$P$13:$P$401,"August",Minesh!$J$13:$J$401,"Midlife upgrade")</f>
        <v>0</v>
      </c>
      <c r="X151" s="1381">
        <f>SUMIFS(Minesh!$N$13:$N$401,Minesh!$P$13:$P$401,"September",Minesh!$J$13:$J$401,"Midlife upgrade")</f>
        <v>0</v>
      </c>
      <c r="Y151" s="1381">
        <f>SUMIFS(Minesh!$N$13:$N$401,Minesh!$P$13:$P$401,"October",Minesh!$J$13:$J$401,"Midlife upgrade")</f>
        <v>0</v>
      </c>
      <c r="Z151" s="1381">
        <f>SUMIFS(Minesh!$N$13:$N$401,Minesh!$P$13:$P$401,"November",Minesh!$J$13:$J$401,"Midlife upgrade")</f>
        <v>0</v>
      </c>
      <c r="AA151" s="1381">
        <f>SUMIFS(Minesh!$N$13:$N$401,Minesh!$P$13:$P$401,"December",Minesh!$J$13:$J$401,"Midlife upgrade")</f>
        <v>0</v>
      </c>
    </row>
    <row r="153" spans="17:51" ht="29.25" customHeight="1">
      <c r="Q153" s="1390" t="s">
        <v>36</v>
      </c>
      <c r="R153" s="1389">
        <f>SUM(R155:R164)</f>
        <v>10061774</v>
      </c>
      <c r="S153" s="1389">
        <f t="shared" ref="S153:AA153" si="53">SUM(S155:S164)</f>
        <v>38455613</v>
      </c>
      <c r="T153" s="1389">
        <f t="shared" si="53"/>
        <v>15750042</v>
      </c>
      <c r="U153" s="1389">
        <f t="shared" si="53"/>
        <v>16934646</v>
      </c>
      <c r="V153" s="1389">
        <f t="shared" si="53"/>
        <v>6986693</v>
      </c>
      <c r="W153" s="1389">
        <f t="shared" si="53"/>
        <v>11785578</v>
      </c>
      <c r="X153" s="1389">
        <f t="shared" si="53"/>
        <v>6786110</v>
      </c>
      <c r="Y153" s="1389">
        <f t="shared" si="53"/>
        <v>9102357</v>
      </c>
      <c r="Z153" s="1389">
        <f t="shared" si="53"/>
        <v>18982678</v>
      </c>
      <c r="AA153" s="1389">
        <f t="shared" si="53"/>
        <v>34192219</v>
      </c>
      <c r="AC153" s="1390" t="s">
        <v>36</v>
      </c>
      <c r="AD153" s="1389">
        <f>SUM(AD155:AD164)</f>
        <v>13837128.52</v>
      </c>
      <c r="AE153" s="1389">
        <f t="shared" ref="AE153:AL153" si="54">SUM(AE155:AE164)</f>
        <v>4930834.8</v>
      </c>
      <c r="AF153" s="1389">
        <f t="shared" si="54"/>
        <v>3121332</v>
      </c>
      <c r="AG153" s="1389">
        <f t="shared" si="54"/>
        <v>13313482.210000001</v>
      </c>
      <c r="AH153" s="1389">
        <f t="shared" si="54"/>
        <v>19450949.280000001</v>
      </c>
      <c r="AI153" s="1389">
        <f t="shared" si="54"/>
        <v>16361961.5</v>
      </c>
      <c r="AJ153" s="1389">
        <f t="shared" si="54"/>
        <v>16463773.6</v>
      </c>
      <c r="AK153" s="1389">
        <f t="shared" si="54"/>
        <v>19411435.939999998</v>
      </c>
      <c r="AL153" s="1389">
        <f t="shared" si="54"/>
        <v>31883199</v>
      </c>
      <c r="AO153" s="1390" t="s">
        <v>36</v>
      </c>
      <c r="AP153" s="1389">
        <f>SUM(AP155:AP164)</f>
        <v>1638214</v>
      </c>
      <c r="AQ153" s="1389">
        <f t="shared" ref="AQ153:AY153" si="55">SUM(AQ155:AQ164)</f>
        <v>3378622</v>
      </c>
      <c r="AR153" s="1389">
        <f t="shared" si="55"/>
        <v>2395262</v>
      </c>
      <c r="AS153" s="1389">
        <f t="shared" si="55"/>
        <v>3834400</v>
      </c>
      <c r="AT153" s="1389">
        <f t="shared" si="55"/>
        <v>2295503</v>
      </c>
      <c r="AU153" s="1389">
        <f t="shared" si="55"/>
        <v>5928502</v>
      </c>
      <c r="AV153" s="1389">
        <f t="shared" si="55"/>
        <v>9255760</v>
      </c>
      <c r="AW153" s="1389">
        <f t="shared" si="55"/>
        <v>6694141</v>
      </c>
      <c r="AX153" s="1389">
        <f t="shared" si="55"/>
        <v>27273864</v>
      </c>
      <c r="AY153" s="1389">
        <f t="shared" si="55"/>
        <v>18715557</v>
      </c>
    </row>
    <row r="154" spans="17:51" ht="18">
      <c r="Q154" s="921" t="s">
        <v>67</v>
      </c>
      <c r="R154" s="932" t="s">
        <v>25</v>
      </c>
      <c r="S154" s="932" t="s">
        <v>28</v>
      </c>
      <c r="T154" s="932" t="s">
        <v>30</v>
      </c>
      <c r="U154" s="932" t="s">
        <v>34</v>
      </c>
      <c r="V154" s="932" t="s">
        <v>37</v>
      </c>
      <c r="W154" s="932" t="s">
        <v>39</v>
      </c>
      <c r="X154" s="932" t="s">
        <v>44</v>
      </c>
      <c r="Y154" s="932" t="s">
        <v>97</v>
      </c>
      <c r="Z154" s="932" t="s">
        <v>49</v>
      </c>
      <c r="AA154" s="932" t="s">
        <v>62</v>
      </c>
      <c r="AC154" s="921" t="s">
        <v>67</v>
      </c>
      <c r="AD154" s="625" t="s">
        <v>28</v>
      </c>
      <c r="AE154" s="625" t="s">
        <v>30</v>
      </c>
      <c r="AF154" s="625" t="s">
        <v>34</v>
      </c>
      <c r="AG154" s="625" t="s">
        <v>37</v>
      </c>
      <c r="AH154" s="625" t="s">
        <v>39</v>
      </c>
      <c r="AI154" s="625" t="s">
        <v>44</v>
      </c>
      <c r="AJ154" s="625" t="s">
        <v>97</v>
      </c>
      <c r="AK154" s="625" t="s">
        <v>49</v>
      </c>
      <c r="AL154" s="625" t="s">
        <v>62</v>
      </c>
      <c r="AO154" s="921" t="s">
        <v>67</v>
      </c>
      <c r="AP154" s="625" t="s">
        <v>25</v>
      </c>
      <c r="AQ154" s="625" t="s">
        <v>28</v>
      </c>
      <c r="AR154" s="625" t="s">
        <v>30</v>
      </c>
      <c r="AS154" s="625" t="s">
        <v>34</v>
      </c>
      <c r="AT154" s="625" t="s">
        <v>37</v>
      </c>
      <c r="AU154" s="625" t="s">
        <v>39</v>
      </c>
      <c r="AV154" s="625" t="s">
        <v>44</v>
      </c>
      <c r="AW154" s="625" t="s">
        <v>97</v>
      </c>
      <c r="AX154" s="625" t="s">
        <v>49</v>
      </c>
      <c r="AY154" s="625" t="s">
        <v>62</v>
      </c>
    </row>
    <row r="155" spans="17:51" ht="18">
      <c r="Q155" s="922" t="s">
        <v>73</v>
      </c>
      <c r="R155" s="1547">
        <f>R103+R116+R129+R142</f>
        <v>1576000</v>
      </c>
      <c r="S155" s="1388">
        <f t="shared" ref="S155:AA155" si="56">S103+S116+S129+S142</f>
        <v>5482804</v>
      </c>
      <c r="T155" s="1388">
        <f t="shared" si="56"/>
        <v>5352500</v>
      </c>
      <c r="U155" s="1388">
        <f t="shared" si="56"/>
        <v>4864420</v>
      </c>
      <c r="V155" s="1388">
        <f t="shared" si="56"/>
        <v>3418491</v>
      </c>
      <c r="W155" s="1388">
        <f t="shared" si="56"/>
        <v>3109862</v>
      </c>
      <c r="X155" s="1388">
        <f t="shared" si="56"/>
        <v>958150</v>
      </c>
      <c r="Y155" s="1388">
        <f t="shared" si="56"/>
        <v>726560</v>
      </c>
      <c r="Z155" s="1388">
        <f t="shared" si="56"/>
        <v>883009</v>
      </c>
      <c r="AA155" s="1388">
        <f t="shared" si="56"/>
        <v>3584630</v>
      </c>
      <c r="AC155" s="922" t="s">
        <v>73</v>
      </c>
      <c r="AD155" s="1388">
        <f>SUM(AE103+AE116+AE129)</f>
        <v>5121801</v>
      </c>
      <c r="AE155" s="1388">
        <f>SUM(AF103+AF116+AF129)</f>
        <v>1663612</v>
      </c>
      <c r="AF155" s="1388">
        <f t="shared" ref="AF155:AL155" si="57">SUM(AG103+AG116+AG129)</f>
        <v>330880</v>
      </c>
      <c r="AG155" s="1388">
        <f t="shared" si="57"/>
        <v>5477256.7300000004</v>
      </c>
      <c r="AH155" s="1388">
        <f t="shared" si="57"/>
        <v>1658258</v>
      </c>
      <c r="AI155" s="1388">
        <f t="shared" si="57"/>
        <v>2324156</v>
      </c>
      <c r="AJ155" s="1388">
        <f t="shared" si="57"/>
        <v>7643964</v>
      </c>
      <c r="AK155" s="1388">
        <f t="shared" si="57"/>
        <v>1631030</v>
      </c>
      <c r="AL155" s="1388">
        <f t="shared" si="57"/>
        <v>3716120</v>
      </c>
      <c r="AO155" s="922" t="s">
        <v>73</v>
      </c>
      <c r="AP155" s="1388">
        <f t="shared" ref="AP155:AY155" si="58">SUM(AQ103+AQ116+AQ129)</f>
        <v>145000</v>
      </c>
      <c r="AQ155" s="1388">
        <f t="shared" si="58"/>
        <v>1568413</v>
      </c>
      <c r="AR155" s="1388">
        <f t="shared" si="58"/>
        <v>1671330</v>
      </c>
      <c r="AS155" s="1388">
        <f t="shared" si="58"/>
        <v>775000</v>
      </c>
      <c r="AT155" s="1388">
        <f t="shared" si="58"/>
        <v>786000</v>
      </c>
      <c r="AU155" s="1388">
        <f t="shared" si="58"/>
        <v>1094698</v>
      </c>
      <c r="AV155" s="1388">
        <f t="shared" si="58"/>
        <v>1186576</v>
      </c>
      <c r="AW155" s="1388">
        <f t="shared" si="58"/>
        <v>615000</v>
      </c>
      <c r="AX155" s="1388">
        <f t="shared" si="58"/>
        <v>5742262</v>
      </c>
      <c r="AY155" s="1388">
        <f t="shared" si="58"/>
        <v>4088838</v>
      </c>
    </row>
    <row r="156" spans="17:51" ht="18">
      <c r="Q156" s="922" t="s">
        <v>74</v>
      </c>
      <c r="R156" s="1547">
        <f t="shared" ref="R156:AA163" si="59">R104+R117+R130+R143</f>
        <v>68500</v>
      </c>
      <c r="S156" s="1388">
        <f t="shared" si="59"/>
        <v>146990</v>
      </c>
      <c r="T156" s="1388">
        <f t="shared" si="59"/>
        <v>255000</v>
      </c>
      <c r="U156" s="1388">
        <f t="shared" si="59"/>
        <v>713600</v>
      </c>
      <c r="V156" s="1388">
        <f t="shared" si="59"/>
        <v>510032</v>
      </c>
      <c r="W156" s="1388">
        <f t="shared" si="59"/>
        <v>0</v>
      </c>
      <c r="X156" s="1388">
        <f t="shared" si="59"/>
        <v>933490</v>
      </c>
      <c r="Y156" s="1388">
        <f t="shared" si="59"/>
        <v>592600</v>
      </c>
      <c r="Z156" s="1388">
        <f t="shared" si="59"/>
        <v>0</v>
      </c>
      <c r="AA156" s="1388">
        <f t="shared" si="59"/>
        <v>423800</v>
      </c>
      <c r="AC156" s="922" t="s">
        <v>74</v>
      </c>
      <c r="AD156" s="1388">
        <f t="shared" ref="AD156:AD164" si="60">SUM(AE104+AE117+AE130)</f>
        <v>294017</v>
      </c>
      <c r="AE156" s="1388">
        <f t="shared" ref="AE156:AL164" si="61">SUM(AF104+AF117+AF130)</f>
        <v>240636</v>
      </c>
      <c r="AF156" s="1388">
        <f t="shared" si="61"/>
        <v>1247006</v>
      </c>
      <c r="AG156" s="1388">
        <f t="shared" si="61"/>
        <v>347600</v>
      </c>
      <c r="AH156" s="1388">
        <f t="shared" si="61"/>
        <v>679490.88</v>
      </c>
      <c r="AI156" s="1388">
        <f t="shared" si="61"/>
        <v>34503.5</v>
      </c>
      <c r="AJ156" s="1388">
        <f t="shared" si="61"/>
        <v>0</v>
      </c>
      <c r="AK156" s="1388">
        <f t="shared" si="61"/>
        <v>0</v>
      </c>
      <c r="AL156" s="1388">
        <f t="shared" si="61"/>
        <v>474586</v>
      </c>
      <c r="AO156" s="922" t="s">
        <v>74</v>
      </c>
      <c r="AP156" s="1388">
        <f t="shared" ref="AP156:AY156" si="62">SUM(AQ104+AQ117+AQ130)</f>
        <v>0</v>
      </c>
      <c r="AQ156" s="1388">
        <f t="shared" si="62"/>
        <v>0</v>
      </c>
      <c r="AR156" s="1388">
        <f t="shared" si="62"/>
        <v>0</v>
      </c>
      <c r="AS156" s="1388">
        <f t="shared" si="62"/>
        <v>0</v>
      </c>
      <c r="AT156" s="1388">
        <f t="shared" si="62"/>
        <v>256574</v>
      </c>
      <c r="AU156" s="1388">
        <f t="shared" si="62"/>
        <v>781249</v>
      </c>
      <c r="AV156" s="1388">
        <f t="shared" si="62"/>
        <v>0</v>
      </c>
      <c r="AW156" s="1388">
        <f t="shared" si="62"/>
        <v>0</v>
      </c>
      <c r="AX156" s="1388">
        <f t="shared" si="62"/>
        <v>0</v>
      </c>
      <c r="AY156" s="1388">
        <f t="shared" si="62"/>
        <v>89805</v>
      </c>
    </row>
    <row r="157" spans="17:51" ht="18">
      <c r="Q157" s="922" t="s">
        <v>75</v>
      </c>
      <c r="R157" s="1547">
        <f t="shared" si="59"/>
        <v>2411619</v>
      </c>
      <c r="S157" s="1388">
        <f t="shared" ref="S157:AA157" si="63">S105+S118+S131+S144</f>
        <v>3413044</v>
      </c>
      <c r="T157" s="1388">
        <f t="shared" si="63"/>
        <v>3864490</v>
      </c>
      <c r="U157" s="1388">
        <f t="shared" si="63"/>
        <v>6536338</v>
      </c>
      <c r="V157" s="1388">
        <f t="shared" si="63"/>
        <v>1747400</v>
      </c>
      <c r="W157" s="1388">
        <f t="shared" si="63"/>
        <v>5377311</v>
      </c>
      <c r="X157" s="1388">
        <f t="shared" si="63"/>
        <v>3746922</v>
      </c>
      <c r="Y157" s="1388">
        <f t="shared" si="63"/>
        <v>5178767</v>
      </c>
      <c r="Z157" s="1388">
        <f t="shared" si="63"/>
        <v>6815336</v>
      </c>
      <c r="AA157" s="1388">
        <f t="shared" si="63"/>
        <v>13203864</v>
      </c>
      <c r="AC157" s="922" t="s">
        <v>75</v>
      </c>
      <c r="AD157" s="1388">
        <f t="shared" si="60"/>
        <v>5273946.82</v>
      </c>
      <c r="AE157" s="1388">
        <f t="shared" si="61"/>
        <v>3026586.8</v>
      </c>
      <c r="AF157" s="1388">
        <f t="shared" si="61"/>
        <v>1120841</v>
      </c>
      <c r="AG157" s="1388">
        <f t="shared" si="61"/>
        <v>5108065.4800000004</v>
      </c>
      <c r="AH157" s="1388">
        <f t="shared" si="61"/>
        <v>7272470.0699999994</v>
      </c>
      <c r="AI157" s="1388">
        <f t="shared" si="61"/>
        <v>2956729</v>
      </c>
      <c r="AJ157" s="1388">
        <f t="shared" si="61"/>
        <v>5019809.5999999996</v>
      </c>
      <c r="AK157" s="1388">
        <f t="shared" si="61"/>
        <v>1390656.94</v>
      </c>
      <c r="AL157" s="1388">
        <f t="shared" si="61"/>
        <v>5422488</v>
      </c>
      <c r="AO157" s="922" t="s">
        <v>75</v>
      </c>
      <c r="AP157" s="1388">
        <f t="shared" ref="AP157:AY157" si="64">SUM(AQ105+AQ118+AQ131)</f>
        <v>1493214</v>
      </c>
      <c r="AQ157" s="1388">
        <f t="shared" si="64"/>
        <v>1810209</v>
      </c>
      <c r="AR157" s="1388">
        <f t="shared" si="64"/>
        <v>723932</v>
      </c>
      <c r="AS157" s="1388">
        <f t="shared" si="64"/>
        <v>3031400</v>
      </c>
      <c r="AT157" s="1388">
        <f t="shared" si="64"/>
        <v>310000</v>
      </c>
      <c r="AU157" s="1388">
        <f t="shared" si="64"/>
        <v>3642555</v>
      </c>
      <c r="AV157" s="1388">
        <f t="shared" si="64"/>
        <v>842147</v>
      </c>
      <c r="AW157" s="1388">
        <f t="shared" si="64"/>
        <v>3840179</v>
      </c>
      <c r="AX157" s="1388">
        <f t="shared" si="64"/>
        <v>4364149</v>
      </c>
      <c r="AY157" s="1388">
        <f t="shared" si="64"/>
        <v>10091836</v>
      </c>
    </row>
    <row r="158" spans="17:51" ht="18">
      <c r="Q158" s="922" t="s">
        <v>77</v>
      </c>
      <c r="R158" s="1547">
        <f t="shared" si="59"/>
        <v>325000</v>
      </c>
      <c r="S158" s="1388">
        <f t="shared" ref="S158:AA158" si="65">S106+S119+S132+S145</f>
        <v>0</v>
      </c>
      <c r="T158" s="1388">
        <f t="shared" si="65"/>
        <v>355000</v>
      </c>
      <c r="U158" s="1388">
        <f t="shared" si="65"/>
        <v>1385000</v>
      </c>
      <c r="V158" s="1388">
        <f t="shared" si="65"/>
        <v>395000</v>
      </c>
      <c r="W158" s="1388">
        <f t="shared" si="65"/>
        <v>745000</v>
      </c>
      <c r="X158" s="1388">
        <f t="shared" si="65"/>
        <v>0</v>
      </c>
      <c r="Y158" s="1388">
        <f t="shared" si="65"/>
        <v>585000</v>
      </c>
      <c r="Z158" s="1388">
        <f t="shared" si="65"/>
        <v>610600</v>
      </c>
      <c r="AA158" s="1388">
        <f t="shared" si="65"/>
        <v>2180000</v>
      </c>
      <c r="AC158" s="922" t="s">
        <v>77</v>
      </c>
      <c r="AD158" s="1388">
        <f t="shared" si="60"/>
        <v>343570</v>
      </c>
      <c r="AE158" s="1388">
        <f t="shared" si="61"/>
        <v>0</v>
      </c>
      <c r="AF158" s="1388">
        <f t="shared" si="61"/>
        <v>0</v>
      </c>
      <c r="AG158" s="1388">
        <f t="shared" si="61"/>
        <v>0</v>
      </c>
      <c r="AH158" s="1388">
        <f t="shared" si="61"/>
        <v>485385</v>
      </c>
      <c r="AI158" s="1388">
        <f t="shared" si="61"/>
        <v>6777751</v>
      </c>
      <c r="AJ158" s="1388">
        <f t="shared" si="61"/>
        <v>500000</v>
      </c>
      <c r="AK158" s="1388">
        <f t="shared" si="61"/>
        <v>807500</v>
      </c>
      <c r="AL158" s="1388">
        <f t="shared" si="61"/>
        <v>3999000</v>
      </c>
      <c r="AO158" s="922" t="s">
        <v>77</v>
      </c>
      <c r="AP158" s="1388">
        <f t="shared" ref="AP158:AY158" si="66">SUM(AQ106+AQ119+AQ132)</f>
        <v>0</v>
      </c>
      <c r="AQ158" s="1388">
        <f t="shared" si="66"/>
        <v>0</v>
      </c>
      <c r="AR158" s="1388">
        <f t="shared" si="66"/>
        <v>0</v>
      </c>
      <c r="AS158" s="1388">
        <f t="shared" si="66"/>
        <v>0</v>
      </c>
      <c r="AT158" s="1388">
        <f t="shared" si="66"/>
        <v>0</v>
      </c>
      <c r="AU158" s="1388">
        <f t="shared" si="66"/>
        <v>375000</v>
      </c>
      <c r="AV158" s="1388">
        <f t="shared" si="66"/>
        <v>2310000</v>
      </c>
      <c r="AW158" s="1388">
        <f t="shared" si="66"/>
        <v>1050000</v>
      </c>
      <c r="AX158" s="1388">
        <f t="shared" si="66"/>
        <v>860000</v>
      </c>
      <c r="AY158" s="1388">
        <f t="shared" si="66"/>
        <v>0</v>
      </c>
    </row>
    <row r="159" spans="17:51" ht="18">
      <c r="Q159" s="922" t="s">
        <v>78</v>
      </c>
      <c r="R159" s="1547">
        <f t="shared" si="59"/>
        <v>0</v>
      </c>
      <c r="S159" s="1388">
        <f t="shared" ref="S159:AA159" si="67">S107+S120+S133+S146</f>
        <v>0</v>
      </c>
      <c r="T159" s="1388">
        <f t="shared" si="67"/>
        <v>0</v>
      </c>
      <c r="U159" s="1388">
        <f t="shared" si="67"/>
        <v>0</v>
      </c>
      <c r="V159" s="1388">
        <f t="shared" si="67"/>
        <v>0</v>
      </c>
      <c r="W159" s="1388">
        <f t="shared" si="67"/>
        <v>0</v>
      </c>
      <c r="X159" s="1388">
        <f t="shared" si="67"/>
        <v>32000</v>
      </c>
      <c r="Y159" s="1388">
        <f t="shared" si="67"/>
        <v>850000</v>
      </c>
      <c r="Z159" s="1388">
        <f t="shared" si="67"/>
        <v>0</v>
      </c>
      <c r="AA159" s="1388">
        <f t="shared" si="67"/>
        <v>2747800</v>
      </c>
      <c r="AC159" s="922" t="s">
        <v>78</v>
      </c>
      <c r="AD159" s="1388">
        <f t="shared" si="60"/>
        <v>0</v>
      </c>
      <c r="AE159" s="1388">
        <f t="shared" si="61"/>
        <v>0</v>
      </c>
      <c r="AF159" s="1388">
        <f t="shared" si="61"/>
        <v>0</v>
      </c>
      <c r="AG159" s="1388">
        <f t="shared" si="61"/>
        <v>0</v>
      </c>
      <c r="AH159" s="1388">
        <f t="shared" si="61"/>
        <v>0</v>
      </c>
      <c r="AI159" s="1388">
        <f t="shared" si="61"/>
        <v>0</v>
      </c>
      <c r="AJ159" s="1388">
        <f t="shared" si="61"/>
        <v>0</v>
      </c>
      <c r="AK159" s="1388">
        <f t="shared" si="61"/>
        <v>0</v>
      </c>
      <c r="AL159" s="1388">
        <f t="shared" si="61"/>
        <v>0</v>
      </c>
      <c r="AO159" s="922" t="s">
        <v>78</v>
      </c>
      <c r="AP159" s="1388">
        <f t="shared" ref="AP159:AY159" si="68">SUM(AQ107+AQ120+AQ133)</f>
        <v>0</v>
      </c>
      <c r="AQ159" s="1388">
        <f t="shared" si="68"/>
        <v>0</v>
      </c>
      <c r="AR159" s="1388">
        <f t="shared" si="68"/>
        <v>0</v>
      </c>
      <c r="AS159" s="1388">
        <f t="shared" si="68"/>
        <v>0</v>
      </c>
      <c r="AT159" s="1388">
        <f t="shared" si="68"/>
        <v>0</v>
      </c>
      <c r="AU159" s="1388">
        <f t="shared" si="68"/>
        <v>0</v>
      </c>
      <c r="AV159" s="1388">
        <f t="shared" si="68"/>
        <v>0</v>
      </c>
      <c r="AW159" s="1388">
        <f t="shared" si="68"/>
        <v>0</v>
      </c>
      <c r="AX159" s="1388">
        <f t="shared" si="68"/>
        <v>0</v>
      </c>
      <c r="AY159" s="1388">
        <f t="shared" si="68"/>
        <v>0</v>
      </c>
    </row>
    <row r="160" spans="17:51" ht="18">
      <c r="Q160" s="922" t="s">
        <v>79</v>
      </c>
      <c r="R160" s="1547">
        <f t="shared" si="59"/>
        <v>0</v>
      </c>
      <c r="S160" s="1388">
        <f t="shared" ref="S160:AA160" si="69">S108+S121+S134+S147</f>
        <v>0</v>
      </c>
      <c r="T160" s="1388">
        <f t="shared" si="69"/>
        <v>0</v>
      </c>
      <c r="U160" s="1388">
        <f t="shared" si="69"/>
        <v>22500</v>
      </c>
      <c r="V160" s="1388">
        <f t="shared" si="69"/>
        <v>76500</v>
      </c>
      <c r="W160" s="1388">
        <f t="shared" si="69"/>
        <v>31500</v>
      </c>
      <c r="X160" s="1388">
        <f t="shared" si="69"/>
        <v>125000</v>
      </c>
      <c r="Y160" s="1388">
        <f t="shared" si="69"/>
        <v>143500</v>
      </c>
      <c r="Z160" s="1388">
        <f t="shared" si="69"/>
        <v>89000</v>
      </c>
      <c r="AA160" s="1388">
        <f t="shared" si="69"/>
        <v>0</v>
      </c>
      <c r="AC160" s="922" t="s">
        <v>79</v>
      </c>
      <c r="AD160" s="1388">
        <f t="shared" si="60"/>
        <v>0</v>
      </c>
      <c r="AE160" s="1388">
        <f t="shared" si="61"/>
        <v>0</v>
      </c>
      <c r="AF160" s="1388">
        <f t="shared" si="61"/>
        <v>0</v>
      </c>
      <c r="AG160" s="1388">
        <f t="shared" si="61"/>
        <v>71000</v>
      </c>
      <c r="AH160" s="1388">
        <f t="shared" si="61"/>
        <v>25000</v>
      </c>
      <c r="AI160" s="1388">
        <f t="shared" si="61"/>
        <v>33000</v>
      </c>
      <c r="AJ160" s="1388">
        <f t="shared" si="61"/>
        <v>0</v>
      </c>
      <c r="AK160" s="1388">
        <f t="shared" si="61"/>
        <v>0</v>
      </c>
      <c r="AL160" s="1388">
        <f t="shared" si="61"/>
        <v>0</v>
      </c>
      <c r="AO160" s="922" t="s">
        <v>79</v>
      </c>
      <c r="AP160" s="1388">
        <f t="shared" ref="AP160:AY160" si="70">SUM(AQ108+AQ121+AQ134)</f>
        <v>0</v>
      </c>
      <c r="AQ160" s="1388">
        <f t="shared" si="70"/>
        <v>0</v>
      </c>
      <c r="AR160" s="1388">
        <f t="shared" si="70"/>
        <v>0</v>
      </c>
      <c r="AS160" s="1388">
        <f t="shared" si="70"/>
        <v>28000</v>
      </c>
      <c r="AT160" s="1388">
        <f t="shared" si="70"/>
        <v>0</v>
      </c>
      <c r="AU160" s="1388">
        <f t="shared" si="70"/>
        <v>35000</v>
      </c>
      <c r="AV160" s="1388">
        <f t="shared" si="70"/>
        <v>0</v>
      </c>
      <c r="AW160" s="1388">
        <f t="shared" si="70"/>
        <v>0</v>
      </c>
      <c r="AX160" s="1388">
        <f t="shared" si="70"/>
        <v>100000</v>
      </c>
      <c r="AY160" s="1388">
        <f t="shared" si="70"/>
        <v>21000</v>
      </c>
    </row>
    <row r="161" spans="17:51" ht="18">
      <c r="Q161" s="922" t="s">
        <v>80</v>
      </c>
      <c r="R161" s="1547">
        <f t="shared" si="59"/>
        <v>3570900</v>
      </c>
      <c r="S161" s="1388">
        <f t="shared" ref="S161:AA161" si="71">S109+S122+S135+S148</f>
        <v>25936385</v>
      </c>
      <c r="T161" s="1388">
        <f t="shared" si="71"/>
        <v>0</v>
      </c>
      <c r="U161" s="1388">
        <f t="shared" si="71"/>
        <v>0</v>
      </c>
      <c r="V161" s="1388">
        <f t="shared" si="71"/>
        <v>0</v>
      </c>
      <c r="W161" s="1388">
        <f t="shared" si="71"/>
        <v>390450</v>
      </c>
      <c r="X161" s="1388">
        <f t="shared" si="71"/>
        <v>633000</v>
      </c>
      <c r="Y161" s="1388">
        <f t="shared" si="71"/>
        <v>0</v>
      </c>
      <c r="Z161" s="1388">
        <f t="shared" si="71"/>
        <v>2625000</v>
      </c>
      <c r="AA161" s="1388">
        <f t="shared" si="71"/>
        <v>3968375</v>
      </c>
      <c r="AC161" s="922" t="s">
        <v>80</v>
      </c>
      <c r="AD161" s="1388">
        <f t="shared" si="60"/>
        <v>0</v>
      </c>
      <c r="AE161" s="1388">
        <f t="shared" si="61"/>
        <v>0</v>
      </c>
      <c r="AF161" s="1388">
        <f t="shared" si="61"/>
        <v>0</v>
      </c>
      <c r="AG161" s="1388">
        <f t="shared" si="61"/>
        <v>0</v>
      </c>
      <c r="AH161" s="1388">
        <f t="shared" si="61"/>
        <v>5710758</v>
      </c>
      <c r="AI161" s="1388">
        <f t="shared" si="61"/>
        <v>0</v>
      </c>
      <c r="AJ161" s="1388">
        <f t="shared" si="61"/>
        <v>3300000</v>
      </c>
      <c r="AK161" s="1388">
        <f t="shared" si="61"/>
        <v>2697800</v>
      </c>
      <c r="AL161" s="1388">
        <f t="shared" si="61"/>
        <v>2330000</v>
      </c>
      <c r="AO161" s="922" t="s">
        <v>80</v>
      </c>
      <c r="AP161" s="1388">
        <f t="shared" ref="AP161:AY161" si="72">SUM(AQ109+AQ122+AQ135)</f>
        <v>0</v>
      </c>
      <c r="AQ161" s="1388">
        <f t="shared" si="72"/>
        <v>0</v>
      </c>
      <c r="AR161" s="1388">
        <f t="shared" si="72"/>
        <v>0</v>
      </c>
      <c r="AS161" s="1388">
        <f t="shared" si="72"/>
        <v>0</v>
      </c>
      <c r="AT161" s="1388">
        <f t="shared" si="72"/>
        <v>0</v>
      </c>
      <c r="AU161" s="1388">
        <f t="shared" si="72"/>
        <v>0</v>
      </c>
      <c r="AV161" s="1388">
        <f t="shared" si="72"/>
        <v>370000</v>
      </c>
      <c r="AW161" s="1388">
        <f t="shared" si="72"/>
        <v>0</v>
      </c>
      <c r="AX161" s="1388">
        <f t="shared" si="72"/>
        <v>7899970</v>
      </c>
      <c r="AY161" s="1388">
        <f t="shared" si="72"/>
        <v>3499890</v>
      </c>
    </row>
    <row r="162" spans="17:51" ht="18">
      <c r="Q162" s="922" t="s">
        <v>81</v>
      </c>
      <c r="R162" s="1547">
        <f t="shared" si="59"/>
        <v>1499595</v>
      </c>
      <c r="S162" s="1388">
        <f t="shared" ref="S162:AA162" si="73">S110+S123+S136+S149</f>
        <v>0</v>
      </c>
      <c r="T162" s="1388">
        <f t="shared" si="73"/>
        <v>45000</v>
      </c>
      <c r="U162" s="1388">
        <f t="shared" si="73"/>
        <v>0</v>
      </c>
      <c r="V162" s="1388">
        <f t="shared" si="73"/>
        <v>0</v>
      </c>
      <c r="W162" s="1388">
        <f t="shared" si="73"/>
        <v>1370839</v>
      </c>
      <c r="X162" s="1388">
        <f t="shared" si="73"/>
        <v>171800</v>
      </c>
      <c r="Y162" s="1388">
        <f t="shared" si="73"/>
        <v>339000</v>
      </c>
      <c r="Z162" s="1388">
        <f t="shared" si="73"/>
        <v>516900</v>
      </c>
      <c r="AA162" s="1388">
        <f t="shared" si="73"/>
        <v>1805242</v>
      </c>
      <c r="AC162" s="922" t="s">
        <v>81</v>
      </c>
      <c r="AD162" s="1388">
        <f t="shared" si="60"/>
        <v>1391632</v>
      </c>
      <c r="AE162" s="1388">
        <f t="shared" si="61"/>
        <v>0</v>
      </c>
      <c r="AF162" s="1388">
        <f t="shared" si="61"/>
        <v>422605</v>
      </c>
      <c r="AG162" s="1388">
        <f t="shared" si="61"/>
        <v>958700</v>
      </c>
      <c r="AH162" s="1388">
        <f t="shared" si="61"/>
        <v>1138880</v>
      </c>
      <c r="AI162" s="1388">
        <f t="shared" si="61"/>
        <v>2686371</v>
      </c>
      <c r="AJ162" s="1388">
        <f t="shared" si="61"/>
        <v>0</v>
      </c>
      <c r="AK162" s="1388">
        <f t="shared" si="61"/>
        <v>4906000</v>
      </c>
      <c r="AL162" s="1388">
        <f t="shared" si="61"/>
        <v>4266474</v>
      </c>
      <c r="AO162" s="922" t="s">
        <v>81</v>
      </c>
      <c r="AP162" s="1388">
        <f t="shared" ref="AP162:AY162" si="74">SUM(AQ110+AQ123+AQ136)</f>
        <v>0</v>
      </c>
      <c r="AQ162" s="1388">
        <f t="shared" si="74"/>
        <v>0</v>
      </c>
      <c r="AR162" s="1388">
        <f t="shared" si="74"/>
        <v>0</v>
      </c>
      <c r="AS162" s="1388">
        <f t="shared" si="74"/>
        <v>0</v>
      </c>
      <c r="AT162" s="1388">
        <f t="shared" si="74"/>
        <v>0</v>
      </c>
      <c r="AU162" s="1388">
        <f t="shared" si="74"/>
        <v>0</v>
      </c>
      <c r="AV162" s="1388">
        <f t="shared" si="74"/>
        <v>0</v>
      </c>
      <c r="AW162" s="1388">
        <f t="shared" si="74"/>
        <v>0</v>
      </c>
      <c r="AX162" s="1388">
        <f t="shared" si="74"/>
        <v>0</v>
      </c>
      <c r="AY162" s="1388">
        <f t="shared" si="74"/>
        <v>0</v>
      </c>
    </row>
    <row r="163" spans="17:51" ht="18">
      <c r="Q163" s="922" t="s">
        <v>82</v>
      </c>
      <c r="R163" s="1547">
        <f t="shared" si="59"/>
        <v>0</v>
      </c>
      <c r="S163" s="1388">
        <f t="shared" ref="S163:AA163" si="75">S111+S124+S137+S150</f>
        <v>0</v>
      </c>
      <c r="T163" s="1388">
        <f t="shared" si="75"/>
        <v>0</v>
      </c>
      <c r="U163" s="1388">
        <f t="shared" si="75"/>
        <v>0</v>
      </c>
      <c r="V163" s="1388">
        <f t="shared" si="75"/>
        <v>0</v>
      </c>
      <c r="W163" s="1388">
        <f t="shared" si="75"/>
        <v>0</v>
      </c>
      <c r="X163" s="1388">
        <f t="shared" si="75"/>
        <v>0</v>
      </c>
      <c r="Y163" s="1388">
        <f t="shared" si="75"/>
        <v>0</v>
      </c>
      <c r="Z163" s="1388">
        <f t="shared" si="75"/>
        <v>0</v>
      </c>
      <c r="AA163" s="1388">
        <f t="shared" si="75"/>
        <v>0</v>
      </c>
      <c r="AC163" s="922" t="s">
        <v>82</v>
      </c>
      <c r="AD163" s="1388">
        <f t="shared" si="60"/>
        <v>0</v>
      </c>
      <c r="AE163" s="1388">
        <f t="shared" si="61"/>
        <v>0</v>
      </c>
      <c r="AF163" s="1388">
        <f t="shared" si="61"/>
        <v>0</v>
      </c>
      <c r="AG163" s="1388">
        <f t="shared" si="61"/>
        <v>0</v>
      </c>
      <c r="AH163" s="1388">
        <f t="shared" si="61"/>
        <v>0</v>
      </c>
      <c r="AI163" s="1388">
        <f t="shared" si="61"/>
        <v>0</v>
      </c>
      <c r="AJ163" s="1388">
        <f t="shared" si="61"/>
        <v>0</v>
      </c>
      <c r="AK163" s="1388">
        <f t="shared" si="61"/>
        <v>0</v>
      </c>
      <c r="AL163" s="1388">
        <f t="shared" si="61"/>
        <v>0</v>
      </c>
      <c r="AO163" s="922" t="s">
        <v>82</v>
      </c>
      <c r="AP163" s="1388">
        <f t="shared" ref="AP163:AY163" si="76">SUM(AQ111+AQ124+AQ137)</f>
        <v>0</v>
      </c>
      <c r="AQ163" s="1388">
        <f t="shared" si="76"/>
        <v>0</v>
      </c>
      <c r="AR163" s="1388">
        <f t="shared" si="76"/>
        <v>0</v>
      </c>
      <c r="AS163" s="1388">
        <f t="shared" si="76"/>
        <v>0</v>
      </c>
      <c r="AT163" s="1388">
        <f t="shared" si="76"/>
        <v>0</v>
      </c>
      <c r="AU163" s="1388">
        <f t="shared" si="76"/>
        <v>0</v>
      </c>
      <c r="AV163" s="1388">
        <f t="shared" si="76"/>
        <v>0</v>
      </c>
      <c r="AW163" s="1388">
        <f t="shared" si="76"/>
        <v>0</v>
      </c>
      <c r="AX163" s="1388">
        <f t="shared" si="76"/>
        <v>0</v>
      </c>
      <c r="AY163" s="1388">
        <f t="shared" si="76"/>
        <v>0</v>
      </c>
    </row>
    <row r="164" spans="17:51" ht="18">
      <c r="Q164" s="922" t="s">
        <v>83</v>
      </c>
      <c r="R164" s="1388">
        <f>R112+R125+R138+R151</f>
        <v>610160</v>
      </c>
      <c r="S164" s="1388">
        <f t="shared" ref="S164:AA164" si="77">S112+S125+S138+S151</f>
        <v>3476390</v>
      </c>
      <c r="T164" s="1388">
        <f t="shared" si="77"/>
        <v>5878052</v>
      </c>
      <c r="U164" s="1388">
        <f t="shared" si="77"/>
        <v>3412788</v>
      </c>
      <c r="V164" s="1388">
        <f t="shared" si="77"/>
        <v>839270</v>
      </c>
      <c r="W164" s="1388">
        <f t="shared" si="77"/>
        <v>760616</v>
      </c>
      <c r="X164" s="1388">
        <f t="shared" si="77"/>
        <v>185748</v>
      </c>
      <c r="Y164" s="1388">
        <f t="shared" si="77"/>
        <v>686930</v>
      </c>
      <c r="Z164" s="1388">
        <f t="shared" si="77"/>
        <v>7442833</v>
      </c>
      <c r="AA164" s="1388">
        <f t="shared" si="77"/>
        <v>6278508</v>
      </c>
      <c r="AC164" s="922" t="s">
        <v>83</v>
      </c>
      <c r="AD164" s="1388">
        <f t="shared" si="60"/>
        <v>1412161.7</v>
      </c>
      <c r="AE164" s="1388">
        <f t="shared" si="61"/>
        <v>0</v>
      </c>
      <c r="AF164" s="1388">
        <f t="shared" si="61"/>
        <v>0</v>
      </c>
      <c r="AG164" s="1388">
        <f t="shared" si="61"/>
        <v>1350860</v>
      </c>
      <c r="AH164" s="1388">
        <f t="shared" si="61"/>
        <v>2480707.33</v>
      </c>
      <c r="AI164" s="1388">
        <f t="shared" si="61"/>
        <v>1549451</v>
      </c>
      <c r="AJ164" s="1388">
        <f t="shared" si="61"/>
        <v>0</v>
      </c>
      <c r="AK164" s="1388">
        <f t="shared" si="61"/>
        <v>7978449</v>
      </c>
      <c r="AL164" s="1388">
        <f t="shared" si="61"/>
        <v>11674531</v>
      </c>
      <c r="AO164" s="922" t="s">
        <v>83</v>
      </c>
      <c r="AP164" s="1388">
        <f t="shared" ref="AP164:AY164" si="78">SUM(AQ112+AQ125+AQ138)</f>
        <v>0</v>
      </c>
      <c r="AQ164" s="1388">
        <f t="shared" si="78"/>
        <v>0</v>
      </c>
      <c r="AR164" s="1388">
        <f t="shared" si="78"/>
        <v>0</v>
      </c>
      <c r="AS164" s="1388">
        <f t="shared" si="78"/>
        <v>0</v>
      </c>
      <c r="AT164" s="1388">
        <f t="shared" si="78"/>
        <v>942929</v>
      </c>
      <c r="AU164" s="1388">
        <f t="shared" si="78"/>
        <v>0</v>
      </c>
      <c r="AV164" s="1388">
        <f t="shared" si="78"/>
        <v>4547037</v>
      </c>
      <c r="AW164" s="1388">
        <f t="shared" si="78"/>
        <v>1188962</v>
      </c>
      <c r="AX164" s="1388">
        <f t="shared" si="78"/>
        <v>8307483</v>
      </c>
      <c r="AY164" s="1388">
        <f t="shared" si="78"/>
        <v>924188</v>
      </c>
    </row>
    <row r="166" spans="17:51" ht="30" customHeight="1">
      <c r="Q166" s="1692" t="s">
        <v>98</v>
      </c>
    </row>
    <row r="167" spans="17:51" ht="18">
      <c r="Q167" s="921" t="s">
        <v>67</v>
      </c>
      <c r="R167" s="932" t="s">
        <v>25</v>
      </c>
      <c r="S167" s="932" t="s">
        <v>28</v>
      </c>
      <c r="T167" s="932" t="s">
        <v>30</v>
      </c>
      <c r="U167" s="932" t="s">
        <v>34</v>
      </c>
      <c r="V167" s="932" t="s">
        <v>37</v>
      </c>
      <c r="W167" s="932" t="s">
        <v>39</v>
      </c>
      <c r="X167" s="932" t="s">
        <v>44</v>
      </c>
      <c r="Y167" s="932" t="s">
        <v>97</v>
      </c>
      <c r="Z167" s="932" t="s">
        <v>49</v>
      </c>
      <c r="AA167" s="932" t="s">
        <v>62</v>
      </c>
    </row>
    <row r="168" spans="17:51" ht="18">
      <c r="Q168" s="922" t="s">
        <v>73</v>
      </c>
      <c r="R168" s="1547">
        <f>R155+AD155+AP155</f>
        <v>6842801</v>
      </c>
      <c r="S168" s="1547">
        <f>S155+AE155+AQ155</f>
        <v>8714829</v>
      </c>
      <c r="T168" s="1388">
        <f t="shared" ref="T168:T177" si="79">T155+AE155+AR155</f>
        <v>8687442</v>
      </c>
      <c r="U168" s="1388">
        <f t="shared" ref="U168:U177" si="80">U155+AF155+AS155</f>
        <v>5970300</v>
      </c>
      <c r="V168" s="1388">
        <f t="shared" ref="V168:V177" si="81">V155+AG155+AT155</f>
        <v>9681747.7300000004</v>
      </c>
      <c r="W168" s="1388">
        <f t="shared" ref="W168:W177" si="82">W155+AH155+AU155</f>
        <v>5862818</v>
      </c>
      <c r="X168" s="1388">
        <f t="shared" ref="X168:X177" si="83">X155+AI155+AV155</f>
        <v>4468882</v>
      </c>
      <c r="Y168" s="1388">
        <f t="shared" ref="Y168:Y177" si="84">Y155+AJ155+AW155</f>
        <v>8985524</v>
      </c>
      <c r="Z168" s="1388">
        <f t="shared" ref="Z168:Z177" si="85">Z155+AK155+AX155</f>
        <v>8256301</v>
      </c>
      <c r="AA168" s="1388">
        <f t="shared" ref="AA168:AA177" si="86">AA155+AL155+AY155</f>
        <v>11389588</v>
      </c>
    </row>
    <row r="169" spans="17:51" ht="18">
      <c r="Q169" s="922" t="s">
        <v>74</v>
      </c>
      <c r="R169" s="1388">
        <f t="shared" ref="R169:R177" si="87">R156+AD156+AP156</f>
        <v>362517</v>
      </c>
      <c r="S169" s="1547">
        <f t="shared" ref="S169:S177" si="88">S156+AE156+AQ156</f>
        <v>387626</v>
      </c>
      <c r="T169" s="1388">
        <f t="shared" si="79"/>
        <v>495636</v>
      </c>
      <c r="U169" s="1388">
        <f t="shared" si="80"/>
        <v>1960606</v>
      </c>
      <c r="V169" s="1388">
        <f t="shared" si="81"/>
        <v>1114206</v>
      </c>
      <c r="W169" s="1388">
        <f t="shared" si="82"/>
        <v>1460739.88</v>
      </c>
      <c r="X169" s="1388">
        <f t="shared" si="83"/>
        <v>967993.5</v>
      </c>
      <c r="Y169" s="1388">
        <f t="shared" si="84"/>
        <v>592600</v>
      </c>
      <c r="Z169" s="1388">
        <f t="shared" si="85"/>
        <v>0</v>
      </c>
      <c r="AA169" s="1388">
        <f t="shared" si="86"/>
        <v>988191</v>
      </c>
    </row>
    <row r="170" spans="17:51" ht="18">
      <c r="Q170" s="922" t="s">
        <v>75</v>
      </c>
      <c r="R170" s="1388">
        <f t="shared" si="87"/>
        <v>9178779.8200000003</v>
      </c>
      <c r="S170" s="1547">
        <f t="shared" si="88"/>
        <v>8249839.7999999998</v>
      </c>
      <c r="T170" s="1388">
        <f t="shared" si="79"/>
        <v>7615008.7999999998</v>
      </c>
      <c r="U170" s="1388">
        <f t="shared" si="80"/>
        <v>10688579</v>
      </c>
      <c r="V170" s="1388">
        <f t="shared" si="81"/>
        <v>7165465.4800000004</v>
      </c>
      <c r="W170" s="1388">
        <f t="shared" si="82"/>
        <v>16292336.07</v>
      </c>
      <c r="X170" s="1388">
        <f t="shared" si="83"/>
        <v>7545798</v>
      </c>
      <c r="Y170" s="1388">
        <f t="shared" si="84"/>
        <v>14038755.6</v>
      </c>
      <c r="Z170" s="1388">
        <f t="shared" si="85"/>
        <v>12570141.939999999</v>
      </c>
      <c r="AA170" s="1388">
        <f t="shared" si="86"/>
        <v>28718188</v>
      </c>
    </row>
    <row r="171" spans="17:51" ht="18">
      <c r="Q171" s="922" t="s">
        <v>77</v>
      </c>
      <c r="R171" s="1388">
        <f t="shared" si="87"/>
        <v>668570</v>
      </c>
      <c r="S171" s="1547">
        <f t="shared" si="88"/>
        <v>0</v>
      </c>
      <c r="T171" s="1388">
        <f t="shared" si="79"/>
        <v>355000</v>
      </c>
      <c r="U171" s="1388">
        <f t="shared" si="80"/>
        <v>1385000</v>
      </c>
      <c r="V171" s="1388">
        <f t="shared" si="81"/>
        <v>395000</v>
      </c>
      <c r="W171" s="1388">
        <f t="shared" si="82"/>
        <v>1605385</v>
      </c>
      <c r="X171" s="1388">
        <f t="shared" si="83"/>
        <v>9087751</v>
      </c>
      <c r="Y171" s="1388">
        <f t="shared" si="84"/>
        <v>2135000</v>
      </c>
      <c r="Z171" s="1388">
        <f t="shared" si="85"/>
        <v>2278100</v>
      </c>
      <c r="AA171" s="1388">
        <f t="shared" si="86"/>
        <v>6179000</v>
      </c>
    </row>
    <row r="172" spans="17:51" ht="18">
      <c r="Q172" s="922" t="s">
        <v>78</v>
      </c>
      <c r="R172" s="1388">
        <f t="shared" si="87"/>
        <v>0</v>
      </c>
      <c r="S172" s="1547">
        <f t="shared" si="88"/>
        <v>0</v>
      </c>
      <c r="T172" s="1388">
        <f t="shared" si="79"/>
        <v>0</v>
      </c>
      <c r="U172" s="1388">
        <f t="shared" si="80"/>
        <v>0</v>
      </c>
      <c r="V172" s="1388">
        <f t="shared" si="81"/>
        <v>0</v>
      </c>
      <c r="W172" s="1388">
        <f t="shared" si="82"/>
        <v>0</v>
      </c>
      <c r="X172" s="1388">
        <f t="shared" si="83"/>
        <v>32000</v>
      </c>
      <c r="Y172" s="1388">
        <f t="shared" si="84"/>
        <v>850000</v>
      </c>
      <c r="Z172" s="1388">
        <f t="shared" si="85"/>
        <v>0</v>
      </c>
      <c r="AA172" s="1388">
        <f t="shared" si="86"/>
        <v>2747800</v>
      </c>
    </row>
    <row r="173" spans="17:51" ht="18">
      <c r="Q173" s="922" t="s">
        <v>79</v>
      </c>
      <c r="R173" s="1388">
        <f t="shared" si="87"/>
        <v>0</v>
      </c>
      <c r="S173" s="1547">
        <f t="shared" si="88"/>
        <v>0</v>
      </c>
      <c r="T173" s="1388">
        <f t="shared" si="79"/>
        <v>0</v>
      </c>
      <c r="U173" s="1388">
        <f t="shared" si="80"/>
        <v>50500</v>
      </c>
      <c r="V173" s="1388">
        <f t="shared" si="81"/>
        <v>147500</v>
      </c>
      <c r="W173" s="1388">
        <f t="shared" si="82"/>
        <v>91500</v>
      </c>
      <c r="X173" s="1388">
        <f t="shared" si="83"/>
        <v>158000</v>
      </c>
      <c r="Y173" s="1388">
        <f t="shared" si="84"/>
        <v>143500</v>
      </c>
      <c r="Z173" s="1388">
        <f t="shared" si="85"/>
        <v>189000</v>
      </c>
      <c r="AA173" s="1388">
        <f t="shared" si="86"/>
        <v>21000</v>
      </c>
    </row>
    <row r="174" spans="17:51" ht="18">
      <c r="Q174" s="922" t="s">
        <v>80</v>
      </c>
      <c r="R174" s="1388">
        <f t="shared" si="87"/>
        <v>3570900</v>
      </c>
      <c r="S174" s="1547">
        <f t="shared" si="88"/>
        <v>25936385</v>
      </c>
      <c r="T174" s="1388">
        <f t="shared" si="79"/>
        <v>0</v>
      </c>
      <c r="U174" s="1388">
        <f t="shared" si="80"/>
        <v>0</v>
      </c>
      <c r="V174" s="1388">
        <f t="shared" si="81"/>
        <v>0</v>
      </c>
      <c r="W174" s="1388">
        <f t="shared" si="82"/>
        <v>6101208</v>
      </c>
      <c r="X174" s="1388">
        <f t="shared" si="83"/>
        <v>1003000</v>
      </c>
      <c r="Y174" s="1388">
        <f t="shared" si="84"/>
        <v>3300000</v>
      </c>
      <c r="Z174" s="1388">
        <f t="shared" si="85"/>
        <v>13222770</v>
      </c>
      <c r="AA174" s="1388">
        <f t="shared" si="86"/>
        <v>9798265</v>
      </c>
    </row>
    <row r="175" spans="17:51" ht="18">
      <c r="Q175" s="922" t="s">
        <v>81</v>
      </c>
      <c r="R175" s="1388">
        <f t="shared" si="87"/>
        <v>2891227</v>
      </c>
      <c r="S175" s="1547">
        <f t="shared" si="88"/>
        <v>0</v>
      </c>
      <c r="T175" s="1388">
        <f t="shared" si="79"/>
        <v>45000</v>
      </c>
      <c r="U175" s="1388">
        <f t="shared" si="80"/>
        <v>422605</v>
      </c>
      <c r="V175" s="1388">
        <f t="shared" si="81"/>
        <v>958700</v>
      </c>
      <c r="W175" s="1388">
        <f t="shared" si="82"/>
        <v>2509719</v>
      </c>
      <c r="X175" s="1388">
        <f t="shared" si="83"/>
        <v>2858171</v>
      </c>
      <c r="Y175" s="1388">
        <f t="shared" si="84"/>
        <v>339000</v>
      </c>
      <c r="Z175" s="1388">
        <f t="shared" si="85"/>
        <v>5422900</v>
      </c>
      <c r="AA175" s="1388">
        <f t="shared" si="86"/>
        <v>6071716</v>
      </c>
    </row>
    <row r="176" spans="17:51" ht="18">
      <c r="Q176" s="922" t="s">
        <v>82</v>
      </c>
      <c r="R176" s="1388">
        <f t="shared" si="87"/>
        <v>0</v>
      </c>
      <c r="S176" s="1547">
        <f t="shared" si="88"/>
        <v>0</v>
      </c>
      <c r="T176" s="1388">
        <f t="shared" si="79"/>
        <v>0</v>
      </c>
      <c r="U176" s="1388">
        <f t="shared" si="80"/>
        <v>0</v>
      </c>
      <c r="V176" s="1388">
        <f t="shared" si="81"/>
        <v>0</v>
      </c>
      <c r="W176" s="1388">
        <f t="shared" si="82"/>
        <v>0</v>
      </c>
      <c r="X176" s="1388">
        <f t="shared" si="83"/>
        <v>0</v>
      </c>
      <c r="Y176" s="1388">
        <f t="shared" si="84"/>
        <v>0</v>
      </c>
      <c r="Z176" s="1388">
        <f t="shared" si="85"/>
        <v>0</v>
      </c>
      <c r="AA176" s="1388">
        <f t="shared" si="86"/>
        <v>0</v>
      </c>
    </row>
    <row r="177" spans="17:27" ht="18">
      <c r="Q177" s="922" t="s">
        <v>83</v>
      </c>
      <c r="R177" s="1388">
        <f t="shared" si="87"/>
        <v>2022321.7</v>
      </c>
      <c r="S177" s="1547">
        <f t="shared" si="88"/>
        <v>3476390</v>
      </c>
      <c r="T177" s="1388">
        <f t="shared" si="79"/>
        <v>5878052</v>
      </c>
      <c r="U177" s="1388">
        <f t="shared" si="80"/>
        <v>3412788</v>
      </c>
      <c r="V177" s="1388">
        <f t="shared" si="81"/>
        <v>3133059</v>
      </c>
      <c r="W177" s="1388">
        <f t="shared" si="82"/>
        <v>3241323.33</v>
      </c>
      <c r="X177" s="1388">
        <f t="shared" si="83"/>
        <v>6282236</v>
      </c>
      <c r="Y177" s="1388">
        <f t="shared" si="84"/>
        <v>1875892</v>
      </c>
      <c r="Z177" s="1388">
        <f t="shared" si="85"/>
        <v>23728765</v>
      </c>
      <c r="AA177" s="1388">
        <f t="shared" si="86"/>
        <v>18877227</v>
      </c>
    </row>
  </sheetData>
  <dataConsolidate/>
  <mergeCells count="9">
    <mergeCell ref="AA3:AE3"/>
    <mergeCell ref="B14:L14"/>
    <mergeCell ref="B31:L31"/>
    <mergeCell ref="B48:L48"/>
    <mergeCell ref="B65:L65"/>
    <mergeCell ref="X3:Y3"/>
    <mergeCell ref="Q3:R3"/>
    <mergeCell ref="P56:U56"/>
    <mergeCell ref="B3:J4"/>
  </mergeCells>
  <phoneticPr fontId="43" type="noConversion"/>
  <conditionalFormatting sqref="R4:R15">
    <cfRule type="cellIs" dxfId="146" priority="43" operator="greaterThan">
      <formula>$S$1</formula>
    </cfRule>
    <cfRule type="cellIs" dxfId="145" priority="44" operator="lessThan">
      <formula>$S$1</formula>
    </cfRule>
  </conditionalFormatting>
  <conditionalFormatting sqref="AC6:AC15">
    <cfRule type="cellIs" dxfId="140" priority="1" operator="greaterThan">
      <formula>$T$97</formula>
    </cfRule>
    <cfRule type="cellIs" dxfId="139" priority="2" operator="lessThan">
      <formula>$T$97</formula>
    </cfRule>
  </conditionalFormatting>
  <conditionalFormatting sqref="AC6:AC16">
    <cfRule type="cellIs" dxfId="138" priority="3" operator="greaterThan">
      <formula>254</formula>
    </cfRule>
    <cfRule type="cellIs" dxfId="137" priority="4" operator="lessThan">
      <formula>254</formula>
    </cfRule>
    <cfRule type="cellIs" dxfId="136" priority="5" operator="lessThan">
      <formula>254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3BFE0873-C408-431B-A487-8B3D1C17C770}">
            <xm:f>NOT(ISERROR(SEARCH("+",Y6)))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Y6</xm:sqref>
        </x14:conditionalFormatting>
        <x14:conditionalFormatting xmlns:xm="http://schemas.microsoft.com/office/excel/2006/main">
          <x14:cfRule type="containsText" priority="9" operator="containsText" id="{65BC5D36-8849-4623-9BCC-A6AD0F57E102}">
            <xm:f>NOT(ISERROR(SEARCH("-",Y9)))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Y9</xm:sqref>
        </x14:conditionalFormatting>
        <x14:conditionalFormatting xmlns:xm="http://schemas.microsoft.com/office/excel/2006/main">
          <x14:cfRule type="containsText" priority="8" operator="containsText" id="{2B3E07A4-83F3-4712-A8A9-035D91F9D344}">
            <xm:f>NOT(ISERROR(SEARCH("-",Y12)))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Y12</xm:sqref>
        </x14:conditionalFormatting>
        <x14:conditionalFormatting xmlns:xm="http://schemas.microsoft.com/office/excel/2006/main">
          <x14:cfRule type="containsText" priority="7" operator="containsText" id="{002D4A38-FD21-4219-8DE1-FA2B771DB860}">
            <xm:f>NOT(ISERROR(SEARCH("-",Y15)))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13B1-BF12-4117-88DD-B3B086541D8A}">
  <dimension ref="A1:DP419"/>
  <sheetViews>
    <sheetView zoomScale="80" zoomScaleNormal="80" workbookViewId="0">
      <pane ySplit="6" topLeftCell="A87" activePane="bottomLeft" state="frozen"/>
      <selection pane="bottomLeft" activeCell="A29" sqref="A29"/>
    </sheetView>
  </sheetViews>
  <sheetFormatPr defaultRowHeight="14.4"/>
  <cols>
    <col min="1" max="1" width="12.44140625" customWidth="1"/>
    <col min="2" max="2" width="12.44140625" style="25" bestFit="1" customWidth="1"/>
    <col min="3" max="3" width="49.5546875" customWidth="1"/>
    <col min="4" max="4" width="14.5546875" style="2" customWidth="1"/>
    <col min="5" max="6" width="19.5546875" style="2" customWidth="1"/>
    <col min="7" max="7" width="17.5546875" style="2" customWidth="1"/>
    <col min="8" max="8" width="34.5546875" style="2" bestFit="1" customWidth="1"/>
    <col min="9" max="9" width="21.5546875" style="2" bestFit="1" customWidth="1"/>
    <col min="10" max="10" width="15.44140625" style="2" customWidth="1"/>
    <col min="11" max="11" width="14" style="2" customWidth="1"/>
    <col min="12" max="12" width="25.44140625" style="2" customWidth="1"/>
    <col min="13" max="13" width="16.5546875" style="953" bestFit="1" customWidth="1"/>
    <col min="14" max="14" width="11.5546875" style="87" bestFit="1" customWidth="1"/>
    <col min="15" max="15" width="10.44140625" style="5" customWidth="1"/>
    <col min="16" max="16" width="10.44140625" customWidth="1"/>
    <col min="17" max="17" width="8.44140625" style="278" customWidth="1"/>
    <col min="18" max="18" width="25.33203125" style="2" customWidth="1"/>
    <col min="19" max="19" width="12.5546875" style="964" bestFit="1" customWidth="1"/>
    <col min="20" max="20" width="12.44140625" style="2" customWidth="1"/>
    <col min="21" max="21" width="26.5546875" bestFit="1" customWidth="1"/>
    <col min="22" max="22" width="20.5546875" style="18" bestFit="1" customWidth="1"/>
    <col min="23" max="23" width="39.44140625" style="1" customWidth="1"/>
    <col min="24" max="24" width="26.5546875" style="1" customWidth="1"/>
    <col min="25" max="25" width="13.44140625" style="2" customWidth="1"/>
    <col min="26" max="26" width="15.44140625" customWidth="1"/>
    <col min="27" max="28" width="14.5546875" customWidth="1"/>
    <col min="29" max="29" width="20.44140625" customWidth="1"/>
    <col min="30" max="30" width="23.44140625" bestFit="1" customWidth="1"/>
    <col min="31" max="31" width="20" customWidth="1"/>
    <col min="32" max="32" width="28.5546875" bestFit="1" customWidth="1"/>
  </cols>
  <sheetData>
    <row r="1" spans="1:32" s="1693" customFormat="1" ht="15" thickBot="1">
      <c r="B1" s="1694"/>
      <c r="D1" s="1695"/>
      <c r="E1" s="1695"/>
      <c r="F1" s="1695"/>
      <c r="G1" s="1695"/>
      <c r="H1" s="1695"/>
      <c r="I1" s="1695"/>
      <c r="J1" s="1695"/>
      <c r="K1" s="1695"/>
      <c r="L1" s="1695"/>
      <c r="M1" s="1696"/>
      <c r="N1" s="1697"/>
      <c r="O1" s="1698"/>
      <c r="Q1" s="1699"/>
      <c r="R1" s="1695"/>
      <c r="S1" s="1700"/>
      <c r="T1" s="1695"/>
      <c r="U1" s="1701"/>
      <c r="V1" s="1702"/>
      <c r="Y1" s="1695"/>
      <c r="AB1" s="3482" t="s">
        <v>99</v>
      </c>
      <c r="AC1" s="3482"/>
      <c r="AD1" s="3482"/>
      <c r="AE1" s="3482"/>
    </row>
    <row r="2" spans="1:32" s="1693" customFormat="1" ht="31.8" thickBot="1">
      <c r="A2" s="1703" t="s">
        <v>100</v>
      </c>
      <c r="B2" s="1704"/>
      <c r="C2" s="1704"/>
      <c r="D2" s="1704"/>
      <c r="E2" s="1704"/>
      <c r="F2" s="1704"/>
      <c r="G2" s="1704"/>
      <c r="H2" s="1704"/>
      <c r="I2" s="1704"/>
      <c r="J2" s="1704"/>
      <c r="K2" s="1704"/>
      <c r="L2" s="1704"/>
      <c r="M2" s="1705"/>
      <c r="N2" s="1706"/>
      <c r="O2" s="1704"/>
      <c r="P2" s="1704"/>
      <c r="Q2" s="1706"/>
      <c r="R2" s="1706"/>
      <c r="S2" s="1707"/>
      <c r="T2" s="1706"/>
      <c r="U2" s="1704"/>
      <c r="V2" s="1704"/>
      <c r="W2" s="1704"/>
      <c r="X2" s="1704"/>
      <c r="Y2" s="1708"/>
      <c r="Z2" s="1709"/>
      <c r="AB2" s="1710" t="s">
        <v>22</v>
      </c>
      <c r="AC2" s="1711" t="s">
        <v>101</v>
      </c>
      <c r="AD2" s="1712" t="s">
        <v>102</v>
      </c>
      <c r="AE2" s="1713" t="s">
        <v>2</v>
      </c>
      <c r="AF2" s="1714" t="s">
        <v>103</v>
      </c>
    </row>
    <row r="3" spans="1:32" s="1693" customFormat="1" ht="17.399999999999999" thickBot="1">
      <c r="B3" s="1694"/>
      <c r="D3" s="1695"/>
      <c r="E3" s="1695"/>
      <c r="F3" s="1695"/>
      <c r="G3" s="1695"/>
      <c r="H3" s="1695"/>
      <c r="I3" s="1695"/>
      <c r="J3" s="1697"/>
      <c r="K3" s="1697"/>
      <c r="L3" s="1697"/>
      <c r="M3" s="1715"/>
      <c r="N3" s="1697"/>
      <c r="O3" s="1698"/>
      <c r="P3" s="1698"/>
      <c r="Q3" s="1716"/>
      <c r="R3" s="1697"/>
      <c r="S3" s="1717"/>
      <c r="T3" s="1697"/>
      <c r="U3" s="1718" t="s">
        <v>104</v>
      </c>
      <c r="V3" s="1719">
        <f>SUM(N7:N408)</f>
        <v>63775451</v>
      </c>
      <c r="W3" s="1720"/>
      <c r="X3" s="1720"/>
      <c r="Y3" s="1721"/>
      <c r="Z3" s="1720"/>
      <c r="AB3" s="1722" t="s">
        <v>7</v>
      </c>
      <c r="AC3" s="1723">
        <f>SUMIF($O$7:$O$408,"January",$N$7:$N$408)</f>
        <v>7550534</v>
      </c>
      <c r="AD3" s="1724">
        <f>SUMIF($U$7:$U$408,"January",$T$7:$T$408)</f>
        <v>408580</v>
      </c>
      <c r="AE3" s="1725">
        <f>SUMIF($P$7:$P$427,"January",$N$7:$N$427)</f>
        <v>1503580</v>
      </c>
      <c r="AF3" s="1726">
        <f>AE3-AD3</f>
        <v>1095000</v>
      </c>
    </row>
    <row r="4" spans="1:32" s="1693" customFormat="1" ht="21.6" thickBot="1">
      <c r="A4" s="1727" t="s">
        <v>105</v>
      </c>
      <c r="B4" s="1728">
        <f>COUNTA(B7:B1429)</f>
        <v>96</v>
      </c>
      <c r="C4" s="1729"/>
      <c r="D4" s="1730"/>
      <c r="E4" s="1730"/>
      <c r="F4" s="1730"/>
      <c r="G4" s="1730"/>
      <c r="H4" s="1730"/>
      <c r="I4" s="1730"/>
      <c r="J4" s="1731"/>
      <c r="K4" s="1731"/>
      <c r="L4" s="1731"/>
      <c r="M4" s="1717"/>
      <c r="N4" s="1732"/>
      <c r="O4" s="1732"/>
      <c r="P4" s="1732"/>
      <c r="Q4" s="1716"/>
      <c r="R4" s="1732">
        <f>SUMIFS(N13:N24,P13:P24,"April",J13:J24,"Contract")</f>
        <v>0</v>
      </c>
      <c r="S4" s="1717"/>
      <c r="T4" s="1732"/>
      <c r="U4" s="1733" t="s">
        <v>54</v>
      </c>
      <c r="V4" s="1734">
        <f>SUM(T7:T408)</f>
        <v>45660707</v>
      </c>
      <c r="W4" s="1735"/>
      <c r="X4" s="1735"/>
      <c r="Y4" s="1721"/>
      <c r="Z4" s="1735"/>
      <c r="AB4" s="1736" t="s">
        <v>18</v>
      </c>
      <c r="AC4" s="1737">
        <f>SUMIF($O$7:$O$408,"February",$N$7:$N$408)</f>
        <v>2845724</v>
      </c>
      <c r="AD4" s="1738">
        <f>SUMIF($U$7:$U$408,"February",$T$7:$T$408)</f>
        <v>1833000</v>
      </c>
      <c r="AE4" s="1725">
        <f>SUMIF($P$7:$P$427,"February",$N$7:$N$427)</f>
        <v>738000</v>
      </c>
      <c r="AF4" s="1726">
        <f t="shared" ref="AF4:AF14" si="0">AE4-AD4</f>
        <v>-1095000</v>
      </c>
    </row>
    <row r="5" spans="1:32" s="1693" customFormat="1" ht="27.75" customHeight="1" thickBot="1">
      <c r="A5" s="1739"/>
      <c r="B5" s="1740"/>
      <c r="C5" s="1729"/>
      <c r="D5" s="1730"/>
      <c r="E5" s="1730"/>
      <c r="F5" s="1730"/>
      <c r="G5" s="1730"/>
      <c r="H5" s="1730"/>
      <c r="I5" s="1730"/>
      <c r="J5" s="1731"/>
      <c r="K5" s="1731"/>
      <c r="L5" s="1731"/>
      <c r="M5" s="1717"/>
      <c r="N5" s="1732"/>
      <c r="O5" s="1732"/>
      <c r="P5" s="1732"/>
      <c r="Q5" s="1716"/>
      <c r="R5" s="1732"/>
      <c r="S5" s="1717"/>
      <c r="T5" s="1732"/>
      <c r="U5" s="1733" t="s">
        <v>13</v>
      </c>
      <c r="V5" s="1734">
        <f>SUM(V7:V408)</f>
        <v>13599894</v>
      </c>
      <c r="W5" s="1741"/>
      <c r="X5" s="1741"/>
      <c r="Y5" s="1742" t="s">
        <v>106</v>
      </c>
      <c r="Z5" s="3481"/>
      <c r="AA5" s="3481"/>
      <c r="AB5" s="1736" t="s">
        <v>25</v>
      </c>
      <c r="AC5" s="1737">
        <f>SUMIF($O$7:$O$408,"March",$N$7:$N$408)</f>
        <v>27185038</v>
      </c>
      <c r="AD5" s="1738">
        <f>SUMIF($U$7:$U$408,"March",$T$7:$T$408)</f>
        <v>799106</v>
      </c>
      <c r="AE5" s="1725">
        <f>SUMIF($P$7:$P$427,"March",$N$7:$N$427)</f>
        <v>799106</v>
      </c>
      <c r="AF5" s="1726">
        <f t="shared" si="0"/>
        <v>0</v>
      </c>
    </row>
    <row r="6" spans="1:32" s="1744" customFormat="1" ht="62.4">
      <c r="A6" s="260" t="s">
        <v>107</v>
      </c>
      <c r="B6" s="260" t="s">
        <v>108</v>
      </c>
      <c r="C6" s="885" t="s">
        <v>109</v>
      </c>
      <c r="D6" s="260" t="s">
        <v>110</v>
      </c>
      <c r="E6" s="260" t="s">
        <v>111</v>
      </c>
      <c r="F6" s="260" t="s">
        <v>112</v>
      </c>
      <c r="G6" s="260" t="s">
        <v>113</v>
      </c>
      <c r="H6" s="260" t="s">
        <v>114</v>
      </c>
      <c r="I6" s="258" t="s">
        <v>115</v>
      </c>
      <c r="J6" s="2014" t="s">
        <v>116</v>
      </c>
      <c r="K6" s="260" t="s">
        <v>117</v>
      </c>
      <c r="L6" s="260" t="s">
        <v>118</v>
      </c>
      <c r="M6" s="956" t="s">
        <v>119</v>
      </c>
      <c r="N6" s="324" t="s">
        <v>120</v>
      </c>
      <c r="O6" s="260" t="s">
        <v>121</v>
      </c>
      <c r="P6" s="260" t="s">
        <v>93</v>
      </c>
      <c r="Q6" s="324" t="s">
        <v>122</v>
      </c>
      <c r="R6" s="324" t="s">
        <v>123</v>
      </c>
      <c r="S6" s="965" t="s">
        <v>124</v>
      </c>
      <c r="T6" s="324" t="s">
        <v>125</v>
      </c>
      <c r="U6" s="260" t="s">
        <v>126</v>
      </c>
      <c r="V6" s="260" t="s">
        <v>13</v>
      </c>
      <c r="W6" s="260" t="s">
        <v>127</v>
      </c>
      <c r="X6" s="261" t="s">
        <v>128</v>
      </c>
      <c r="Y6" s="329" t="s">
        <v>129</v>
      </c>
      <c r="Z6" s="642" t="s">
        <v>130</v>
      </c>
      <c r="AA6" s="1743" t="s">
        <v>131</v>
      </c>
      <c r="AB6" s="1736" t="s">
        <v>28</v>
      </c>
      <c r="AC6" s="1737">
        <f>SUMIF($O$7:$O$408,"April",$N$7:$N$408)</f>
        <v>380716</v>
      </c>
      <c r="AD6" s="1738">
        <f>SUMIF($U$7:$U$408,"April",$T$7:$T$408)</f>
        <v>29031268</v>
      </c>
      <c r="AE6" s="1725">
        <f>SUMIF($P$7:$P$427,"April",$N$7:$N$427)</f>
        <v>29793925</v>
      </c>
      <c r="AF6" s="1726">
        <f t="shared" si="0"/>
        <v>762657</v>
      </c>
    </row>
    <row r="7" spans="1:32" s="1744" customFormat="1" ht="15.6">
      <c r="A7" s="1745">
        <v>1</v>
      </c>
      <c r="B7" s="1746">
        <v>45667</v>
      </c>
      <c r="C7" s="1747" t="s">
        <v>132</v>
      </c>
      <c r="D7" s="1748" t="s">
        <v>133</v>
      </c>
      <c r="E7" s="1748" t="s">
        <v>134</v>
      </c>
      <c r="F7" s="1748" t="s">
        <v>135</v>
      </c>
      <c r="G7" s="1748">
        <v>8237003520</v>
      </c>
      <c r="H7" s="1749" t="s">
        <v>136</v>
      </c>
      <c r="I7" s="1750" t="s">
        <v>137</v>
      </c>
      <c r="J7" s="1750" t="s">
        <v>77</v>
      </c>
      <c r="K7" s="1750" t="s">
        <v>138</v>
      </c>
      <c r="L7" s="1750" t="s">
        <v>139</v>
      </c>
      <c r="M7" s="1751">
        <v>45394</v>
      </c>
      <c r="N7" s="1752">
        <v>0</v>
      </c>
      <c r="O7" s="1752" t="s">
        <v>7</v>
      </c>
      <c r="P7" s="1752" t="s">
        <v>25</v>
      </c>
      <c r="Q7" s="1753">
        <v>0.5</v>
      </c>
      <c r="R7" s="1754"/>
      <c r="S7" s="1755"/>
      <c r="T7" s="1752">
        <v>0</v>
      </c>
      <c r="U7" s="1756"/>
      <c r="V7" s="1323">
        <f>Table62689345[[#This Row],[Offer Value]]-Table62689345[[#This Row],[PO Value]]</f>
        <v>0</v>
      </c>
      <c r="W7" s="1752" t="s">
        <v>140</v>
      </c>
      <c r="X7" s="1757"/>
      <c r="Y7" s="1758"/>
      <c r="Z7" s="1759"/>
      <c r="AA7" s="1760"/>
      <c r="AB7" s="1761" t="s">
        <v>30</v>
      </c>
      <c r="AC7" s="1737">
        <f>SUMIF($O$7:$O$408,"May",$N$7:$N$408)</f>
        <v>1732000</v>
      </c>
      <c r="AD7" s="1738">
        <f>SUMIF($U$7:$U$408,"May",$T$7:$T$408)</f>
        <v>1855692</v>
      </c>
      <c r="AE7" s="1725">
        <f>SUMIF($P$7:$P$427,"May",$N$7:$N$427)</f>
        <v>2155128</v>
      </c>
      <c r="AF7" s="1726">
        <f t="shared" si="0"/>
        <v>299436</v>
      </c>
    </row>
    <row r="8" spans="1:32" s="1744" customFormat="1" ht="15.6">
      <c r="A8" s="1762">
        <v>2</v>
      </c>
      <c r="B8" s="1746"/>
      <c r="C8" s="1747" t="s">
        <v>132</v>
      </c>
      <c r="D8" s="1748" t="s">
        <v>133</v>
      </c>
      <c r="E8" s="1748" t="s">
        <v>134</v>
      </c>
      <c r="F8" s="1748" t="s">
        <v>135</v>
      </c>
      <c r="G8" s="1748">
        <v>8237003521</v>
      </c>
      <c r="H8" s="1763" t="s">
        <v>136</v>
      </c>
      <c r="I8" s="1750" t="s">
        <v>141</v>
      </c>
      <c r="J8" s="1750" t="s">
        <v>77</v>
      </c>
      <c r="K8" s="1750" t="s">
        <v>138</v>
      </c>
      <c r="L8" s="1750" t="s">
        <v>139</v>
      </c>
      <c r="M8" s="1751">
        <v>45394</v>
      </c>
      <c r="N8" s="1752">
        <v>0</v>
      </c>
      <c r="O8" s="1752" t="s">
        <v>7</v>
      </c>
      <c r="P8" s="1752" t="s">
        <v>25</v>
      </c>
      <c r="Q8" s="1753">
        <v>0.5</v>
      </c>
      <c r="R8" s="1754"/>
      <c r="S8" s="1755"/>
      <c r="T8" s="1752">
        <v>0</v>
      </c>
      <c r="U8" s="1756"/>
      <c r="V8" s="1323">
        <f>Table62689345[[#This Row],[Offer Value]]-Table62689345[[#This Row],[PO Value]]</f>
        <v>0</v>
      </c>
      <c r="W8" s="1752" t="s">
        <v>140</v>
      </c>
      <c r="X8" s="1757"/>
      <c r="Y8" s="1758"/>
      <c r="Z8" s="1759"/>
      <c r="AA8" s="1760"/>
      <c r="AB8" s="1761" t="s">
        <v>34</v>
      </c>
      <c r="AC8" s="1737">
        <f>SUMIF($O$7:$O$408,"June",$N$7:$N$408)</f>
        <v>824959</v>
      </c>
      <c r="AD8" s="1738">
        <f>SUMIF($U$7:$U$408,"June",$T$7:$T$408)</f>
        <v>2134682</v>
      </c>
      <c r="AE8" s="1725">
        <f>SUMIF($P$7:$P$427,"June",$N$7:$N$427)</f>
        <v>2185972</v>
      </c>
      <c r="AF8" s="1726">
        <f t="shared" si="0"/>
        <v>51290</v>
      </c>
    </row>
    <row r="9" spans="1:32" s="1744" customFormat="1" ht="15.6">
      <c r="A9" s="1745">
        <v>3</v>
      </c>
      <c r="B9" s="1746">
        <v>45667</v>
      </c>
      <c r="C9" s="1747" t="s">
        <v>142</v>
      </c>
      <c r="D9" s="1748" t="s">
        <v>133</v>
      </c>
      <c r="E9" s="1748" t="s">
        <v>143</v>
      </c>
      <c r="F9" s="1748" t="s">
        <v>144</v>
      </c>
      <c r="G9" s="1748" t="s">
        <v>145</v>
      </c>
      <c r="H9" s="1763" t="s">
        <v>146</v>
      </c>
      <c r="I9" s="1750" t="s">
        <v>147</v>
      </c>
      <c r="J9" s="1750" t="s">
        <v>77</v>
      </c>
      <c r="K9" s="1750" t="s">
        <v>138</v>
      </c>
      <c r="L9" s="1750" t="s">
        <v>148</v>
      </c>
      <c r="M9" s="1751">
        <v>45394</v>
      </c>
      <c r="N9" s="1752">
        <v>0</v>
      </c>
      <c r="O9" s="1752" t="s">
        <v>7</v>
      </c>
      <c r="P9" s="1752" t="s">
        <v>25</v>
      </c>
      <c r="Q9" s="1753">
        <v>0.5</v>
      </c>
      <c r="R9" s="1754"/>
      <c r="S9" s="1755"/>
      <c r="T9" s="1752">
        <v>0</v>
      </c>
      <c r="U9" s="1756"/>
      <c r="V9" s="1323">
        <f>Table62689345[[#This Row],[Offer Value]]-Table62689345[[#This Row],[PO Value]]</f>
        <v>0</v>
      </c>
      <c r="W9" s="1752" t="s">
        <v>140</v>
      </c>
      <c r="X9" s="1757"/>
      <c r="Y9" s="1758"/>
      <c r="Z9" s="1759"/>
      <c r="AA9" s="1760"/>
      <c r="AB9" s="1761" t="s">
        <v>37</v>
      </c>
      <c r="AC9" s="1737">
        <f>SUMIF($O$7:$O$408,"July",$N$7:$N$408)</f>
        <v>2136554</v>
      </c>
      <c r="AD9" s="1738">
        <f>SUMIF($U$7:$U$408,"July",$T$7:$T$408)</f>
        <v>1689392</v>
      </c>
      <c r="AE9" s="1725">
        <f>SUMIF($P$7:$P$427,"July",$N$7:$N$427)</f>
        <v>1752032</v>
      </c>
      <c r="AF9" s="1726">
        <f t="shared" si="0"/>
        <v>62640</v>
      </c>
    </row>
    <row r="10" spans="1:32" s="1744" customFormat="1" ht="15.6">
      <c r="A10" s="1762">
        <v>4</v>
      </c>
      <c r="B10" s="1746"/>
      <c r="C10" s="1747" t="s">
        <v>142</v>
      </c>
      <c r="D10" s="1748" t="s">
        <v>133</v>
      </c>
      <c r="E10" s="1748" t="s">
        <v>143</v>
      </c>
      <c r="F10" s="1748" t="s">
        <v>144</v>
      </c>
      <c r="G10" s="1748" t="s">
        <v>145</v>
      </c>
      <c r="H10" s="1764" t="s">
        <v>146</v>
      </c>
      <c r="I10" s="1750" t="s">
        <v>149</v>
      </c>
      <c r="J10" s="1750" t="s">
        <v>77</v>
      </c>
      <c r="K10" s="1750" t="s">
        <v>138</v>
      </c>
      <c r="L10" s="1750" t="s">
        <v>148</v>
      </c>
      <c r="M10" s="1751">
        <v>45394</v>
      </c>
      <c r="N10" s="1752">
        <v>0</v>
      </c>
      <c r="O10" s="1752" t="s">
        <v>7</v>
      </c>
      <c r="P10" s="1752" t="s">
        <v>25</v>
      </c>
      <c r="Q10" s="1753">
        <v>0.5</v>
      </c>
      <c r="R10" s="1754"/>
      <c r="S10" s="1755"/>
      <c r="T10" s="1752">
        <v>0</v>
      </c>
      <c r="U10" s="1756"/>
      <c r="V10" s="1323">
        <f>Table62689345[[#This Row],[Offer Value]]-Table62689345[[#This Row],[PO Value]]</f>
        <v>0</v>
      </c>
      <c r="W10" s="1752" t="s">
        <v>140</v>
      </c>
      <c r="X10" s="1757"/>
      <c r="Y10" s="1758"/>
      <c r="Z10" s="1759"/>
      <c r="AA10" s="1760"/>
      <c r="AB10" s="1761" t="s">
        <v>39</v>
      </c>
      <c r="AC10" s="1737">
        <f>SUMIF($O$7:$O$408,"August",$N$7:$N$408)</f>
        <v>3732804</v>
      </c>
      <c r="AD10" s="1738">
        <f>SUMIF($U$7:$U$408,"August",$T$7:$T$408)</f>
        <v>1688932</v>
      </c>
      <c r="AE10" s="1725">
        <f>SUMIF($P$7:$P$427,"August",$N$7:$N$427)</f>
        <v>2652512</v>
      </c>
      <c r="AF10" s="1726">
        <f t="shared" si="0"/>
        <v>963580</v>
      </c>
    </row>
    <row r="11" spans="1:32" s="1744" customFormat="1" ht="15.6">
      <c r="A11" s="1745">
        <v>5</v>
      </c>
      <c r="B11" s="1746"/>
      <c r="C11" s="1747" t="s">
        <v>142</v>
      </c>
      <c r="D11" s="1748" t="s">
        <v>133</v>
      </c>
      <c r="E11" s="1748" t="s">
        <v>143</v>
      </c>
      <c r="F11" s="1748" t="s">
        <v>144</v>
      </c>
      <c r="G11" s="1748" t="s">
        <v>150</v>
      </c>
      <c r="H11" s="1764" t="s">
        <v>146</v>
      </c>
      <c r="I11" s="1750" t="s">
        <v>151</v>
      </c>
      <c r="J11" s="1750" t="s">
        <v>77</v>
      </c>
      <c r="K11" s="1750" t="s">
        <v>138</v>
      </c>
      <c r="L11" s="1750" t="s">
        <v>148</v>
      </c>
      <c r="M11" s="1751">
        <v>45394</v>
      </c>
      <c r="N11" s="1752">
        <v>0</v>
      </c>
      <c r="O11" s="1752" t="s">
        <v>7</v>
      </c>
      <c r="P11" s="1752" t="s">
        <v>25</v>
      </c>
      <c r="Q11" s="1753">
        <v>0.5</v>
      </c>
      <c r="R11" s="1754"/>
      <c r="S11" s="1755"/>
      <c r="T11" s="1752">
        <v>0</v>
      </c>
      <c r="U11" s="1756"/>
      <c r="V11" s="1323">
        <f>Table62689345[[#This Row],[Offer Value]]-Table62689345[[#This Row],[PO Value]]</f>
        <v>0</v>
      </c>
      <c r="W11" s="1752" t="s">
        <v>140</v>
      </c>
      <c r="X11" s="1757"/>
      <c r="Y11" s="1758"/>
      <c r="Z11" s="1759"/>
      <c r="AA11" s="1760"/>
      <c r="AB11" s="1761" t="s">
        <v>44</v>
      </c>
      <c r="AC11" s="1737">
        <f>SUMIF($O$7:$O$408,"September",$N$7:$N$408)</f>
        <v>7153666</v>
      </c>
      <c r="AD11" s="1738">
        <f>SUMIF($U$7:$U$408,"September",$T$7:$T$408)</f>
        <v>1746740</v>
      </c>
      <c r="AE11" s="1725">
        <f>SUMIF($P$7:$P$427,"September",$N$7:$N$427)</f>
        <v>4109040</v>
      </c>
      <c r="AF11" s="1726">
        <f t="shared" si="0"/>
        <v>2362300</v>
      </c>
    </row>
    <row r="12" spans="1:32" s="2309" customFormat="1" ht="20.399999999999999" customHeight="1">
      <c r="A12" s="1871">
        <v>6</v>
      </c>
      <c r="B12" s="1856">
        <v>45667</v>
      </c>
      <c r="C12" s="1857" t="s">
        <v>152</v>
      </c>
      <c r="D12" s="1858" t="s">
        <v>133</v>
      </c>
      <c r="E12" s="1858" t="s">
        <v>153</v>
      </c>
      <c r="F12" s="1858" t="s">
        <v>154</v>
      </c>
      <c r="G12" s="1858">
        <v>7507568788</v>
      </c>
      <c r="H12" s="1859" t="s">
        <v>155</v>
      </c>
      <c r="I12" s="1860" t="s">
        <v>156</v>
      </c>
      <c r="J12" s="1860" t="s">
        <v>80</v>
      </c>
      <c r="K12" s="1860" t="s">
        <v>157</v>
      </c>
      <c r="L12" s="1860" t="s">
        <v>158</v>
      </c>
      <c r="M12" s="1861">
        <v>45897</v>
      </c>
      <c r="N12" s="1862">
        <v>2031058</v>
      </c>
      <c r="O12" s="1862" t="s">
        <v>39</v>
      </c>
      <c r="P12" s="1862" t="s">
        <v>44</v>
      </c>
      <c r="Q12" s="1863">
        <v>0.5</v>
      </c>
      <c r="R12" s="2303">
        <v>7001063894</v>
      </c>
      <c r="S12" s="1865">
        <v>45922</v>
      </c>
      <c r="T12" s="1862">
        <v>836318</v>
      </c>
      <c r="U12" s="1866" t="s">
        <v>44</v>
      </c>
      <c r="V12" s="1025">
        <f>Table62689345[[#This Row],[Offer Value]]-Table62689345[[#This Row],[PO Value]]</f>
        <v>1194740</v>
      </c>
      <c r="W12" s="1862"/>
      <c r="X12" s="1867"/>
      <c r="Y12" s="1868"/>
      <c r="Z12" s="1869" t="s">
        <v>157</v>
      </c>
      <c r="AA12" s="1870"/>
      <c r="AB12" s="2304" t="s">
        <v>47</v>
      </c>
      <c r="AC12" s="2305">
        <f>SUMIF($O$7:$O$408,"October",$N$7:$N$408)</f>
        <v>443773</v>
      </c>
      <c r="AD12" s="2306">
        <f>SUMIF($U$7:$U$408,"October",$T$7:$T$408)</f>
        <v>2094893</v>
      </c>
      <c r="AE12" s="2307">
        <f>SUMIF($P$7:$P$427,"October",$N$7:$N$427)</f>
        <v>1603555</v>
      </c>
      <c r="AF12" s="2308">
        <f t="shared" si="0"/>
        <v>-491338</v>
      </c>
    </row>
    <row r="13" spans="1:32" s="1744" customFormat="1" ht="15.6">
      <c r="A13" s="1855">
        <v>7</v>
      </c>
      <c r="B13" s="1856">
        <v>45667</v>
      </c>
      <c r="C13" s="1857" t="s">
        <v>159</v>
      </c>
      <c r="D13" s="1858" t="s">
        <v>133</v>
      </c>
      <c r="E13" s="1858" t="s">
        <v>160</v>
      </c>
      <c r="F13" s="1858" t="s">
        <v>161</v>
      </c>
      <c r="G13" s="1858">
        <v>9503006627</v>
      </c>
      <c r="H13" s="1859" t="s">
        <v>162</v>
      </c>
      <c r="I13" s="1860" t="s">
        <v>163</v>
      </c>
      <c r="J13" s="1860" t="s">
        <v>73</v>
      </c>
      <c r="K13" s="1860" t="s">
        <v>138</v>
      </c>
      <c r="L13" s="1860" t="s">
        <v>164</v>
      </c>
      <c r="M13" s="1861">
        <v>45419</v>
      </c>
      <c r="N13" s="1862">
        <v>56000</v>
      </c>
      <c r="O13" s="1862" t="s">
        <v>7</v>
      </c>
      <c r="P13" s="1862" t="s">
        <v>34</v>
      </c>
      <c r="Q13" s="1863">
        <v>0.7</v>
      </c>
      <c r="R13" s="1864">
        <v>6500007595</v>
      </c>
      <c r="S13" s="1865">
        <v>45820</v>
      </c>
      <c r="T13" s="1862">
        <v>56000</v>
      </c>
      <c r="U13" s="1866" t="s">
        <v>34</v>
      </c>
      <c r="V13" s="1025">
        <f>Table62689345[[#This Row],[PO Value]]-Table62689345[[#This Row],[Offer Value]]</f>
        <v>0</v>
      </c>
      <c r="W13" s="1862" t="s">
        <v>165</v>
      </c>
      <c r="X13" s="1867"/>
      <c r="Y13" s="1868"/>
      <c r="Z13" s="1869"/>
      <c r="AA13" s="1870"/>
      <c r="AB13" s="1761" t="s">
        <v>49</v>
      </c>
      <c r="AC13" s="1737">
        <f>SUMIF($O$7:$O$408,"November",$N$7:$N$408)</f>
        <v>7556364</v>
      </c>
      <c r="AD13" s="1738">
        <f>SUMIF($U$7:$U$408,"November",$T$7:$T$408)</f>
        <v>1087080</v>
      </c>
      <c r="AE13" s="1725">
        <f>SUMIF($P$7:$P$427,"November",$N$7:$N$427)</f>
        <v>1673209</v>
      </c>
      <c r="AF13" s="1726">
        <f t="shared" si="0"/>
        <v>586129</v>
      </c>
    </row>
    <row r="14" spans="1:32" s="1744" customFormat="1" ht="15.6">
      <c r="A14" s="1871">
        <v>8</v>
      </c>
      <c r="B14" s="1856"/>
      <c r="C14" s="1872" t="s">
        <v>159</v>
      </c>
      <c r="D14" s="1858" t="s">
        <v>133</v>
      </c>
      <c r="E14" s="1858" t="s">
        <v>160</v>
      </c>
      <c r="F14" s="1858" t="s">
        <v>161</v>
      </c>
      <c r="G14" s="1858">
        <v>9503006627</v>
      </c>
      <c r="H14" s="1859" t="s">
        <v>162</v>
      </c>
      <c r="I14" s="1860" t="s">
        <v>166</v>
      </c>
      <c r="J14" s="1860" t="s">
        <v>73</v>
      </c>
      <c r="K14" s="1860" t="s">
        <v>138</v>
      </c>
      <c r="L14" s="1860" t="s">
        <v>164</v>
      </c>
      <c r="M14" s="1861">
        <v>45419</v>
      </c>
      <c r="N14" s="1862">
        <v>56000</v>
      </c>
      <c r="O14" s="1862" t="s">
        <v>7</v>
      </c>
      <c r="P14" s="1862" t="s">
        <v>34</v>
      </c>
      <c r="Q14" s="1863">
        <v>0.7</v>
      </c>
      <c r="R14" s="1864">
        <v>6500007595</v>
      </c>
      <c r="S14" s="1865">
        <v>45820</v>
      </c>
      <c r="T14" s="1862">
        <v>56000</v>
      </c>
      <c r="U14" s="1866" t="s">
        <v>34</v>
      </c>
      <c r="V14" s="1025">
        <f>Table62689345[[#This Row],[PO Value]]-Table62689345[[#This Row],[Offer Value]]</f>
        <v>0</v>
      </c>
      <c r="W14" s="1862" t="s">
        <v>165</v>
      </c>
      <c r="X14" s="1867"/>
      <c r="Y14" s="1868"/>
      <c r="Z14" s="1869"/>
      <c r="AA14" s="1870"/>
      <c r="AB14" s="1761" t="s">
        <v>62</v>
      </c>
      <c r="AC14" s="1737">
        <f>SUMIF($O$7:$O$408,"December",$N$7:$N$408)</f>
        <v>2233319</v>
      </c>
      <c r="AD14" s="1738">
        <f>SUMIF($U$7:$U$408,"December",$T$7:$T$408)</f>
        <v>1291342</v>
      </c>
      <c r="AE14" s="1725">
        <f>SUMIF($P$7:$P$427,"December",$N$7:$N$427)</f>
        <v>14809392</v>
      </c>
      <c r="AF14" s="1726">
        <f t="shared" si="0"/>
        <v>13518050</v>
      </c>
    </row>
    <row r="15" spans="1:32" s="246" customFormat="1" ht="15.6">
      <c r="A15" s="1020">
        <v>9</v>
      </c>
      <c r="B15" s="1021"/>
      <c r="C15" s="1873" t="s">
        <v>159</v>
      </c>
      <c r="D15" s="1034" t="s">
        <v>133</v>
      </c>
      <c r="E15" s="1034" t="s">
        <v>160</v>
      </c>
      <c r="F15" s="1035" t="s">
        <v>161</v>
      </c>
      <c r="G15" s="1035">
        <v>9503006627</v>
      </c>
      <c r="H15" s="1036" t="s">
        <v>162</v>
      </c>
      <c r="I15" s="1022" t="s">
        <v>167</v>
      </c>
      <c r="J15" s="1860" t="s">
        <v>73</v>
      </c>
      <c r="K15" s="1860" t="s">
        <v>138</v>
      </c>
      <c r="L15" s="1022" t="s">
        <v>164</v>
      </c>
      <c r="M15" s="1874">
        <v>45419</v>
      </c>
      <c r="N15" s="1023">
        <v>56000</v>
      </c>
      <c r="O15" s="1862" t="s">
        <v>7</v>
      </c>
      <c r="P15" s="1023" t="s">
        <v>34</v>
      </c>
      <c r="Q15" s="1024">
        <v>0.7</v>
      </c>
      <c r="R15" s="1864">
        <v>6500007595</v>
      </c>
      <c r="S15" s="1865">
        <v>45820</v>
      </c>
      <c r="T15" s="1023">
        <v>56000</v>
      </c>
      <c r="U15" s="1866" t="s">
        <v>34</v>
      </c>
      <c r="V15" s="1025">
        <f>Table62689345[[#This Row],[PO Value]]-Table62689345[[#This Row],[Offer Value]]</f>
        <v>0</v>
      </c>
      <c r="W15" s="1862" t="s">
        <v>165</v>
      </c>
      <c r="X15" s="1026"/>
      <c r="Y15" s="1027"/>
      <c r="Z15" s="1028"/>
      <c r="AA15" s="1029"/>
    </row>
    <row r="16" spans="1:32" s="246" customFormat="1" ht="15.6">
      <c r="A16" s="1030">
        <v>10</v>
      </c>
      <c r="B16" s="1021"/>
      <c r="C16" s="1873" t="s">
        <v>159</v>
      </c>
      <c r="D16" s="1034" t="s">
        <v>133</v>
      </c>
      <c r="E16" s="1034" t="s">
        <v>160</v>
      </c>
      <c r="F16" s="1035" t="s">
        <v>161</v>
      </c>
      <c r="G16" s="1035">
        <v>9503006627</v>
      </c>
      <c r="H16" s="1036" t="s">
        <v>162</v>
      </c>
      <c r="I16" s="1022" t="s">
        <v>168</v>
      </c>
      <c r="J16" s="1860" t="s">
        <v>73</v>
      </c>
      <c r="K16" s="1860" t="s">
        <v>138</v>
      </c>
      <c r="L16" s="1022" t="s">
        <v>164</v>
      </c>
      <c r="M16" s="1874">
        <v>45419</v>
      </c>
      <c r="N16" s="1023">
        <v>56000</v>
      </c>
      <c r="O16" s="1862" t="s">
        <v>7</v>
      </c>
      <c r="P16" s="1023" t="s">
        <v>34</v>
      </c>
      <c r="Q16" s="1024">
        <v>0.7</v>
      </c>
      <c r="R16" s="1864">
        <v>6500007595</v>
      </c>
      <c r="S16" s="1865">
        <v>45820</v>
      </c>
      <c r="T16" s="1023">
        <v>56000</v>
      </c>
      <c r="U16" s="1866" t="s">
        <v>34</v>
      </c>
      <c r="V16" s="1025">
        <f>Table62689345[[#This Row],[PO Value]]-Table62689345[[#This Row],[Offer Value]]</f>
        <v>0</v>
      </c>
      <c r="W16" s="1862" t="s">
        <v>165</v>
      </c>
      <c r="X16" s="1026"/>
      <c r="Y16" s="1027"/>
      <c r="Z16" s="1028"/>
      <c r="AA16" s="1029"/>
      <c r="AC16"/>
      <c r="AD16"/>
      <c r="AE16"/>
    </row>
    <row r="17" spans="1:120" s="246" customFormat="1" ht="15.6">
      <c r="A17" s="1020">
        <v>11</v>
      </c>
      <c r="B17" s="1021"/>
      <c r="C17" s="1873" t="s">
        <v>159</v>
      </c>
      <c r="D17" s="1034" t="s">
        <v>133</v>
      </c>
      <c r="E17" s="1034" t="s">
        <v>160</v>
      </c>
      <c r="F17" s="1035" t="s">
        <v>161</v>
      </c>
      <c r="G17" s="1035">
        <v>9503006627</v>
      </c>
      <c r="H17" s="1036" t="s">
        <v>162</v>
      </c>
      <c r="I17" s="1022" t="s">
        <v>169</v>
      </c>
      <c r="J17" s="1860" t="s">
        <v>73</v>
      </c>
      <c r="K17" s="1860" t="s">
        <v>138</v>
      </c>
      <c r="L17" s="1022" t="s">
        <v>164</v>
      </c>
      <c r="M17" s="1874">
        <v>45419</v>
      </c>
      <c r="N17" s="1023">
        <v>56000</v>
      </c>
      <c r="O17" s="1862" t="s">
        <v>7</v>
      </c>
      <c r="P17" s="1023" t="s">
        <v>34</v>
      </c>
      <c r="Q17" s="1024">
        <v>0.7</v>
      </c>
      <c r="R17" s="1864">
        <v>6500007595</v>
      </c>
      <c r="S17" s="1865">
        <v>45820</v>
      </c>
      <c r="T17" s="1023">
        <v>56000</v>
      </c>
      <c r="U17" s="1866" t="s">
        <v>34</v>
      </c>
      <c r="V17" s="1025">
        <f>Table62689345[[#This Row],[PO Value]]-Table62689345[[#This Row],[Offer Value]]</f>
        <v>0</v>
      </c>
      <c r="W17" s="1862" t="s">
        <v>165</v>
      </c>
      <c r="X17" s="1026"/>
      <c r="Y17" s="1027"/>
      <c r="Z17" s="1028"/>
      <c r="AA17" s="1029"/>
      <c r="AC17"/>
      <c r="AD17"/>
      <c r="AE17"/>
    </row>
    <row r="18" spans="1:120" s="246" customFormat="1" ht="15.6">
      <c r="A18" s="1030">
        <v>12</v>
      </c>
      <c r="B18" s="1037"/>
      <c r="C18" s="1873" t="s">
        <v>159</v>
      </c>
      <c r="D18" s="1034" t="s">
        <v>133</v>
      </c>
      <c r="E18" s="1034" t="s">
        <v>160</v>
      </c>
      <c r="F18" s="1034" t="s">
        <v>161</v>
      </c>
      <c r="G18" s="1034">
        <v>9503006627</v>
      </c>
      <c r="H18" s="1038" t="s">
        <v>162</v>
      </c>
      <c r="I18" s="1022" t="s">
        <v>170</v>
      </c>
      <c r="J18" s="1860" t="s">
        <v>73</v>
      </c>
      <c r="K18" s="1860" t="s">
        <v>138</v>
      </c>
      <c r="L18" s="1022" t="s">
        <v>164</v>
      </c>
      <c r="M18" s="1874">
        <v>45419</v>
      </c>
      <c r="N18" s="1023">
        <v>56000</v>
      </c>
      <c r="O18" s="1862" t="s">
        <v>7</v>
      </c>
      <c r="P18" s="1023" t="s">
        <v>34</v>
      </c>
      <c r="Q18" s="1024">
        <v>0.7</v>
      </c>
      <c r="R18" s="1864">
        <v>6500007595</v>
      </c>
      <c r="S18" s="1865">
        <v>45820</v>
      </c>
      <c r="T18" s="1023">
        <v>56000</v>
      </c>
      <c r="U18" s="1866" t="s">
        <v>34</v>
      </c>
      <c r="V18" s="1025">
        <f>Table62689345[[#This Row],[PO Value]]-Table62689345[[#This Row],[Offer Value]]</f>
        <v>0</v>
      </c>
      <c r="W18" s="1862" t="s">
        <v>165</v>
      </c>
      <c r="X18" s="1026"/>
      <c r="Y18" s="1027"/>
      <c r="Z18" s="1028"/>
      <c r="AA18" s="1029"/>
      <c r="AC18"/>
      <c r="AD18"/>
      <c r="AE18"/>
    </row>
    <row r="19" spans="1:120" s="246" customFormat="1" ht="15.6">
      <c r="A19" s="1020">
        <v>13</v>
      </c>
      <c r="B19" s="1039"/>
      <c r="C19" s="1040" t="s">
        <v>159</v>
      </c>
      <c r="D19" s="1035" t="s">
        <v>133</v>
      </c>
      <c r="E19" s="1035" t="s">
        <v>160</v>
      </c>
      <c r="F19" s="1035" t="s">
        <v>161</v>
      </c>
      <c r="G19" s="1035">
        <v>9503006627</v>
      </c>
      <c r="H19" s="1036" t="s">
        <v>162</v>
      </c>
      <c r="I19" s="1022" t="s">
        <v>171</v>
      </c>
      <c r="J19" s="1860" t="s">
        <v>73</v>
      </c>
      <c r="K19" s="1860" t="s">
        <v>138</v>
      </c>
      <c r="L19" s="1041" t="s">
        <v>164</v>
      </c>
      <c r="M19" s="1875">
        <v>45419</v>
      </c>
      <c r="N19" s="1042">
        <v>56000</v>
      </c>
      <c r="O19" s="1862" t="s">
        <v>7</v>
      </c>
      <c r="P19" s="1023" t="s">
        <v>34</v>
      </c>
      <c r="Q19" s="1024">
        <v>0.7</v>
      </c>
      <c r="R19" s="1864">
        <v>6500007595</v>
      </c>
      <c r="S19" s="1865">
        <v>45820</v>
      </c>
      <c r="T19" s="1042">
        <v>56000</v>
      </c>
      <c r="U19" s="1866" t="s">
        <v>34</v>
      </c>
      <c r="V19" s="1025">
        <f>Table62689345[[#This Row],[PO Value]]-Table62689345[[#This Row],[Offer Value]]</f>
        <v>0</v>
      </c>
      <c r="W19" s="1862" t="s">
        <v>165</v>
      </c>
      <c r="X19" s="1026"/>
      <c r="Y19" s="1027"/>
      <c r="Z19" s="1028"/>
      <c r="AA19" s="1029"/>
      <c r="AC19"/>
      <c r="AD19"/>
      <c r="AE19"/>
    </row>
    <row r="20" spans="1:120" s="246" customFormat="1" ht="15.6">
      <c r="A20" s="1030">
        <v>14</v>
      </c>
      <c r="B20" s="1039"/>
      <c r="C20" s="1876" t="s">
        <v>159</v>
      </c>
      <c r="D20" s="1044" t="s">
        <v>133</v>
      </c>
      <c r="E20" s="1044" t="s">
        <v>160</v>
      </c>
      <c r="F20" s="1044" t="s">
        <v>161</v>
      </c>
      <c r="G20" s="1044">
        <v>9503006627</v>
      </c>
      <c r="H20" s="1045" t="s">
        <v>162</v>
      </c>
      <c r="I20" s="1022" t="s">
        <v>172</v>
      </c>
      <c r="J20" s="1860" t="s">
        <v>73</v>
      </c>
      <c r="K20" s="1860" t="s">
        <v>138</v>
      </c>
      <c r="L20" s="1041" t="s">
        <v>164</v>
      </c>
      <c r="M20" s="1875">
        <v>45419</v>
      </c>
      <c r="N20" s="1042">
        <v>56000</v>
      </c>
      <c r="O20" s="1862" t="s">
        <v>7</v>
      </c>
      <c r="P20" s="1023" t="s">
        <v>34</v>
      </c>
      <c r="Q20" s="1024">
        <v>0.7</v>
      </c>
      <c r="R20" s="1864">
        <v>6500007595</v>
      </c>
      <c r="S20" s="1865">
        <v>45820</v>
      </c>
      <c r="T20" s="1042">
        <v>56000</v>
      </c>
      <c r="U20" s="1866" t="s">
        <v>34</v>
      </c>
      <c r="V20" s="1025">
        <f>Table62689345[[#This Row],[PO Value]]-Table62689345[[#This Row],[Offer Value]]</f>
        <v>0</v>
      </c>
      <c r="W20" s="1862" t="s">
        <v>165</v>
      </c>
      <c r="X20" s="1026"/>
      <c r="Y20" s="1027"/>
      <c r="Z20" s="1028"/>
      <c r="AA20" s="1029"/>
      <c r="AC20"/>
      <c r="AD20"/>
      <c r="AE20"/>
    </row>
    <row r="21" spans="1:120" s="1319" customFormat="1" ht="15.6">
      <c r="A21" s="1020">
        <v>15</v>
      </c>
      <c r="B21" s="1021">
        <v>45667</v>
      </c>
      <c r="C21" s="1040" t="s">
        <v>173</v>
      </c>
      <c r="D21" s="1035" t="s">
        <v>133</v>
      </c>
      <c r="E21" s="1035" t="s">
        <v>174</v>
      </c>
      <c r="F21" s="1035" t="s">
        <v>175</v>
      </c>
      <c r="G21" s="1035">
        <v>9613370060</v>
      </c>
      <c r="H21" s="1036" t="s">
        <v>176</v>
      </c>
      <c r="I21" s="1022" t="s">
        <v>171</v>
      </c>
      <c r="J21" s="1860" t="s">
        <v>75</v>
      </c>
      <c r="K21" s="1860" t="s">
        <v>157</v>
      </c>
      <c r="L21" s="1034" t="s">
        <v>177</v>
      </c>
      <c r="M21" s="1048">
        <v>45701</v>
      </c>
      <c r="N21" s="1030">
        <v>141032</v>
      </c>
      <c r="O21" s="1862" t="s">
        <v>18</v>
      </c>
      <c r="P21" s="1023" t="s">
        <v>34</v>
      </c>
      <c r="Q21" s="1024">
        <v>0.5</v>
      </c>
      <c r="R21" s="1780">
        <v>5210059205</v>
      </c>
      <c r="S21" s="1047">
        <v>45793</v>
      </c>
      <c r="T21" s="1023">
        <v>95742</v>
      </c>
      <c r="U21" s="1554" t="s">
        <v>34</v>
      </c>
      <c r="V21" s="1025">
        <f>Table62689345[[#This Row],[PO Value]]-Table62689345[[#This Row],[Offer Value]]</f>
        <v>-45290</v>
      </c>
      <c r="W21" s="1023"/>
      <c r="X21" s="1026"/>
      <c r="Y21" s="1049"/>
      <c r="Z21" s="1028"/>
      <c r="AA21" s="1029"/>
      <c r="AC21" s="1267"/>
      <c r="AD21" s="1267"/>
      <c r="AE21" s="1267"/>
    </row>
    <row r="22" spans="1:120" s="1319" customFormat="1" ht="15.6">
      <c r="A22" s="1030">
        <v>16</v>
      </c>
      <c r="B22" s="1021">
        <v>45667</v>
      </c>
      <c r="C22" s="1781" t="s">
        <v>178</v>
      </c>
      <c r="D22" s="1050" t="s">
        <v>133</v>
      </c>
      <c r="E22" s="1050" t="s">
        <v>179</v>
      </c>
      <c r="F22" s="1050" t="s">
        <v>180</v>
      </c>
      <c r="G22" s="1050">
        <v>9730478741</v>
      </c>
      <c r="H22" s="1031" t="s">
        <v>181</v>
      </c>
      <c r="I22" s="1022" t="s">
        <v>182</v>
      </c>
      <c r="J22" s="1860" t="s">
        <v>75</v>
      </c>
      <c r="K22" s="1860" t="s">
        <v>157</v>
      </c>
      <c r="L22" s="1034" t="s">
        <v>183</v>
      </c>
      <c r="M22" s="1048">
        <v>45607</v>
      </c>
      <c r="N22" s="1053">
        <v>739430</v>
      </c>
      <c r="O22" s="1862" t="s">
        <v>7</v>
      </c>
      <c r="P22" s="1023" t="s">
        <v>30</v>
      </c>
      <c r="Q22" s="1024">
        <v>0.5</v>
      </c>
      <c r="R22" s="1046">
        <v>4700392647</v>
      </c>
      <c r="S22" s="1047" t="s">
        <v>184</v>
      </c>
      <c r="T22" s="1023">
        <v>709852</v>
      </c>
      <c r="U22" s="1554" t="s">
        <v>30</v>
      </c>
      <c r="V22" s="1025">
        <f>Table62689345[[#This Row],[PO Value]]-Table62689345[[#This Row],[Offer Value]]</f>
        <v>-29578</v>
      </c>
      <c r="W22" s="1023"/>
      <c r="X22" s="1026"/>
      <c r="Y22" s="1027"/>
      <c r="Z22" s="1028" t="s">
        <v>157</v>
      </c>
      <c r="AA22" s="1029"/>
      <c r="AC22" s="1267"/>
      <c r="AD22" s="1267"/>
      <c r="AE22" s="1267"/>
    </row>
    <row r="23" spans="1:120" s="246" customFormat="1" ht="27.6" customHeight="1">
      <c r="A23" s="289">
        <v>138</v>
      </c>
      <c r="B23" s="481">
        <v>45922</v>
      </c>
      <c r="C23" s="888" t="s">
        <v>132</v>
      </c>
      <c r="D23" s="374" t="s">
        <v>133</v>
      </c>
      <c r="E23" s="374" t="s">
        <v>185</v>
      </c>
      <c r="F23" s="374" t="s">
        <v>186</v>
      </c>
      <c r="G23" s="374">
        <v>9011018387</v>
      </c>
      <c r="H23" s="375" t="s">
        <v>187</v>
      </c>
      <c r="I23" s="482" t="s">
        <v>188</v>
      </c>
      <c r="J23" s="482" t="s">
        <v>78</v>
      </c>
      <c r="K23" s="482" t="s">
        <v>157</v>
      </c>
      <c r="L23" s="283" t="s">
        <v>189</v>
      </c>
      <c r="M23" s="958">
        <v>45916</v>
      </c>
      <c r="N23" s="289">
        <v>1378000</v>
      </c>
      <c r="O23" s="483" t="s">
        <v>44</v>
      </c>
      <c r="P23" s="483" t="s">
        <v>62</v>
      </c>
      <c r="Q23" s="109">
        <v>0.3</v>
      </c>
      <c r="R23" s="492"/>
      <c r="S23" s="966"/>
      <c r="T23" s="483"/>
      <c r="U23" s="483"/>
      <c r="V23" s="284">
        <f>Table62689345[[#This Row],[Offer Value]]-Table62689345[[#This Row],[PO Value]]</f>
        <v>1378000</v>
      </c>
      <c r="W23" s="483"/>
      <c r="X23" s="2618"/>
      <c r="Y23" s="651"/>
      <c r="Z23" s="641"/>
      <c r="AA23" s="472"/>
      <c r="AC23"/>
      <c r="AD23"/>
      <c r="AE23"/>
    </row>
    <row r="24" spans="1:120" s="1617" customFormat="1" ht="15.6">
      <c r="A24" s="1607">
        <v>18</v>
      </c>
      <c r="B24" s="1608">
        <v>45667</v>
      </c>
      <c r="C24" s="1618" t="s">
        <v>190</v>
      </c>
      <c r="D24" s="1619" t="s">
        <v>133</v>
      </c>
      <c r="E24" s="1619" t="s">
        <v>191</v>
      </c>
      <c r="F24" s="1619" t="s">
        <v>192</v>
      </c>
      <c r="G24" s="1619">
        <v>9881134849</v>
      </c>
      <c r="H24" s="1620" t="s">
        <v>193</v>
      </c>
      <c r="I24" s="1609" t="s">
        <v>194</v>
      </c>
      <c r="J24" s="1991" t="s">
        <v>75</v>
      </c>
      <c r="K24" s="1991" t="s">
        <v>157</v>
      </c>
      <c r="L24" s="1621" t="s">
        <v>195</v>
      </c>
      <c r="M24" s="1622">
        <v>45334</v>
      </c>
      <c r="N24" s="1607">
        <v>0</v>
      </c>
      <c r="O24" s="1994" t="s">
        <v>7</v>
      </c>
      <c r="P24" s="1610" t="s">
        <v>37</v>
      </c>
      <c r="Q24" s="1611">
        <v>0.3</v>
      </c>
      <c r="R24" s="1623"/>
      <c r="S24" s="1624"/>
      <c r="T24" s="1610">
        <v>0</v>
      </c>
      <c r="U24" s="2297"/>
      <c r="V24" s="2302">
        <f>Table62689345[[#This Row],[PO Value]]-Table62689345[[#This Row],[Offer Value]]</f>
        <v>0</v>
      </c>
      <c r="W24" s="1610"/>
      <c r="X24" s="1613"/>
      <c r="Y24" s="1614"/>
      <c r="Z24" s="1615"/>
      <c r="AA24" s="1616"/>
      <c r="AB24" s="246"/>
      <c r="AC24"/>
      <c r="AD24"/>
      <c r="AE24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6"/>
      <c r="BB24" s="246"/>
      <c r="BC24" s="246"/>
      <c r="BD24" s="246"/>
      <c r="BE24" s="246"/>
      <c r="BF24" s="246"/>
      <c r="BG24" s="246"/>
      <c r="BH24" s="246"/>
      <c r="BI24" s="246"/>
      <c r="BJ24" s="246"/>
      <c r="BK24" s="246"/>
      <c r="BL24" s="246"/>
      <c r="BM24" s="246"/>
      <c r="BN24" s="246"/>
      <c r="BO24" s="246"/>
      <c r="BP24" s="246"/>
      <c r="BQ24" s="246"/>
      <c r="BR24" s="246"/>
      <c r="BS24" s="246"/>
      <c r="BT24" s="246"/>
      <c r="BU24" s="246"/>
      <c r="BV24" s="246"/>
      <c r="BW24" s="246"/>
      <c r="BX24" s="246"/>
      <c r="BY24" s="246"/>
      <c r="BZ24" s="246"/>
      <c r="CA24" s="246"/>
      <c r="CB24" s="246"/>
      <c r="CC24" s="246"/>
      <c r="CD24" s="246"/>
      <c r="CE24" s="246"/>
      <c r="CF24" s="246"/>
      <c r="CG24" s="246"/>
      <c r="CH24" s="246"/>
      <c r="CI24" s="246"/>
      <c r="CJ24" s="246"/>
      <c r="CK24" s="246"/>
      <c r="CL24" s="246"/>
      <c r="CM24" s="246"/>
      <c r="CN24" s="246"/>
      <c r="CO24" s="246"/>
      <c r="CP24" s="246"/>
      <c r="CQ24" s="246"/>
      <c r="CR24" s="246"/>
      <c r="CS24" s="246"/>
      <c r="CT24" s="246"/>
      <c r="CU24" s="246"/>
      <c r="CV24" s="246"/>
      <c r="CW24" s="246"/>
      <c r="CX24" s="246"/>
      <c r="CY24" s="246"/>
      <c r="CZ24" s="246"/>
      <c r="DA24" s="246"/>
      <c r="DB24" s="246"/>
      <c r="DC24" s="246"/>
      <c r="DD24" s="246"/>
      <c r="DE24" s="246"/>
      <c r="DF24" s="246"/>
      <c r="DG24" s="246"/>
      <c r="DH24" s="246"/>
      <c r="DI24" s="246"/>
      <c r="DJ24" s="246"/>
      <c r="DK24" s="246"/>
      <c r="DL24" s="246"/>
      <c r="DM24" s="246"/>
      <c r="DN24" s="246"/>
      <c r="DO24" s="246"/>
      <c r="DP24" s="246"/>
    </row>
    <row r="25" spans="1:120" s="246" customFormat="1" ht="15.6">
      <c r="A25" s="1020">
        <v>19</v>
      </c>
      <c r="B25" s="1021">
        <v>45667</v>
      </c>
      <c r="C25" s="1040" t="s">
        <v>196</v>
      </c>
      <c r="D25" s="1035" t="s">
        <v>133</v>
      </c>
      <c r="E25" s="1035" t="s">
        <v>191</v>
      </c>
      <c r="F25" s="1035" t="s">
        <v>197</v>
      </c>
      <c r="G25" s="1035">
        <v>9403849891</v>
      </c>
      <c r="H25" s="1036" t="s">
        <v>198</v>
      </c>
      <c r="I25" s="1022" t="s">
        <v>199</v>
      </c>
      <c r="J25" s="1860" t="s">
        <v>75</v>
      </c>
      <c r="K25" s="1860" t="s">
        <v>157</v>
      </c>
      <c r="L25" s="1034" t="s">
        <v>200</v>
      </c>
      <c r="M25" s="1048" t="s">
        <v>201</v>
      </c>
      <c r="N25" s="1030">
        <v>35000</v>
      </c>
      <c r="O25" s="1862" t="s">
        <v>7</v>
      </c>
      <c r="P25" s="1023" t="s">
        <v>7</v>
      </c>
      <c r="Q25" s="1024">
        <v>0.7</v>
      </c>
      <c r="R25" s="1046">
        <v>7356</v>
      </c>
      <c r="S25" s="1047">
        <v>45667</v>
      </c>
      <c r="T25" s="1023">
        <v>35000</v>
      </c>
      <c r="U25" s="1554" t="s">
        <v>7</v>
      </c>
      <c r="V25" s="1025">
        <f>Table62689345[[#This Row],[PO Value]]-Table62689345[[#This Row],[Offer Value]]</f>
        <v>0</v>
      </c>
      <c r="W25" s="1023"/>
      <c r="X25" s="1026"/>
      <c r="Y25" s="1027" t="s">
        <v>202</v>
      </c>
      <c r="Z25" s="1028"/>
      <c r="AA25" s="1029"/>
      <c r="AC25"/>
      <c r="AD25"/>
      <c r="AE25"/>
    </row>
    <row r="26" spans="1:120" s="1319" customFormat="1" ht="15.6">
      <c r="A26" s="1030">
        <v>20</v>
      </c>
      <c r="B26" s="1021">
        <v>45667</v>
      </c>
      <c r="C26" s="1781" t="s">
        <v>159</v>
      </c>
      <c r="D26" s="1050" t="s">
        <v>133</v>
      </c>
      <c r="E26" s="1050" t="s">
        <v>203</v>
      </c>
      <c r="F26" s="1050" t="s">
        <v>204</v>
      </c>
      <c r="G26" s="1050">
        <v>8983467616</v>
      </c>
      <c r="H26" s="1031" t="s">
        <v>205</v>
      </c>
      <c r="I26" s="1022" t="s">
        <v>169</v>
      </c>
      <c r="J26" s="1860" t="s">
        <v>75</v>
      </c>
      <c r="K26" s="1860" t="s">
        <v>157</v>
      </c>
      <c r="L26" s="1034" t="s">
        <v>206</v>
      </c>
      <c r="M26" s="1048">
        <v>45638</v>
      </c>
      <c r="N26" s="1030">
        <v>647302</v>
      </c>
      <c r="O26" s="1862" t="s">
        <v>7</v>
      </c>
      <c r="P26" s="1023" t="s">
        <v>44</v>
      </c>
      <c r="Q26" s="1024">
        <v>0.7</v>
      </c>
      <c r="R26" s="1046">
        <v>66020580</v>
      </c>
      <c r="S26" s="1047">
        <v>45957</v>
      </c>
      <c r="T26" s="1023">
        <v>649648</v>
      </c>
      <c r="U26" s="1866" t="s">
        <v>47</v>
      </c>
      <c r="V26" s="2609">
        <f>Table62689345[[#This Row],[PO Value]]-Table62689345[[#This Row],[Offer Value]]</f>
        <v>2346</v>
      </c>
      <c r="W26" s="1023" t="s">
        <v>207</v>
      </c>
      <c r="X26" s="1026"/>
      <c r="Y26" s="1051"/>
      <c r="Z26" s="1028" t="s">
        <v>208</v>
      </c>
      <c r="AA26" s="1029"/>
      <c r="AC26" s="1267"/>
      <c r="AD26" s="1267"/>
      <c r="AE26" s="1267"/>
    </row>
    <row r="27" spans="1:120" s="246" customFormat="1" ht="15.6">
      <c r="A27" s="1020">
        <v>21</v>
      </c>
      <c r="B27" s="1021">
        <v>45668</v>
      </c>
      <c r="C27" s="1040" t="s">
        <v>209</v>
      </c>
      <c r="D27" s="1035" t="s">
        <v>133</v>
      </c>
      <c r="E27" s="1035" t="s">
        <v>210</v>
      </c>
      <c r="F27" s="1035" t="s">
        <v>211</v>
      </c>
      <c r="G27" s="1035">
        <v>9970010738</v>
      </c>
      <c r="H27" s="1036" t="s">
        <v>212</v>
      </c>
      <c r="I27" s="1022" t="s">
        <v>213</v>
      </c>
      <c r="J27" s="1860" t="s">
        <v>73</v>
      </c>
      <c r="K27" s="1860" t="s">
        <v>138</v>
      </c>
      <c r="L27" s="1034" t="s">
        <v>214</v>
      </c>
      <c r="M27" s="1052">
        <v>45644</v>
      </c>
      <c r="N27" s="1053">
        <v>73500</v>
      </c>
      <c r="O27" s="1862" t="s">
        <v>7</v>
      </c>
      <c r="P27" s="1023" t="s">
        <v>7</v>
      </c>
      <c r="Q27" s="1054">
        <v>1</v>
      </c>
      <c r="R27" s="1046">
        <v>85375744</v>
      </c>
      <c r="S27" s="1047">
        <v>45658</v>
      </c>
      <c r="T27" s="1023">
        <v>73500</v>
      </c>
      <c r="U27" s="1554" t="s">
        <v>7</v>
      </c>
      <c r="V27" s="1025">
        <f>Table62689345[[#This Row],[PO Value]]-Table62689345[[#This Row],[Offer Value]]</f>
        <v>0</v>
      </c>
      <c r="W27" s="1023"/>
      <c r="X27" s="1055"/>
      <c r="Y27" s="1051"/>
      <c r="Z27" s="1028"/>
      <c r="AA27" s="1029"/>
      <c r="AC27"/>
      <c r="AD27"/>
      <c r="AE27"/>
    </row>
    <row r="28" spans="1:120" s="246" customFormat="1" ht="15.6">
      <c r="A28" s="1030">
        <v>22</v>
      </c>
      <c r="B28" s="1021">
        <v>45668</v>
      </c>
      <c r="C28" s="1040" t="s">
        <v>215</v>
      </c>
      <c r="D28" s="1035" t="s">
        <v>133</v>
      </c>
      <c r="E28" s="1035" t="s">
        <v>191</v>
      </c>
      <c r="F28" s="1035" t="s">
        <v>216</v>
      </c>
      <c r="G28" s="1035">
        <v>9552599231</v>
      </c>
      <c r="H28" s="1036" t="s">
        <v>217</v>
      </c>
      <c r="I28" s="1022" t="s">
        <v>218</v>
      </c>
      <c r="J28" s="1860" t="s">
        <v>73</v>
      </c>
      <c r="K28" s="1860" t="s">
        <v>138</v>
      </c>
      <c r="L28" s="1034" t="s">
        <v>219</v>
      </c>
      <c r="M28" s="1052">
        <v>45644</v>
      </c>
      <c r="N28" s="1020">
        <v>83040</v>
      </c>
      <c r="O28" s="1862" t="s">
        <v>7</v>
      </c>
      <c r="P28" s="1023" t="s">
        <v>7</v>
      </c>
      <c r="Q28" s="1054">
        <v>0.8</v>
      </c>
      <c r="R28" s="1046" t="s">
        <v>220</v>
      </c>
      <c r="S28" s="1047">
        <v>45677</v>
      </c>
      <c r="T28" s="1023">
        <v>83040</v>
      </c>
      <c r="U28" s="1554" t="s">
        <v>7</v>
      </c>
      <c r="V28" s="1025">
        <f>Table62689345[[#This Row],[PO Value]]-Table62689345[[#This Row],[Offer Value]]</f>
        <v>0</v>
      </c>
      <c r="W28" s="1023" t="s">
        <v>221</v>
      </c>
      <c r="X28" s="1055"/>
      <c r="Y28" s="1051"/>
      <c r="Z28" s="1028"/>
      <c r="AA28" s="1029"/>
      <c r="AC28"/>
      <c r="AD28"/>
      <c r="AE28"/>
    </row>
    <row r="29" spans="1:120" s="246" customFormat="1" ht="15.6">
      <c r="A29" s="1020">
        <v>23</v>
      </c>
      <c r="B29" s="1021"/>
      <c r="C29" s="1040" t="s">
        <v>215</v>
      </c>
      <c r="D29" s="1035" t="s">
        <v>133</v>
      </c>
      <c r="E29" s="1035" t="s">
        <v>191</v>
      </c>
      <c r="F29" s="1035" t="s">
        <v>216</v>
      </c>
      <c r="G29" s="1035">
        <v>9552599231</v>
      </c>
      <c r="H29" s="1036" t="s">
        <v>217</v>
      </c>
      <c r="I29" s="1022" t="s">
        <v>222</v>
      </c>
      <c r="J29" s="1860" t="s">
        <v>73</v>
      </c>
      <c r="K29" s="1860" t="s">
        <v>138</v>
      </c>
      <c r="L29" s="1034" t="s">
        <v>219</v>
      </c>
      <c r="M29" s="1052">
        <v>45644</v>
      </c>
      <c r="N29" s="1020">
        <v>83040</v>
      </c>
      <c r="O29" s="1862" t="s">
        <v>7</v>
      </c>
      <c r="P29" s="1023" t="s">
        <v>7</v>
      </c>
      <c r="Q29" s="1054">
        <v>0.8</v>
      </c>
      <c r="R29" s="1046" t="s">
        <v>220</v>
      </c>
      <c r="S29" s="1047">
        <v>45677</v>
      </c>
      <c r="T29" s="1023">
        <v>83040</v>
      </c>
      <c r="U29" s="1554" t="s">
        <v>7</v>
      </c>
      <c r="V29" s="1025">
        <f>Table62689345[[#This Row],[PO Value]]-Table62689345[[#This Row],[Offer Value]]</f>
        <v>0</v>
      </c>
      <c r="W29" s="1023" t="s">
        <v>221</v>
      </c>
      <c r="X29" s="1055"/>
      <c r="Y29" s="1051"/>
      <c r="Z29" s="1028"/>
      <c r="AA29" s="1029"/>
      <c r="AC29"/>
      <c r="AD29"/>
      <c r="AE29"/>
    </row>
    <row r="30" spans="1:120" s="246" customFormat="1" ht="15.6">
      <c r="A30" s="1030">
        <v>24</v>
      </c>
      <c r="B30" s="1021">
        <v>45668</v>
      </c>
      <c r="C30" s="1040" t="s">
        <v>223</v>
      </c>
      <c r="D30" s="1035" t="s">
        <v>133</v>
      </c>
      <c r="E30" s="1035" t="s">
        <v>191</v>
      </c>
      <c r="F30" s="1035" t="s">
        <v>224</v>
      </c>
      <c r="G30" s="1035">
        <v>9373850080</v>
      </c>
      <c r="H30" s="1036" t="s">
        <v>225</v>
      </c>
      <c r="I30" s="1022" t="s">
        <v>226</v>
      </c>
      <c r="J30" s="1860" t="s">
        <v>73</v>
      </c>
      <c r="K30" s="1860" t="s">
        <v>138</v>
      </c>
      <c r="L30" s="1034" t="s">
        <v>227</v>
      </c>
      <c r="M30" s="1052">
        <v>45644</v>
      </c>
      <c r="N30" s="1053">
        <v>160000</v>
      </c>
      <c r="O30" s="1862" t="s">
        <v>7</v>
      </c>
      <c r="P30" s="1023" t="s">
        <v>18</v>
      </c>
      <c r="Q30" s="1054">
        <v>0.8</v>
      </c>
      <c r="R30" s="1056">
        <v>2481406</v>
      </c>
      <c r="S30" s="1047">
        <v>45673</v>
      </c>
      <c r="T30" s="1023">
        <v>160000</v>
      </c>
      <c r="U30" s="1554" t="s">
        <v>18</v>
      </c>
      <c r="V30" s="1025">
        <f>Table62689345[[#This Row],[PO Value]]-Table62689345[[#This Row],[Offer Value]]</f>
        <v>0</v>
      </c>
      <c r="W30" s="1023"/>
      <c r="X30" s="1055"/>
      <c r="Y30" s="1051"/>
      <c r="Z30" s="1028"/>
      <c r="AA30" s="1029"/>
      <c r="AC30"/>
      <c r="AD30"/>
      <c r="AE30"/>
    </row>
    <row r="31" spans="1:120" s="246" customFormat="1" ht="15.6">
      <c r="A31" s="1020">
        <v>25</v>
      </c>
      <c r="B31" s="1021">
        <v>45668</v>
      </c>
      <c r="C31" s="1040" t="s">
        <v>228</v>
      </c>
      <c r="D31" s="1035" t="s">
        <v>133</v>
      </c>
      <c r="E31" s="1035" t="s">
        <v>191</v>
      </c>
      <c r="F31" s="1035" t="s">
        <v>229</v>
      </c>
      <c r="G31" s="1035">
        <v>9552599231</v>
      </c>
      <c r="H31" s="1036" t="s">
        <v>230</v>
      </c>
      <c r="I31" s="1022" t="s">
        <v>231</v>
      </c>
      <c r="J31" s="1860" t="s">
        <v>73</v>
      </c>
      <c r="K31" s="1860" t="s">
        <v>138</v>
      </c>
      <c r="L31" s="1034" t="s">
        <v>232</v>
      </c>
      <c r="M31" s="1052">
        <v>45644</v>
      </c>
      <c r="N31" s="1053">
        <v>93000</v>
      </c>
      <c r="O31" s="1862" t="s">
        <v>7</v>
      </c>
      <c r="P31" s="1023" t="s">
        <v>18</v>
      </c>
      <c r="Q31" s="1054">
        <v>0.8</v>
      </c>
      <c r="R31" s="1046">
        <v>7700326717</v>
      </c>
      <c r="S31" s="1047">
        <v>45779</v>
      </c>
      <c r="T31" s="1023">
        <v>93000</v>
      </c>
      <c r="U31" s="1554" t="s">
        <v>18</v>
      </c>
      <c r="V31" s="1025">
        <f>Table62689345[[#This Row],[PO Value]]-Table62689345[[#This Row],[Offer Value]]</f>
        <v>0</v>
      </c>
      <c r="W31" s="1023"/>
      <c r="X31" s="1055"/>
      <c r="Y31" s="1051"/>
      <c r="Z31" s="1028"/>
      <c r="AA31" s="1029"/>
      <c r="AC31"/>
      <c r="AD31"/>
      <c r="AE31"/>
    </row>
    <row r="32" spans="1:120" s="246" customFormat="1" ht="15.6">
      <c r="A32" s="1030">
        <v>26</v>
      </c>
      <c r="B32" s="1021"/>
      <c r="C32" s="1040" t="s">
        <v>228</v>
      </c>
      <c r="D32" s="1035" t="s">
        <v>133</v>
      </c>
      <c r="E32" s="1035" t="s">
        <v>191</v>
      </c>
      <c r="F32" s="1035" t="s">
        <v>229</v>
      </c>
      <c r="G32" s="1035">
        <v>9552599231</v>
      </c>
      <c r="H32" s="1036" t="s">
        <v>230</v>
      </c>
      <c r="I32" s="1022" t="s">
        <v>233</v>
      </c>
      <c r="J32" s="1860" t="s">
        <v>73</v>
      </c>
      <c r="K32" s="1860" t="s">
        <v>138</v>
      </c>
      <c r="L32" s="1034" t="s">
        <v>232</v>
      </c>
      <c r="M32" s="1052">
        <v>45644</v>
      </c>
      <c r="N32" s="1053">
        <v>93000</v>
      </c>
      <c r="O32" s="1862" t="s">
        <v>7</v>
      </c>
      <c r="P32" s="1023" t="s">
        <v>18</v>
      </c>
      <c r="Q32" s="1054">
        <v>0.8</v>
      </c>
      <c r="R32" s="1046">
        <v>7700326717</v>
      </c>
      <c r="S32" s="1047">
        <v>45779</v>
      </c>
      <c r="T32" s="1023">
        <v>93000</v>
      </c>
      <c r="U32" s="1554" t="s">
        <v>18</v>
      </c>
      <c r="V32" s="1025">
        <f>Table62689345[[#This Row],[PO Value]]-Table62689345[[#This Row],[Offer Value]]</f>
        <v>0</v>
      </c>
      <c r="W32" s="1023"/>
      <c r="X32" s="1055"/>
      <c r="Y32" s="1051"/>
      <c r="Z32" s="1028"/>
      <c r="AA32" s="1029"/>
      <c r="AC32"/>
      <c r="AD32"/>
      <c r="AE32"/>
    </row>
    <row r="33" spans="1:31" s="246" customFormat="1" ht="15.6">
      <c r="A33" s="1020">
        <v>27</v>
      </c>
      <c r="B33" s="1021"/>
      <c r="C33" s="1040" t="s">
        <v>228</v>
      </c>
      <c r="D33" s="1035" t="s">
        <v>133</v>
      </c>
      <c r="E33" s="1035" t="s">
        <v>191</v>
      </c>
      <c r="F33" s="1035" t="s">
        <v>229</v>
      </c>
      <c r="G33" s="1035">
        <v>9552599231</v>
      </c>
      <c r="H33" s="1036" t="s">
        <v>230</v>
      </c>
      <c r="I33" s="1022" t="s">
        <v>234</v>
      </c>
      <c r="J33" s="1860" t="s">
        <v>73</v>
      </c>
      <c r="K33" s="1860" t="s">
        <v>138</v>
      </c>
      <c r="L33" s="1034" t="s">
        <v>232</v>
      </c>
      <c r="M33" s="1052">
        <v>45644</v>
      </c>
      <c r="N33" s="1053">
        <v>93000</v>
      </c>
      <c r="O33" s="1862" t="s">
        <v>7</v>
      </c>
      <c r="P33" s="1023" t="s">
        <v>18</v>
      </c>
      <c r="Q33" s="1054">
        <v>0.8</v>
      </c>
      <c r="R33" s="1046">
        <v>7700326717</v>
      </c>
      <c r="S33" s="1047">
        <v>45779</v>
      </c>
      <c r="T33" s="1023">
        <v>93000</v>
      </c>
      <c r="U33" s="1554" t="s">
        <v>18</v>
      </c>
      <c r="V33" s="1025">
        <f>Table62689345[[#This Row],[PO Value]]-Table62689345[[#This Row],[Offer Value]]</f>
        <v>0</v>
      </c>
      <c r="W33" s="1023"/>
      <c r="X33" s="1055"/>
      <c r="Y33" s="1051"/>
      <c r="Z33" s="1028"/>
      <c r="AA33" s="1029"/>
      <c r="AC33"/>
      <c r="AD33"/>
      <c r="AE33"/>
    </row>
    <row r="34" spans="1:31" s="246" customFormat="1" ht="15.6">
      <c r="A34" s="1030">
        <v>28</v>
      </c>
      <c r="B34" s="1021"/>
      <c r="C34" s="1040" t="s">
        <v>228</v>
      </c>
      <c r="D34" s="1035" t="s">
        <v>133</v>
      </c>
      <c r="E34" s="1035" t="s">
        <v>191</v>
      </c>
      <c r="F34" s="1035" t="s">
        <v>229</v>
      </c>
      <c r="G34" s="1035">
        <v>9552599231</v>
      </c>
      <c r="H34" s="1036" t="s">
        <v>230</v>
      </c>
      <c r="I34" s="1022" t="s">
        <v>235</v>
      </c>
      <c r="J34" s="1860" t="s">
        <v>73</v>
      </c>
      <c r="K34" s="1860" t="s">
        <v>138</v>
      </c>
      <c r="L34" s="1034" t="s">
        <v>232</v>
      </c>
      <c r="M34" s="1052">
        <v>45644</v>
      </c>
      <c r="N34" s="1053">
        <v>93000</v>
      </c>
      <c r="O34" s="1862" t="s">
        <v>7</v>
      </c>
      <c r="P34" s="1023" t="s">
        <v>18</v>
      </c>
      <c r="Q34" s="1054">
        <v>0.8</v>
      </c>
      <c r="R34" s="1046">
        <v>7700326717</v>
      </c>
      <c r="S34" s="1047">
        <v>45779</v>
      </c>
      <c r="T34" s="1023">
        <v>93000</v>
      </c>
      <c r="U34" s="1554" t="s">
        <v>18</v>
      </c>
      <c r="V34" s="1025">
        <f>Table62689345[[#This Row],[PO Value]]-Table62689345[[#This Row],[Offer Value]]</f>
        <v>0</v>
      </c>
      <c r="W34" s="1023"/>
      <c r="X34" s="1055"/>
      <c r="Y34" s="1051"/>
      <c r="Z34" s="1028"/>
      <c r="AA34" s="1029"/>
      <c r="AC34"/>
      <c r="AD34"/>
      <c r="AE34"/>
    </row>
    <row r="35" spans="1:31" s="246" customFormat="1" ht="15.6">
      <c r="A35" s="1020">
        <v>29</v>
      </c>
      <c r="B35" s="1021">
        <v>45668</v>
      </c>
      <c r="C35" s="1040" t="s">
        <v>236</v>
      </c>
      <c r="D35" s="1035" t="s">
        <v>133</v>
      </c>
      <c r="E35" s="1035" t="s">
        <v>191</v>
      </c>
      <c r="F35" s="1035" t="s">
        <v>237</v>
      </c>
      <c r="G35" s="1035">
        <v>9271117805</v>
      </c>
      <c r="H35" s="1036" t="s">
        <v>238</v>
      </c>
      <c r="I35" s="1022" t="s">
        <v>239</v>
      </c>
      <c r="J35" s="1860" t="s">
        <v>73</v>
      </c>
      <c r="K35" s="1860" t="s">
        <v>138</v>
      </c>
      <c r="L35" s="1034" t="s">
        <v>240</v>
      </c>
      <c r="M35" s="1052">
        <v>45644</v>
      </c>
      <c r="N35" s="1053">
        <v>60000</v>
      </c>
      <c r="O35" s="1862" t="s">
        <v>7</v>
      </c>
      <c r="P35" s="1023" t="s">
        <v>18</v>
      </c>
      <c r="Q35" s="1054">
        <v>0.8</v>
      </c>
      <c r="R35" s="1046">
        <v>7388</v>
      </c>
      <c r="S35" s="1047">
        <v>45667</v>
      </c>
      <c r="T35" s="1023">
        <v>60000</v>
      </c>
      <c r="U35" s="1554" t="s">
        <v>18</v>
      </c>
      <c r="V35" s="1025">
        <f>Table62689345[[#This Row],[PO Value]]-Table62689345[[#This Row],[Offer Value]]</f>
        <v>0</v>
      </c>
      <c r="W35" s="1023"/>
      <c r="X35" s="1055"/>
      <c r="Y35" s="1051"/>
      <c r="Z35" s="1028"/>
      <c r="AA35" s="1029"/>
      <c r="AC35"/>
      <c r="AD35"/>
      <c r="AE35"/>
    </row>
    <row r="36" spans="1:31" s="246" customFormat="1" ht="15.6">
      <c r="A36" s="1030">
        <v>30</v>
      </c>
      <c r="B36" s="1021">
        <v>45668</v>
      </c>
      <c r="C36" s="1040" t="s">
        <v>152</v>
      </c>
      <c r="D36" s="1035" t="s">
        <v>133</v>
      </c>
      <c r="E36" s="1035" t="s">
        <v>153</v>
      </c>
      <c r="F36" s="2310" t="s">
        <v>241</v>
      </c>
      <c r="G36" s="1035">
        <v>9923177609</v>
      </c>
      <c r="H36" s="2310" t="s">
        <v>242</v>
      </c>
      <c r="I36" s="1022" t="s">
        <v>243</v>
      </c>
      <c r="J36" s="1860" t="s">
        <v>73</v>
      </c>
      <c r="K36" s="1860" t="s">
        <v>138</v>
      </c>
      <c r="L36" s="1034" t="s">
        <v>244</v>
      </c>
      <c r="M36" s="1052">
        <v>45653</v>
      </c>
      <c r="N36" s="1053">
        <v>67000</v>
      </c>
      <c r="O36" s="1862" t="s">
        <v>7</v>
      </c>
      <c r="P36" s="1023" t="s">
        <v>7</v>
      </c>
      <c r="Q36" s="1054">
        <v>0.8</v>
      </c>
      <c r="R36" s="1046" t="s">
        <v>245</v>
      </c>
      <c r="S36" s="1047">
        <v>45671</v>
      </c>
      <c r="T36" s="1023">
        <v>67000</v>
      </c>
      <c r="U36" s="1554" t="s">
        <v>7</v>
      </c>
      <c r="V36" s="1025">
        <f>Table62689345[[#This Row],[PO Value]]-Table62689345[[#This Row],[Offer Value]]</f>
        <v>0</v>
      </c>
      <c r="W36" s="1023"/>
      <c r="X36" s="1055"/>
      <c r="Y36" s="1051"/>
      <c r="Z36" s="1028"/>
      <c r="AA36" s="1029"/>
      <c r="AC36"/>
      <c r="AD36"/>
      <c r="AE36"/>
    </row>
    <row r="37" spans="1:31" s="246" customFormat="1" ht="15.6">
      <c r="A37" s="1020">
        <v>31</v>
      </c>
      <c r="B37" s="1021"/>
      <c r="C37" s="1040" t="s">
        <v>152</v>
      </c>
      <c r="D37" s="1035" t="s">
        <v>133</v>
      </c>
      <c r="E37" s="1035" t="s">
        <v>153</v>
      </c>
      <c r="F37" s="2310" t="s">
        <v>241</v>
      </c>
      <c r="G37" s="1035">
        <v>9923177609</v>
      </c>
      <c r="H37" s="2310" t="s">
        <v>242</v>
      </c>
      <c r="I37" s="1022">
        <v>102006187</v>
      </c>
      <c r="J37" s="1860" t="s">
        <v>73</v>
      </c>
      <c r="K37" s="1860" t="s">
        <v>138</v>
      </c>
      <c r="L37" s="1034" t="s">
        <v>244</v>
      </c>
      <c r="M37" s="1052">
        <v>45653</v>
      </c>
      <c r="N37" s="1053">
        <v>67000</v>
      </c>
      <c r="O37" s="1862" t="s">
        <v>7</v>
      </c>
      <c r="P37" s="1023" t="s">
        <v>7</v>
      </c>
      <c r="Q37" s="1054">
        <v>0.8</v>
      </c>
      <c r="R37" s="1046" t="s">
        <v>246</v>
      </c>
      <c r="S37" s="1047">
        <v>45664</v>
      </c>
      <c r="T37" s="1023">
        <v>67000</v>
      </c>
      <c r="U37" s="1554" t="s">
        <v>7</v>
      </c>
      <c r="V37" s="1025">
        <f>Table62689345[[#This Row],[PO Value]]-Table62689345[[#This Row],[Offer Value]]</f>
        <v>0</v>
      </c>
      <c r="W37" s="1023"/>
      <c r="X37" s="1055"/>
      <c r="Y37" s="1051"/>
      <c r="Z37" s="1028"/>
      <c r="AA37" s="1029"/>
      <c r="AC37"/>
      <c r="AD37"/>
      <c r="AE37"/>
    </row>
    <row r="38" spans="1:31" s="246" customFormat="1" ht="15.6">
      <c r="A38" s="1030">
        <v>32</v>
      </c>
      <c r="B38" s="1021">
        <v>45668</v>
      </c>
      <c r="C38" s="1040" t="s">
        <v>142</v>
      </c>
      <c r="D38" s="1035" t="s">
        <v>133</v>
      </c>
      <c r="E38" s="1035" t="s">
        <v>247</v>
      </c>
      <c r="F38" s="1035" t="s">
        <v>248</v>
      </c>
      <c r="G38" s="1035" t="s">
        <v>249</v>
      </c>
      <c r="H38" s="1036" t="s">
        <v>250</v>
      </c>
      <c r="I38" s="1022" t="s">
        <v>251</v>
      </c>
      <c r="J38" s="1860" t="s">
        <v>73</v>
      </c>
      <c r="K38" s="1860" t="s">
        <v>138</v>
      </c>
      <c r="L38" s="1034" t="s">
        <v>252</v>
      </c>
      <c r="M38" s="1052">
        <v>45644</v>
      </c>
      <c r="N38" s="1053">
        <v>96000</v>
      </c>
      <c r="O38" s="1862" t="s">
        <v>7</v>
      </c>
      <c r="P38" s="1023" t="s">
        <v>18</v>
      </c>
      <c r="Q38" s="1054">
        <v>0.8</v>
      </c>
      <c r="R38" s="1046">
        <v>927358056</v>
      </c>
      <c r="S38" s="1047">
        <v>45672</v>
      </c>
      <c r="T38" s="1023">
        <v>96000</v>
      </c>
      <c r="U38" s="1554" t="s">
        <v>18</v>
      </c>
      <c r="V38" s="1025">
        <f>Table62689345[[#This Row],[PO Value]]-Table62689345[[#This Row],[Offer Value]]</f>
        <v>0</v>
      </c>
      <c r="W38" s="1023"/>
      <c r="X38" s="1055"/>
      <c r="Y38" s="1051"/>
      <c r="Z38" s="1028"/>
      <c r="AA38" s="1029"/>
      <c r="AC38"/>
      <c r="AD38"/>
      <c r="AE38"/>
    </row>
    <row r="39" spans="1:31" s="246" customFormat="1" ht="15.6">
      <c r="A39" s="1020">
        <v>33</v>
      </c>
      <c r="B39" s="1021">
        <v>45668</v>
      </c>
      <c r="C39" s="1512" t="s">
        <v>253</v>
      </c>
      <c r="D39" s="1513" t="s">
        <v>133</v>
      </c>
      <c r="E39" s="1513" t="s">
        <v>254</v>
      </c>
      <c r="F39" s="1513" t="s">
        <v>255</v>
      </c>
      <c r="G39" s="1513">
        <v>7276004059</v>
      </c>
      <c r="H39" s="1514" t="s">
        <v>256</v>
      </c>
      <c r="I39" s="1022" t="s">
        <v>257</v>
      </c>
      <c r="J39" s="1860" t="s">
        <v>73</v>
      </c>
      <c r="K39" s="1860" t="s">
        <v>138</v>
      </c>
      <c r="L39" s="1034" t="s">
        <v>258</v>
      </c>
      <c r="M39" s="1052">
        <v>45424</v>
      </c>
      <c r="N39" s="1053">
        <v>82080</v>
      </c>
      <c r="O39" s="1862" t="s">
        <v>7</v>
      </c>
      <c r="P39" s="1023" t="s">
        <v>28</v>
      </c>
      <c r="Q39" s="1054">
        <v>0.7</v>
      </c>
      <c r="R39" s="1046">
        <v>2265005504</v>
      </c>
      <c r="S39" s="1047">
        <v>45754</v>
      </c>
      <c r="T39" s="1020">
        <v>82080</v>
      </c>
      <c r="U39" s="1554" t="s">
        <v>28</v>
      </c>
      <c r="V39" s="1025">
        <f>Table62689345[[#This Row],[PO Value]]-Table62689345[[#This Row],[Offer Value]]</f>
        <v>0</v>
      </c>
      <c r="W39" s="1023"/>
      <c r="X39" s="1055"/>
      <c r="Y39" s="1051"/>
      <c r="Z39" s="1028"/>
      <c r="AA39" s="1029"/>
      <c r="AC39"/>
      <c r="AD39"/>
      <c r="AE39"/>
    </row>
    <row r="40" spans="1:31" s="246" customFormat="1" ht="15.6">
      <c r="A40" s="1030">
        <v>34</v>
      </c>
      <c r="B40" s="1021"/>
      <c r="C40" s="1512" t="s">
        <v>253</v>
      </c>
      <c r="D40" s="1513" t="s">
        <v>133</v>
      </c>
      <c r="E40" s="1513" t="s">
        <v>254</v>
      </c>
      <c r="F40" s="1513" t="s">
        <v>255</v>
      </c>
      <c r="G40" s="1513">
        <v>7276004060</v>
      </c>
      <c r="H40" s="1514" t="s">
        <v>256</v>
      </c>
      <c r="I40" s="1022" t="s">
        <v>259</v>
      </c>
      <c r="J40" s="1860" t="s">
        <v>73</v>
      </c>
      <c r="K40" s="1860" t="s">
        <v>138</v>
      </c>
      <c r="L40" s="1034" t="s">
        <v>258</v>
      </c>
      <c r="M40" s="1052">
        <v>45424</v>
      </c>
      <c r="N40" s="1053">
        <v>82080</v>
      </c>
      <c r="O40" s="1862" t="s">
        <v>7</v>
      </c>
      <c r="P40" s="1023" t="s">
        <v>28</v>
      </c>
      <c r="Q40" s="1054">
        <v>0.7</v>
      </c>
      <c r="R40" s="1046">
        <v>2265005504</v>
      </c>
      <c r="S40" s="1047">
        <v>45754</v>
      </c>
      <c r="T40" s="1020">
        <v>82080</v>
      </c>
      <c r="U40" s="1554" t="s">
        <v>28</v>
      </c>
      <c r="V40" s="1025">
        <f>Table62689345[[#This Row],[PO Value]]-Table62689345[[#This Row],[Offer Value]]</f>
        <v>0</v>
      </c>
      <c r="W40" s="1023"/>
      <c r="X40" s="1055"/>
      <c r="Y40" s="1051"/>
      <c r="Z40" s="1028"/>
      <c r="AA40" s="1029"/>
      <c r="AC40"/>
      <c r="AD40"/>
      <c r="AE40"/>
    </row>
    <row r="41" spans="1:31" s="246" customFormat="1" ht="15.6">
      <c r="A41" s="1020">
        <v>35</v>
      </c>
      <c r="B41" s="1021"/>
      <c r="C41" s="1512" t="s">
        <v>253</v>
      </c>
      <c r="D41" s="1513" t="s">
        <v>133</v>
      </c>
      <c r="E41" s="1513" t="s">
        <v>254</v>
      </c>
      <c r="F41" s="1513" t="s">
        <v>255</v>
      </c>
      <c r="G41" s="1513">
        <v>7276004061</v>
      </c>
      <c r="H41" s="1514" t="s">
        <v>256</v>
      </c>
      <c r="I41" s="1022" t="s">
        <v>260</v>
      </c>
      <c r="J41" s="1860" t="s">
        <v>73</v>
      </c>
      <c r="K41" s="1860" t="s">
        <v>138</v>
      </c>
      <c r="L41" s="1034" t="s">
        <v>258</v>
      </c>
      <c r="M41" s="1052">
        <v>45424</v>
      </c>
      <c r="N41" s="1053">
        <v>82080</v>
      </c>
      <c r="O41" s="1862" t="s">
        <v>7</v>
      </c>
      <c r="P41" s="1023" t="s">
        <v>28</v>
      </c>
      <c r="Q41" s="1054">
        <v>0.7</v>
      </c>
      <c r="R41" s="1046">
        <v>2265005504</v>
      </c>
      <c r="S41" s="1047">
        <v>45754</v>
      </c>
      <c r="T41" s="1020">
        <v>82080</v>
      </c>
      <c r="U41" s="1554" t="s">
        <v>28</v>
      </c>
      <c r="V41" s="1025">
        <f>Table62689345[[#This Row],[PO Value]]-Table62689345[[#This Row],[Offer Value]]</f>
        <v>0</v>
      </c>
      <c r="W41" s="1023"/>
      <c r="X41" s="1055"/>
      <c r="Y41" s="1051"/>
      <c r="Z41" s="1028"/>
      <c r="AA41" s="1029"/>
      <c r="AC41"/>
      <c r="AD41"/>
      <c r="AE41"/>
    </row>
    <row r="42" spans="1:31" s="246" customFormat="1" ht="15.6">
      <c r="A42" s="1030">
        <v>36</v>
      </c>
      <c r="B42" s="1021"/>
      <c r="C42" s="1512" t="s">
        <v>253</v>
      </c>
      <c r="D42" s="1513" t="s">
        <v>133</v>
      </c>
      <c r="E42" s="1513" t="s">
        <v>254</v>
      </c>
      <c r="F42" s="1513" t="s">
        <v>255</v>
      </c>
      <c r="G42" s="1513">
        <v>7276004062</v>
      </c>
      <c r="H42" s="1514" t="s">
        <v>256</v>
      </c>
      <c r="I42" s="1022" t="s">
        <v>261</v>
      </c>
      <c r="J42" s="1860" t="s">
        <v>73</v>
      </c>
      <c r="K42" s="1860" t="s">
        <v>138</v>
      </c>
      <c r="L42" s="1034" t="s">
        <v>258</v>
      </c>
      <c r="M42" s="1052">
        <v>45424</v>
      </c>
      <c r="N42" s="1053">
        <v>82080</v>
      </c>
      <c r="O42" s="1862" t="s">
        <v>7</v>
      </c>
      <c r="P42" s="1023" t="s">
        <v>28</v>
      </c>
      <c r="Q42" s="1054">
        <v>0.7</v>
      </c>
      <c r="R42" s="1046">
        <v>2265005504</v>
      </c>
      <c r="S42" s="1047">
        <v>45754</v>
      </c>
      <c r="T42" s="1020">
        <v>82080</v>
      </c>
      <c r="U42" s="1554" t="s">
        <v>28</v>
      </c>
      <c r="V42" s="1025">
        <f>Table62689345[[#This Row],[PO Value]]-Table62689345[[#This Row],[Offer Value]]</f>
        <v>0</v>
      </c>
      <c r="W42" s="1023"/>
      <c r="X42" s="1055"/>
      <c r="Y42" s="1051"/>
      <c r="Z42" s="1028"/>
      <c r="AA42" s="1029"/>
      <c r="AC42"/>
      <c r="AD42"/>
      <c r="AE42"/>
    </row>
    <row r="43" spans="1:31" s="246" customFormat="1" ht="15.6">
      <c r="A43" s="1020">
        <v>37</v>
      </c>
      <c r="B43" s="1021"/>
      <c r="C43" s="1512" t="s">
        <v>253</v>
      </c>
      <c r="D43" s="1513" t="s">
        <v>133</v>
      </c>
      <c r="E43" s="1513" t="s">
        <v>254</v>
      </c>
      <c r="F43" s="1513" t="s">
        <v>255</v>
      </c>
      <c r="G43" s="1513">
        <v>7276004063</v>
      </c>
      <c r="H43" s="1514" t="s">
        <v>256</v>
      </c>
      <c r="I43" s="1022" t="s">
        <v>262</v>
      </c>
      <c r="J43" s="1860" t="s">
        <v>73</v>
      </c>
      <c r="K43" s="1860" t="s">
        <v>138</v>
      </c>
      <c r="L43" s="1034" t="s">
        <v>258</v>
      </c>
      <c r="M43" s="1052">
        <v>45424</v>
      </c>
      <c r="N43" s="1053">
        <v>82080</v>
      </c>
      <c r="O43" s="1862" t="s">
        <v>7</v>
      </c>
      <c r="P43" s="1023" t="s">
        <v>28</v>
      </c>
      <c r="Q43" s="1054">
        <v>0.7</v>
      </c>
      <c r="R43" s="1046">
        <v>2265005504</v>
      </c>
      <c r="S43" s="1047">
        <v>45754</v>
      </c>
      <c r="T43" s="1020">
        <v>82080</v>
      </c>
      <c r="U43" s="1554" t="s">
        <v>28</v>
      </c>
      <c r="V43" s="1025">
        <f>Table62689345[[#This Row],[PO Value]]-Table62689345[[#This Row],[Offer Value]]</f>
        <v>0</v>
      </c>
      <c r="W43" s="1023"/>
      <c r="X43" s="1055"/>
      <c r="Y43" s="1051"/>
      <c r="Z43" s="1028"/>
      <c r="AA43" s="1029"/>
      <c r="AC43"/>
      <c r="AD43"/>
      <c r="AE43"/>
    </row>
    <row r="44" spans="1:31" s="246" customFormat="1" ht="15.6">
      <c r="A44" s="1030">
        <v>38</v>
      </c>
      <c r="B44" s="1021"/>
      <c r="C44" s="1512" t="s">
        <v>253</v>
      </c>
      <c r="D44" s="1513" t="s">
        <v>133</v>
      </c>
      <c r="E44" s="1513" t="s">
        <v>254</v>
      </c>
      <c r="F44" s="1513" t="s">
        <v>255</v>
      </c>
      <c r="G44" s="1513">
        <v>7276004064</v>
      </c>
      <c r="H44" s="1514" t="s">
        <v>256</v>
      </c>
      <c r="I44" s="1022" t="s">
        <v>263</v>
      </c>
      <c r="J44" s="1860" t="s">
        <v>73</v>
      </c>
      <c r="K44" s="1860" t="s">
        <v>138</v>
      </c>
      <c r="L44" s="1034" t="s">
        <v>258</v>
      </c>
      <c r="M44" s="1052">
        <v>45424</v>
      </c>
      <c r="N44" s="1053">
        <v>82080</v>
      </c>
      <c r="O44" s="1862" t="s">
        <v>7</v>
      </c>
      <c r="P44" s="1023" t="s">
        <v>28</v>
      </c>
      <c r="Q44" s="1054">
        <v>0.7</v>
      </c>
      <c r="R44" s="1046">
        <v>2265005504</v>
      </c>
      <c r="S44" s="1047">
        <v>45754</v>
      </c>
      <c r="T44" s="1020">
        <v>82080</v>
      </c>
      <c r="U44" s="1554" t="s">
        <v>28</v>
      </c>
      <c r="V44" s="1025">
        <f>Table62689345[[#This Row],[PO Value]]-Table62689345[[#This Row],[Offer Value]]</f>
        <v>0</v>
      </c>
      <c r="W44" s="1023"/>
      <c r="X44" s="1055"/>
      <c r="Y44" s="1051"/>
      <c r="Z44" s="1028"/>
      <c r="AA44" s="1029"/>
      <c r="AC44"/>
      <c r="AD44"/>
      <c r="AE44"/>
    </row>
    <row r="45" spans="1:31" s="246" customFormat="1" ht="15.6">
      <c r="A45" s="1020">
        <v>39</v>
      </c>
      <c r="B45" s="1021"/>
      <c r="C45" s="1512" t="s">
        <v>253</v>
      </c>
      <c r="D45" s="1513" t="s">
        <v>133</v>
      </c>
      <c r="E45" s="1513" t="s">
        <v>254</v>
      </c>
      <c r="F45" s="1513" t="s">
        <v>255</v>
      </c>
      <c r="G45" s="1513">
        <v>7276004065</v>
      </c>
      <c r="H45" s="1514" t="s">
        <v>256</v>
      </c>
      <c r="I45" s="1022" t="s">
        <v>264</v>
      </c>
      <c r="J45" s="1860" t="s">
        <v>73</v>
      </c>
      <c r="K45" s="1860" t="s">
        <v>138</v>
      </c>
      <c r="L45" s="1034" t="s">
        <v>258</v>
      </c>
      <c r="M45" s="1052">
        <v>45424</v>
      </c>
      <c r="N45" s="1053">
        <v>82080</v>
      </c>
      <c r="O45" s="1862" t="s">
        <v>7</v>
      </c>
      <c r="P45" s="1023" t="s">
        <v>28</v>
      </c>
      <c r="Q45" s="1054">
        <v>0.7</v>
      </c>
      <c r="R45" s="1046">
        <v>2265005504</v>
      </c>
      <c r="S45" s="1047">
        <v>45754</v>
      </c>
      <c r="T45" s="1020">
        <v>82080</v>
      </c>
      <c r="U45" s="1554" t="s">
        <v>28</v>
      </c>
      <c r="V45" s="1025">
        <f>Table62689345[[#This Row],[PO Value]]-Table62689345[[#This Row],[Offer Value]]</f>
        <v>0</v>
      </c>
      <c r="W45" s="1023"/>
      <c r="X45" s="1055"/>
      <c r="Y45" s="1051"/>
      <c r="Z45" s="1028"/>
      <c r="AA45" s="1029"/>
      <c r="AC45"/>
      <c r="AD45"/>
      <c r="AE45"/>
    </row>
    <row r="46" spans="1:31" s="246" customFormat="1" ht="15.6">
      <c r="A46" s="1030">
        <v>40</v>
      </c>
      <c r="B46" s="1021"/>
      <c r="C46" s="1512" t="s">
        <v>253</v>
      </c>
      <c r="D46" s="1513" t="s">
        <v>133</v>
      </c>
      <c r="E46" s="1513" t="s">
        <v>254</v>
      </c>
      <c r="F46" s="1513" t="s">
        <v>255</v>
      </c>
      <c r="G46" s="1513">
        <v>7276004066</v>
      </c>
      <c r="H46" s="1514" t="s">
        <v>256</v>
      </c>
      <c r="I46" s="1022" t="s">
        <v>265</v>
      </c>
      <c r="J46" s="1860" t="s">
        <v>73</v>
      </c>
      <c r="K46" s="1860" t="s">
        <v>138</v>
      </c>
      <c r="L46" s="1034" t="s">
        <v>258</v>
      </c>
      <c r="M46" s="1052">
        <v>45424</v>
      </c>
      <c r="N46" s="1053">
        <v>82080</v>
      </c>
      <c r="O46" s="1862" t="s">
        <v>7</v>
      </c>
      <c r="P46" s="1023" t="s">
        <v>28</v>
      </c>
      <c r="Q46" s="1054">
        <v>0.7</v>
      </c>
      <c r="R46" s="1046">
        <v>2265005504</v>
      </c>
      <c r="S46" s="1047">
        <v>45754</v>
      </c>
      <c r="T46" s="1020">
        <v>82080</v>
      </c>
      <c r="U46" s="1554" t="s">
        <v>28</v>
      </c>
      <c r="V46" s="1025">
        <f>Table62689345[[#This Row],[PO Value]]-Table62689345[[#This Row],[Offer Value]]</f>
        <v>0</v>
      </c>
      <c r="W46" s="1023"/>
      <c r="X46" s="1055"/>
      <c r="Y46" s="1051"/>
      <c r="Z46" s="1028"/>
      <c r="AA46" s="1029"/>
      <c r="AC46"/>
      <c r="AD46"/>
      <c r="AE46"/>
    </row>
    <row r="47" spans="1:31" s="246" customFormat="1" ht="15.6">
      <c r="A47" s="1020">
        <v>41</v>
      </c>
      <c r="B47" s="1021"/>
      <c r="C47" s="1512" t="s">
        <v>253</v>
      </c>
      <c r="D47" s="1513" t="s">
        <v>133</v>
      </c>
      <c r="E47" s="1513" t="s">
        <v>254</v>
      </c>
      <c r="F47" s="1513" t="s">
        <v>255</v>
      </c>
      <c r="G47" s="1513">
        <v>7276004067</v>
      </c>
      <c r="H47" s="1514" t="s">
        <v>256</v>
      </c>
      <c r="I47" s="1022" t="s">
        <v>266</v>
      </c>
      <c r="J47" s="1860" t="s">
        <v>73</v>
      </c>
      <c r="K47" s="1860" t="s">
        <v>138</v>
      </c>
      <c r="L47" s="1034" t="s">
        <v>258</v>
      </c>
      <c r="M47" s="1052">
        <v>45424</v>
      </c>
      <c r="N47" s="1053">
        <v>82080</v>
      </c>
      <c r="O47" s="1862" t="s">
        <v>7</v>
      </c>
      <c r="P47" s="1023" t="s">
        <v>28</v>
      </c>
      <c r="Q47" s="1054">
        <v>0.7</v>
      </c>
      <c r="R47" s="1046">
        <v>2265005504</v>
      </c>
      <c r="S47" s="1047">
        <v>45754</v>
      </c>
      <c r="T47" s="1020">
        <v>82080</v>
      </c>
      <c r="U47" s="1554" t="s">
        <v>28</v>
      </c>
      <c r="V47" s="1025">
        <f>Table62689345[[#This Row],[PO Value]]-Table62689345[[#This Row],[Offer Value]]</f>
        <v>0</v>
      </c>
      <c r="W47" s="1023"/>
      <c r="X47" s="1055"/>
      <c r="Y47" s="1051"/>
      <c r="Z47" s="1028"/>
      <c r="AA47" s="1029"/>
      <c r="AC47"/>
      <c r="AD47"/>
      <c r="AE47"/>
    </row>
    <row r="48" spans="1:31" s="246" customFormat="1" ht="15.6">
      <c r="A48" s="1030">
        <v>42</v>
      </c>
      <c r="B48" s="1021"/>
      <c r="C48" s="1512" t="s">
        <v>253</v>
      </c>
      <c r="D48" s="1513" t="s">
        <v>133</v>
      </c>
      <c r="E48" s="1513" t="s">
        <v>254</v>
      </c>
      <c r="F48" s="1513" t="s">
        <v>255</v>
      </c>
      <c r="G48" s="1513">
        <v>7276004068</v>
      </c>
      <c r="H48" s="1514" t="s">
        <v>256</v>
      </c>
      <c r="I48" s="1022" t="s">
        <v>267</v>
      </c>
      <c r="J48" s="1860" t="s">
        <v>73</v>
      </c>
      <c r="K48" s="1860" t="s">
        <v>138</v>
      </c>
      <c r="L48" s="1034" t="s">
        <v>258</v>
      </c>
      <c r="M48" s="1052">
        <v>45424</v>
      </c>
      <c r="N48" s="1053">
        <v>82080</v>
      </c>
      <c r="O48" s="1862" t="s">
        <v>7</v>
      </c>
      <c r="P48" s="1023" t="s">
        <v>28</v>
      </c>
      <c r="Q48" s="1054">
        <v>0.7</v>
      </c>
      <c r="R48" s="1046">
        <v>2265005504</v>
      </c>
      <c r="S48" s="1047">
        <v>45754</v>
      </c>
      <c r="T48" s="1020">
        <v>82080</v>
      </c>
      <c r="U48" s="1554" t="s">
        <v>28</v>
      </c>
      <c r="V48" s="1025">
        <f>Table62689345[[#This Row],[PO Value]]-Table62689345[[#This Row],[Offer Value]]</f>
        <v>0</v>
      </c>
      <c r="W48" s="1023"/>
      <c r="X48" s="1055"/>
      <c r="Y48" s="1051"/>
      <c r="Z48" s="1028"/>
      <c r="AA48" s="1029"/>
      <c r="AC48"/>
      <c r="AD48"/>
      <c r="AE48"/>
    </row>
    <row r="49" spans="1:31" s="246" customFormat="1" ht="15.6">
      <c r="A49" s="1020">
        <v>43</v>
      </c>
      <c r="B49" s="1021"/>
      <c r="C49" s="1512" t="s">
        <v>253</v>
      </c>
      <c r="D49" s="1513" t="s">
        <v>133</v>
      </c>
      <c r="E49" s="1513" t="s">
        <v>254</v>
      </c>
      <c r="F49" s="1513" t="s">
        <v>255</v>
      </c>
      <c r="G49" s="1513">
        <v>7276004069</v>
      </c>
      <c r="H49" s="1514" t="s">
        <v>256</v>
      </c>
      <c r="I49" s="1022" t="s">
        <v>268</v>
      </c>
      <c r="J49" s="1860" t="s">
        <v>73</v>
      </c>
      <c r="K49" s="1860" t="s">
        <v>138</v>
      </c>
      <c r="L49" s="1034" t="s">
        <v>258</v>
      </c>
      <c r="M49" s="1052">
        <v>45424</v>
      </c>
      <c r="N49" s="1053">
        <v>82080</v>
      </c>
      <c r="O49" s="1862" t="s">
        <v>7</v>
      </c>
      <c r="P49" s="1023" t="s">
        <v>28</v>
      </c>
      <c r="Q49" s="1054">
        <v>0.7</v>
      </c>
      <c r="R49" s="1046">
        <v>2265005504</v>
      </c>
      <c r="S49" s="1047">
        <v>45754</v>
      </c>
      <c r="T49" s="1020">
        <v>82080</v>
      </c>
      <c r="U49" s="1554" t="s">
        <v>28</v>
      </c>
      <c r="V49" s="1025">
        <f>Table62689345[[#This Row],[PO Value]]-Table62689345[[#This Row],[Offer Value]]</f>
        <v>0</v>
      </c>
      <c r="W49" s="1023"/>
      <c r="X49" s="1055"/>
      <c r="Y49" s="1051"/>
      <c r="Z49" s="1028"/>
      <c r="AA49" s="1029"/>
      <c r="AC49"/>
      <c r="AD49"/>
      <c r="AE49"/>
    </row>
    <row r="50" spans="1:31" s="246" customFormat="1" ht="15.6">
      <c r="A50" s="1030">
        <v>44</v>
      </c>
      <c r="B50" s="1021"/>
      <c r="C50" s="1512" t="s">
        <v>253</v>
      </c>
      <c r="D50" s="1513" t="s">
        <v>133</v>
      </c>
      <c r="E50" s="1513" t="s">
        <v>254</v>
      </c>
      <c r="F50" s="1513" t="s">
        <v>255</v>
      </c>
      <c r="G50" s="1513">
        <v>7276004070</v>
      </c>
      <c r="H50" s="1514" t="s">
        <v>256</v>
      </c>
      <c r="I50" s="1022" t="s">
        <v>269</v>
      </c>
      <c r="J50" s="1860" t="s">
        <v>73</v>
      </c>
      <c r="K50" s="1860" t="s">
        <v>138</v>
      </c>
      <c r="L50" s="1034" t="s">
        <v>258</v>
      </c>
      <c r="M50" s="1052">
        <v>45424</v>
      </c>
      <c r="N50" s="1053">
        <v>82080</v>
      </c>
      <c r="O50" s="1862" t="s">
        <v>7</v>
      </c>
      <c r="P50" s="1023" t="s">
        <v>28</v>
      </c>
      <c r="Q50" s="1054">
        <v>0.7</v>
      </c>
      <c r="R50" s="1046">
        <v>2265005504</v>
      </c>
      <c r="S50" s="1047">
        <v>45754</v>
      </c>
      <c r="T50" s="1020">
        <v>82080</v>
      </c>
      <c r="U50" s="1554" t="s">
        <v>28</v>
      </c>
      <c r="V50" s="1025">
        <f>Table62689345[[#This Row],[PO Value]]-Table62689345[[#This Row],[Offer Value]]</f>
        <v>0</v>
      </c>
      <c r="W50" s="1023"/>
      <c r="X50" s="1055"/>
      <c r="Y50" s="1051"/>
      <c r="Z50" s="1028"/>
      <c r="AA50" s="1029"/>
      <c r="AC50"/>
      <c r="AD50"/>
      <c r="AE50"/>
    </row>
    <row r="51" spans="1:31" s="246" customFormat="1" ht="27.6" customHeight="1">
      <c r="A51" s="1020">
        <v>45</v>
      </c>
      <c r="B51" s="1021"/>
      <c r="C51" s="1512" t="s">
        <v>253</v>
      </c>
      <c r="D51" s="1513" t="s">
        <v>133</v>
      </c>
      <c r="E51" s="1513" t="s">
        <v>254</v>
      </c>
      <c r="F51" s="1513" t="s">
        <v>255</v>
      </c>
      <c r="G51" s="1513">
        <v>7276004071</v>
      </c>
      <c r="H51" s="1514" t="s">
        <v>256</v>
      </c>
      <c r="I51" s="1022" t="s">
        <v>270</v>
      </c>
      <c r="J51" s="1860" t="s">
        <v>73</v>
      </c>
      <c r="K51" s="1860" t="s">
        <v>138</v>
      </c>
      <c r="L51" s="1034" t="s">
        <v>258</v>
      </c>
      <c r="M51" s="1052">
        <v>45424</v>
      </c>
      <c r="N51" s="1053">
        <v>82080</v>
      </c>
      <c r="O51" s="1862" t="s">
        <v>7</v>
      </c>
      <c r="P51" s="1023" t="s">
        <v>28</v>
      </c>
      <c r="Q51" s="1054">
        <v>0.7</v>
      </c>
      <c r="R51" s="1046">
        <v>2265005504</v>
      </c>
      <c r="S51" s="1047">
        <v>45754</v>
      </c>
      <c r="T51" s="1020">
        <v>82080</v>
      </c>
      <c r="U51" s="1554" t="s">
        <v>28</v>
      </c>
      <c r="V51" s="1025">
        <f>Table62689345[[#This Row],[PO Value]]-Table62689345[[#This Row],[Offer Value]]</f>
        <v>0</v>
      </c>
      <c r="W51" s="1023"/>
      <c r="X51" s="1055"/>
      <c r="Y51" s="1051"/>
      <c r="Z51" s="1028"/>
      <c r="AA51" s="1029"/>
      <c r="AC51"/>
      <c r="AD51"/>
      <c r="AE51"/>
    </row>
    <row r="52" spans="1:31" s="1319" customFormat="1" ht="15.6">
      <c r="A52" s="1030">
        <v>46</v>
      </c>
      <c r="B52" s="1021">
        <v>45668</v>
      </c>
      <c r="C52" s="1040" t="s">
        <v>271</v>
      </c>
      <c r="D52" s="1035" t="s">
        <v>133</v>
      </c>
      <c r="E52" s="1035" t="s">
        <v>153</v>
      </c>
      <c r="F52" s="1035" t="s">
        <v>272</v>
      </c>
      <c r="G52" s="1035">
        <v>7276413858</v>
      </c>
      <c r="H52" s="1036" t="s">
        <v>273</v>
      </c>
      <c r="I52" s="1022" t="s">
        <v>274</v>
      </c>
      <c r="J52" s="1860" t="s">
        <v>79</v>
      </c>
      <c r="K52" s="1860" t="s">
        <v>138</v>
      </c>
      <c r="L52" s="1034" t="s">
        <v>275</v>
      </c>
      <c r="M52" s="1052">
        <v>45666</v>
      </c>
      <c r="N52" s="1053">
        <v>22500</v>
      </c>
      <c r="O52" s="1862" t="s">
        <v>7</v>
      </c>
      <c r="P52" s="1023" t="s">
        <v>34</v>
      </c>
      <c r="Q52" s="1054">
        <v>0.5</v>
      </c>
      <c r="R52" s="1267">
        <v>4300416395</v>
      </c>
      <c r="S52" s="1047">
        <v>45801</v>
      </c>
      <c r="T52" s="1023">
        <v>22500</v>
      </c>
      <c r="U52" s="1554" t="s">
        <v>34</v>
      </c>
      <c r="V52" s="1025">
        <f>Table62689345[[#This Row],[PO Value]]-Table62689345[[#This Row],[Offer Value]]</f>
        <v>0</v>
      </c>
      <c r="W52" s="1023"/>
      <c r="X52" s="1055"/>
      <c r="Y52" s="1051"/>
      <c r="Z52" s="1028"/>
      <c r="AA52" s="1029"/>
      <c r="AC52" s="1267"/>
      <c r="AD52" s="1267"/>
      <c r="AE52" s="1267"/>
    </row>
    <row r="53" spans="1:31" s="246" customFormat="1" ht="15.6">
      <c r="A53" s="1020">
        <v>47</v>
      </c>
      <c r="B53" s="1021">
        <v>45668</v>
      </c>
      <c r="C53" s="1040" t="s">
        <v>276</v>
      </c>
      <c r="D53" s="1035" t="s">
        <v>133</v>
      </c>
      <c r="E53" s="1035" t="s">
        <v>277</v>
      </c>
      <c r="F53" s="1035" t="s">
        <v>278</v>
      </c>
      <c r="G53" s="1035" t="s">
        <v>279</v>
      </c>
      <c r="H53" s="1036" t="s">
        <v>280</v>
      </c>
      <c r="I53" s="1022" t="s">
        <v>281</v>
      </c>
      <c r="J53" s="1860" t="s">
        <v>73</v>
      </c>
      <c r="K53" s="1860" t="s">
        <v>138</v>
      </c>
      <c r="L53" s="1034" t="s">
        <v>282</v>
      </c>
      <c r="M53" s="1052">
        <v>45666</v>
      </c>
      <c r="N53" s="1053">
        <v>64000</v>
      </c>
      <c r="O53" s="1862" t="s">
        <v>7</v>
      </c>
      <c r="P53" s="1023" t="s">
        <v>34</v>
      </c>
      <c r="Q53" s="1054">
        <v>0.5</v>
      </c>
      <c r="R53" s="1046">
        <v>7026010733</v>
      </c>
      <c r="S53" s="1047">
        <v>45819</v>
      </c>
      <c r="T53" s="1053">
        <v>64000</v>
      </c>
      <c r="U53" s="1554" t="s">
        <v>34</v>
      </c>
      <c r="V53" s="1025">
        <f>Table62689345[[#This Row],[PO Value]]-Table62689345[[#This Row],[Offer Value]]</f>
        <v>0</v>
      </c>
      <c r="W53" s="1023"/>
      <c r="X53" s="1055"/>
      <c r="Y53" s="1051"/>
      <c r="Z53" s="1028"/>
      <c r="AA53" s="1029"/>
      <c r="AC53"/>
      <c r="AD53"/>
      <c r="AE53"/>
    </row>
    <row r="54" spans="1:31" s="246" customFormat="1" ht="15.6">
      <c r="A54" s="1030">
        <v>48</v>
      </c>
      <c r="B54" s="1021"/>
      <c r="C54" s="1040" t="s">
        <v>276</v>
      </c>
      <c r="D54" s="1035" t="s">
        <v>133</v>
      </c>
      <c r="E54" s="1035" t="s">
        <v>277</v>
      </c>
      <c r="F54" s="1035" t="s">
        <v>278</v>
      </c>
      <c r="G54" s="1035" t="s">
        <v>279</v>
      </c>
      <c r="H54" s="1036" t="s">
        <v>280</v>
      </c>
      <c r="I54" s="1022" t="s">
        <v>283</v>
      </c>
      <c r="J54" s="1860" t="s">
        <v>73</v>
      </c>
      <c r="K54" s="1860" t="s">
        <v>138</v>
      </c>
      <c r="L54" s="1034" t="s">
        <v>282</v>
      </c>
      <c r="M54" s="1052">
        <v>45666</v>
      </c>
      <c r="N54" s="1053">
        <v>64000</v>
      </c>
      <c r="O54" s="1862" t="s">
        <v>7</v>
      </c>
      <c r="P54" s="1023" t="s">
        <v>34</v>
      </c>
      <c r="Q54" s="1054">
        <v>0.5</v>
      </c>
      <c r="R54" s="1046">
        <v>7026010733</v>
      </c>
      <c r="S54" s="1047">
        <v>45819</v>
      </c>
      <c r="T54" s="1053">
        <v>64000</v>
      </c>
      <c r="U54" s="1554" t="s">
        <v>34</v>
      </c>
      <c r="V54" s="1025">
        <f>Table62689345[[#This Row],[PO Value]]-Table62689345[[#This Row],[Offer Value]]</f>
        <v>0</v>
      </c>
      <c r="W54" s="1023"/>
      <c r="X54" s="1055"/>
      <c r="Y54" s="1051"/>
      <c r="Z54" s="1028"/>
      <c r="AA54" s="1029"/>
      <c r="AC54"/>
      <c r="AD54"/>
      <c r="AE54"/>
    </row>
    <row r="55" spans="1:31" s="246" customFormat="1" ht="15.6">
      <c r="A55" s="1020">
        <v>49</v>
      </c>
      <c r="B55" s="1021"/>
      <c r="C55" s="1040" t="s">
        <v>276</v>
      </c>
      <c r="D55" s="1035" t="s">
        <v>133</v>
      </c>
      <c r="E55" s="1035" t="s">
        <v>277</v>
      </c>
      <c r="F55" s="1035" t="s">
        <v>278</v>
      </c>
      <c r="G55" s="1035" t="s">
        <v>279</v>
      </c>
      <c r="H55" s="1036" t="s">
        <v>280</v>
      </c>
      <c r="I55" s="1022" t="s">
        <v>284</v>
      </c>
      <c r="J55" s="1860" t="s">
        <v>73</v>
      </c>
      <c r="K55" s="1860" t="s">
        <v>138</v>
      </c>
      <c r="L55" s="1034" t="s">
        <v>282</v>
      </c>
      <c r="M55" s="1052">
        <v>45666</v>
      </c>
      <c r="N55" s="1053">
        <v>64000</v>
      </c>
      <c r="O55" s="1862" t="s">
        <v>7</v>
      </c>
      <c r="P55" s="1023" t="s">
        <v>34</v>
      </c>
      <c r="Q55" s="1054">
        <v>0.5</v>
      </c>
      <c r="R55" s="1046">
        <v>7026010733</v>
      </c>
      <c r="S55" s="1047">
        <v>45819</v>
      </c>
      <c r="T55" s="1053">
        <v>64000</v>
      </c>
      <c r="U55" s="1554" t="s">
        <v>34</v>
      </c>
      <c r="V55" s="1025">
        <f>Table62689345[[#This Row],[PO Value]]-Table62689345[[#This Row],[Offer Value]]</f>
        <v>0</v>
      </c>
      <c r="W55" s="1023"/>
      <c r="X55" s="1055"/>
      <c r="Y55" s="1051"/>
      <c r="Z55" s="1028"/>
      <c r="AA55" s="1029"/>
      <c r="AC55"/>
      <c r="AD55"/>
      <c r="AE55"/>
    </row>
    <row r="56" spans="1:31" s="246" customFormat="1" ht="15.6">
      <c r="A56" s="1030">
        <v>50</v>
      </c>
      <c r="B56" s="1021"/>
      <c r="C56" s="1040" t="s">
        <v>276</v>
      </c>
      <c r="D56" s="1035" t="s">
        <v>133</v>
      </c>
      <c r="E56" s="1035" t="s">
        <v>277</v>
      </c>
      <c r="F56" s="1035" t="s">
        <v>278</v>
      </c>
      <c r="G56" s="1035" t="s">
        <v>279</v>
      </c>
      <c r="H56" s="1036" t="s">
        <v>280</v>
      </c>
      <c r="I56" s="1022" t="s">
        <v>285</v>
      </c>
      <c r="J56" s="1860" t="s">
        <v>73</v>
      </c>
      <c r="K56" s="1860" t="s">
        <v>138</v>
      </c>
      <c r="L56" s="1034" t="s">
        <v>282</v>
      </c>
      <c r="M56" s="1052">
        <v>45666</v>
      </c>
      <c r="N56" s="1053">
        <v>64000</v>
      </c>
      <c r="O56" s="1862" t="s">
        <v>7</v>
      </c>
      <c r="P56" s="1023" t="s">
        <v>34</v>
      </c>
      <c r="Q56" s="1054">
        <v>0.5</v>
      </c>
      <c r="R56" s="1046">
        <v>7026010733</v>
      </c>
      <c r="S56" s="1047">
        <v>45819</v>
      </c>
      <c r="T56" s="1053">
        <v>64000</v>
      </c>
      <c r="U56" s="1554" t="s">
        <v>34</v>
      </c>
      <c r="V56" s="1025">
        <f>Table62689345[[#This Row],[PO Value]]-Table62689345[[#This Row],[Offer Value]]</f>
        <v>0</v>
      </c>
      <c r="W56" s="1023"/>
      <c r="X56" s="1055"/>
      <c r="Y56" s="1051"/>
      <c r="Z56" s="1028"/>
      <c r="AA56" s="1029"/>
      <c r="AC56"/>
      <c r="AD56"/>
      <c r="AE56"/>
    </row>
    <row r="57" spans="1:31" s="246" customFormat="1" ht="15.6">
      <c r="A57" s="1020">
        <v>51</v>
      </c>
      <c r="B57" s="1021"/>
      <c r="C57" s="1040" t="s">
        <v>276</v>
      </c>
      <c r="D57" s="1035" t="s">
        <v>133</v>
      </c>
      <c r="E57" s="1035" t="s">
        <v>277</v>
      </c>
      <c r="F57" s="1035" t="s">
        <v>278</v>
      </c>
      <c r="G57" s="1035" t="s">
        <v>279</v>
      </c>
      <c r="H57" s="1036" t="s">
        <v>280</v>
      </c>
      <c r="I57" s="1022" t="s">
        <v>286</v>
      </c>
      <c r="J57" s="1860" t="s">
        <v>73</v>
      </c>
      <c r="K57" s="1860" t="s">
        <v>138</v>
      </c>
      <c r="L57" s="1034" t="s">
        <v>282</v>
      </c>
      <c r="M57" s="1052">
        <v>45666</v>
      </c>
      <c r="N57" s="1053">
        <v>64000</v>
      </c>
      <c r="O57" s="1862" t="s">
        <v>7</v>
      </c>
      <c r="P57" s="1023" t="s">
        <v>34</v>
      </c>
      <c r="Q57" s="1054">
        <v>0.5</v>
      </c>
      <c r="R57" s="1046">
        <v>7026010733</v>
      </c>
      <c r="S57" s="1047">
        <v>45819</v>
      </c>
      <c r="T57" s="1053">
        <v>64000</v>
      </c>
      <c r="U57" s="1554" t="s">
        <v>34</v>
      </c>
      <c r="V57" s="1025">
        <f>Table62689345[[#This Row],[PO Value]]-Table62689345[[#This Row],[Offer Value]]</f>
        <v>0</v>
      </c>
      <c r="W57" s="1023"/>
      <c r="X57" s="1055"/>
      <c r="Y57" s="1051"/>
      <c r="Z57" s="1028"/>
      <c r="AA57" s="1029"/>
      <c r="AC57"/>
      <c r="AD57"/>
      <c r="AE57"/>
    </row>
    <row r="58" spans="1:31" s="246" customFormat="1" ht="15.6">
      <c r="A58" s="1030">
        <v>52</v>
      </c>
      <c r="B58" s="1021"/>
      <c r="C58" s="1040" t="s">
        <v>276</v>
      </c>
      <c r="D58" s="1035" t="s">
        <v>133</v>
      </c>
      <c r="E58" s="1035" t="s">
        <v>277</v>
      </c>
      <c r="F58" s="1035" t="s">
        <v>278</v>
      </c>
      <c r="G58" s="1035" t="s">
        <v>279</v>
      </c>
      <c r="H58" s="1036" t="s">
        <v>280</v>
      </c>
      <c r="I58" s="1022" t="s">
        <v>287</v>
      </c>
      <c r="J58" s="1860" t="s">
        <v>73</v>
      </c>
      <c r="K58" s="1860" t="s">
        <v>138</v>
      </c>
      <c r="L58" s="1034" t="s">
        <v>282</v>
      </c>
      <c r="M58" s="1052">
        <v>45666</v>
      </c>
      <c r="N58" s="1053">
        <v>64000</v>
      </c>
      <c r="O58" s="1862" t="s">
        <v>7</v>
      </c>
      <c r="P58" s="1023" t="s">
        <v>34</v>
      </c>
      <c r="Q58" s="1054">
        <v>0.5</v>
      </c>
      <c r="R58" s="1046">
        <v>7026010733</v>
      </c>
      <c r="S58" s="1047">
        <v>45819</v>
      </c>
      <c r="T58" s="1053">
        <v>64000</v>
      </c>
      <c r="U58" s="1554" t="s">
        <v>34</v>
      </c>
      <c r="V58" s="1025">
        <f>Table62689345[[#This Row],[PO Value]]-Table62689345[[#This Row],[Offer Value]]</f>
        <v>0</v>
      </c>
      <c r="W58" s="1023"/>
      <c r="X58" s="1055"/>
      <c r="Y58" s="1051"/>
      <c r="Z58" s="1028"/>
      <c r="AA58" s="1029"/>
      <c r="AC58"/>
      <c r="AD58"/>
      <c r="AE58"/>
    </row>
    <row r="59" spans="1:31" s="246" customFormat="1" ht="15.6">
      <c r="A59" s="1020">
        <v>53</v>
      </c>
      <c r="B59" s="1021"/>
      <c r="C59" s="1040" t="s">
        <v>276</v>
      </c>
      <c r="D59" s="1035" t="s">
        <v>133</v>
      </c>
      <c r="E59" s="1035" t="s">
        <v>277</v>
      </c>
      <c r="F59" s="1035" t="s">
        <v>278</v>
      </c>
      <c r="G59" s="1035" t="s">
        <v>279</v>
      </c>
      <c r="H59" s="1036" t="s">
        <v>280</v>
      </c>
      <c r="I59" s="1022" t="s">
        <v>288</v>
      </c>
      <c r="J59" s="1860" t="s">
        <v>73</v>
      </c>
      <c r="K59" s="1860" t="s">
        <v>138</v>
      </c>
      <c r="L59" s="1034" t="s">
        <v>282</v>
      </c>
      <c r="M59" s="1052">
        <v>45666</v>
      </c>
      <c r="N59" s="1053">
        <v>64000</v>
      </c>
      <c r="O59" s="1862" t="s">
        <v>7</v>
      </c>
      <c r="P59" s="1023" t="s">
        <v>34</v>
      </c>
      <c r="Q59" s="1054">
        <v>0.5</v>
      </c>
      <c r="R59" s="1046">
        <v>7026010733</v>
      </c>
      <c r="S59" s="1047">
        <v>45819</v>
      </c>
      <c r="T59" s="1053">
        <v>64000</v>
      </c>
      <c r="U59" s="1554" t="s">
        <v>34</v>
      </c>
      <c r="V59" s="1025">
        <f>Table62689345[[#This Row],[PO Value]]-Table62689345[[#This Row],[Offer Value]]</f>
        <v>0</v>
      </c>
      <c r="W59" s="1023"/>
      <c r="X59" s="1055"/>
      <c r="Y59" s="1051"/>
      <c r="Z59" s="1028"/>
      <c r="AA59" s="1029"/>
      <c r="AC59"/>
      <c r="AD59"/>
      <c r="AE59"/>
    </row>
    <row r="60" spans="1:31" s="246" customFormat="1" ht="15.6">
      <c r="A60" s="1030">
        <v>54</v>
      </c>
      <c r="B60" s="1021"/>
      <c r="C60" s="1040" t="s">
        <v>276</v>
      </c>
      <c r="D60" s="1035" t="s">
        <v>133</v>
      </c>
      <c r="E60" s="1035" t="s">
        <v>277</v>
      </c>
      <c r="F60" s="1035" t="s">
        <v>278</v>
      </c>
      <c r="G60" s="1035" t="s">
        <v>279</v>
      </c>
      <c r="H60" s="1036" t="s">
        <v>280</v>
      </c>
      <c r="I60" s="1022" t="s">
        <v>289</v>
      </c>
      <c r="J60" s="1860" t="s">
        <v>73</v>
      </c>
      <c r="K60" s="1860" t="s">
        <v>138</v>
      </c>
      <c r="L60" s="1034" t="s">
        <v>282</v>
      </c>
      <c r="M60" s="1052">
        <v>45666</v>
      </c>
      <c r="N60" s="1053">
        <v>64000</v>
      </c>
      <c r="O60" s="1862" t="s">
        <v>7</v>
      </c>
      <c r="P60" s="1023" t="s">
        <v>34</v>
      </c>
      <c r="Q60" s="1054">
        <v>0.5</v>
      </c>
      <c r="R60" s="1046">
        <v>7026010733</v>
      </c>
      <c r="S60" s="1047">
        <v>45819</v>
      </c>
      <c r="T60" s="1053">
        <v>64000</v>
      </c>
      <c r="U60" s="1554" t="s">
        <v>34</v>
      </c>
      <c r="V60" s="1025">
        <f>Table62689345[[#This Row],[PO Value]]-Table62689345[[#This Row],[Offer Value]]</f>
        <v>0</v>
      </c>
      <c r="W60" s="1023"/>
      <c r="X60" s="1055"/>
      <c r="Y60" s="1051"/>
      <c r="Z60" s="1028"/>
      <c r="AA60" s="1029"/>
      <c r="AC60"/>
      <c r="AD60"/>
      <c r="AE60"/>
    </row>
    <row r="61" spans="1:31" s="1319" customFormat="1" ht="15.6">
      <c r="A61" s="1020">
        <v>55</v>
      </c>
      <c r="B61" s="1021">
        <v>45668</v>
      </c>
      <c r="C61" s="1040" t="s">
        <v>253</v>
      </c>
      <c r="D61" s="1035" t="s">
        <v>133</v>
      </c>
      <c r="E61" s="1035" t="s">
        <v>290</v>
      </c>
      <c r="F61" s="1035" t="s">
        <v>291</v>
      </c>
      <c r="G61" s="1035">
        <v>9511742041</v>
      </c>
      <c r="H61" s="1036" t="s">
        <v>292</v>
      </c>
      <c r="I61" s="1022" t="s">
        <v>293</v>
      </c>
      <c r="J61" s="1860" t="s">
        <v>73</v>
      </c>
      <c r="K61" s="1860" t="s">
        <v>138</v>
      </c>
      <c r="L61" s="1034" t="s">
        <v>294</v>
      </c>
      <c r="M61" s="1052">
        <v>45653</v>
      </c>
      <c r="N61" s="1053">
        <v>82080</v>
      </c>
      <c r="O61" s="1862" t="s">
        <v>7</v>
      </c>
      <c r="P61" s="1023" t="s">
        <v>28</v>
      </c>
      <c r="Q61" s="1054">
        <v>0.6</v>
      </c>
      <c r="R61" s="1046">
        <v>2265005320</v>
      </c>
      <c r="S61" s="1047">
        <v>45722</v>
      </c>
      <c r="T61" s="1020">
        <v>82080</v>
      </c>
      <c r="U61" s="1554" t="s">
        <v>28</v>
      </c>
      <c r="V61" s="1025">
        <f>Table62689345[[#This Row],[PO Value]]-Table62689345[[#This Row],[Offer Value]]</f>
        <v>0</v>
      </c>
      <c r="W61" s="1023"/>
      <c r="X61" s="1055"/>
      <c r="Y61" s="1051"/>
      <c r="Z61" s="1028"/>
      <c r="AA61" s="1029"/>
    </row>
    <row r="62" spans="1:31" s="1319" customFormat="1" ht="15.6">
      <c r="A62" s="1030">
        <v>56</v>
      </c>
      <c r="B62" s="1021"/>
      <c r="C62" s="1040" t="s">
        <v>253</v>
      </c>
      <c r="D62" s="1035" t="s">
        <v>133</v>
      </c>
      <c r="E62" s="1035" t="s">
        <v>290</v>
      </c>
      <c r="F62" s="1035" t="s">
        <v>291</v>
      </c>
      <c r="G62" s="1035">
        <v>9511742041</v>
      </c>
      <c r="H62" s="1036" t="s">
        <v>292</v>
      </c>
      <c r="I62" s="1022" t="s">
        <v>295</v>
      </c>
      <c r="J62" s="1860" t="s">
        <v>73</v>
      </c>
      <c r="K62" s="1860" t="s">
        <v>138</v>
      </c>
      <c r="L62" s="1034" t="s">
        <v>294</v>
      </c>
      <c r="M62" s="1052">
        <v>45653</v>
      </c>
      <c r="N62" s="1053">
        <v>82080</v>
      </c>
      <c r="O62" s="1862" t="s">
        <v>7</v>
      </c>
      <c r="P62" s="1023" t="s">
        <v>28</v>
      </c>
      <c r="Q62" s="1054">
        <v>0.6</v>
      </c>
      <c r="R62" s="1046">
        <v>2265005320</v>
      </c>
      <c r="S62" s="1047">
        <v>45722</v>
      </c>
      <c r="T62" s="1020">
        <v>82080</v>
      </c>
      <c r="U62" s="1554" t="s">
        <v>28</v>
      </c>
      <c r="V62" s="1025">
        <f>Table62689345[[#This Row],[PO Value]]-Table62689345[[#This Row],[Offer Value]]</f>
        <v>0</v>
      </c>
      <c r="W62" s="1023"/>
      <c r="X62" s="1055"/>
      <c r="Y62" s="1051"/>
      <c r="Z62" s="1028"/>
      <c r="AA62" s="1029"/>
    </row>
    <row r="63" spans="1:31" s="246" customFormat="1" ht="15.6">
      <c r="A63" s="480">
        <v>17</v>
      </c>
      <c r="B63" s="481">
        <v>45999</v>
      </c>
      <c r="C63" s="887" t="s">
        <v>253</v>
      </c>
      <c r="D63" s="374" t="s">
        <v>133</v>
      </c>
      <c r="E63" s="374" t="s">
        <v>296</v>
      </c>
      <c r="F63" s="374" t="s">
        <v>297</v>
      </c>
      <c r="G63" s="374">
        <v>9850341560</v>
      </c>
      <c r="H63" s="2311" t="s">
        <v>298</v>
      </c>
      <c r="I63" s="482" t="s">
        <v>257</v>
      </c>
      <c r="J63" s="1990" t="s">
        <v>75</v>
      </c>
      <c r="K63" s="1990" t="s">
        <v>157</v>
      </c>
      <c r="L63" s="283" t="s">
        <v>299</v>
      </c>
      <c r="M63" s="957">
        <v>45989</v>
      </c>
      <c r="N63" s="3014">
        <v>346200</v>
      </c>
      <c r="O63" s="1993" t="s">
        <v>49</v>
      </c>
      <c r="P63" s="483" t="s">
        <v>62</v>
      </c>
      <c r="Q63" s="683">
        <v>0.2</v>
      </c>
      <c r="R63" s="492"/>
      <c r="S63" s="966"/>
      <c r="T63" s="483">
        <v>0</v>
      </c>
      <c r="U63" s="2296"/>
      <c r="V63" s="2300">
        <f>Table62689345[[#This Row],[PO Value]]-Table62689345[[#This Row],[Offer Value]]</f>
        <v>-346200</v>
      </c>
      <c r="W63" s="483" t="s">
        <v>300</v>
      </c>
      <c r="X63" s="483"/>
      <c r="Y63" s="484"/>
      <c r="Z63" s="641" t="s">
        <v>208</v>
      </c>
      <c r="AA63" s="472"/>
    </row>
    <row r="64" spans="1:31" s="1617" customFormat="1" ht="15.6">
      <c r="A64" s="1607">
        <v>58</v>
      </c>
      <c r="B64" s="1608">
        <v>45668</v>
      </c>
      <c r="C64" s="1625" t="s">
        <v>236</v>
      </c>
      <c r="D64" s="1626" t="s">
        <v>133</v>
      </c>
      <c r="E64" s="1626" t="s">
        <v>191</v>
      </c>
      <c r="F64" s="1626" t="s">
        <v>237</v>
      </c>
      <c r="G64" s="1626">
        <v>9271117805</v>
      </c>
      <c r="H64" s="1627" t="s">
        <v>238</v>
      </c>
      <c r="I64" s="1609" t="s">
        <v>239</v>
      </c>
      <c r="J64" s="1991" t="s">
        <v>75</v>
      </c>
      <c r="K64" s="1991" t="s">
        <v>157</v>
      </c>
      <c r="L64" s="1621" t="s">
        <v>301</v>
      </c>
      <c r="M64" s="1628">
        <v>45666</v>
      </c>
      <c r="N64" s="1629">
        <v>0</v>
      </c>
      <c r="O64" s="1862" t="s">
        <v>7</v>
      </c>
      <c r="P64" s="1610" t="s">
        <v>37</v>
      </c>
      <c r="Q64" s="1630">
        <v>0.2</v>
      </c>
      <c r="R64" s="1623"/>
      <c r="S64" s="1624"/>
      <c r="T64" s="1610"/>
      <c r="U64" s="2297"/>
      <c r="V64" s="2302">
        <f>Table62689345[[#This Row],[PO Value]]-Table62689345[[#This Row],[Offer Value]]</f>
        <v>0</v>
      </c>
      <c r="W64" s="1610" t="s">
        <v>302</v>
      </c>
      <c r="X64" s="1631"/>
      <c r="Y64" s="1632"/>
      <c r="Z64" s="1615"/>
      <c r="AA64" s="1616"/>
    </row>
    <row r="65" spans="1:27" s="1319" customFormat="1" ht="17.850000000000001" customHeight="1">
      <c r="A65" s="1020">
        <v>59</v>
      </c>
      <c r="B65" s="1021">
        <v>45668</v>
      </c>
      <c r="C65" s="1512" t="s">
        <v>303</v>
      </c>
      <c r="D65" s="1513" t="s">
        <v>304</v>
      </c>
      <c r="E65" s="1513" t="s">
        <v>191</v>
      </c>
      <c r="F65" s="1513" t="s">
        <v>305</v>
      </c>
      <c r="G65" s="1513">
        <v>9762817803</v>
      </c>
      <c r="H65" s="1514" t="s">
        <v>306</v>
      </c>
      <c r="I65" s="1022" t="s">
        <v>307</v>
      </c>
      <c r="J65" s="1860" t="s">
        <v>75</v>
      </c>
      <c r="K65" s="1860" t="s">
        <v>157</v>
      </c>
      <c r="L65" s="1398" t="s">
        <v>308</v>
      </c>
      <c r="M65" s="1052">
        <v>45644</v>
      </c>
      <c r="N65" s="1053">
        <v>1276654</v>
      </c>
      <c r="O65" s="1862" t="s">
        <v>7</v>
      </c>
      <c r="P65" s="1023" t="s">
        <v>28</v>
      </c>
      <c r="Q65" s="1054">
        <v>0.4</v>
      </c>
      <c r="R65" s="1046">
        <v>5030114286</v>
      </c>
      <c r="S65" s="1047">
        <v>45750</v>
      </c>
      <c r="T65" s="1020">
        <v>584024</v>
      </c>
      <c r="U65" s="1554" t="s">
        <v>28</v>
      </c>
      <c r="V65" s="1025">
        <f>Table62689345[[#This Row],[PO Value]]-Table62689345[[#This Row],[Offer Value]]</f>
        <v>-692630</v>
      </c>
      <c r="W65" s="1023"/>
      <c r="X65" s="1055"/>
      <c r="Y65" s="1051"/>
      <c r="Z65" s="1028" t="s">
        <v>208</v>
      </c>
      <c r="AA65" s="1029" t="s">
        <v>157</v>
      </c>
    </row>
    <row r="66" spans="1:27" s="2013" customFormat="1" ht="15.6">
      <c r="A66" s="1996">
        <v>60</v>
      </c>
      <c r="B66" s="1997">
        <v>45705</v>
      </c>
      <c r="C66" s="1998" t="s">
        <v>309</v>
      </c>
      <c r="D66" s="1999" t="s">
        <v>310</v>
      </c>
      <c r="E66" s="1999" t="s">
        <v>277</v>
      </c>
      <c r="F66" s="1999" t="s">
        <v>311</v>
      </c>
      <c r="G66" s="1999" t="s">
        <v>312</v>
      </c>
      <c r="H66" s="2000" t="s">
        <v>313</v>
      </c>
      <c r="I66" s="2001" t="s">
        <v>314</v>
      </c>
      <c r="J66" s="1990" t="s">
        <v>73</v>
      </c>
      <c r="K66" s="1990" t="s">
        <v>157</v>
      </c>
      <c r="L66" s="2002" t="s">
        <v>315</v>
      </c>
      <c r="M66" s="2003">
        <v>45863</v>
      </c>
      <c r="N66" s="2004">
        <v>55000</v>
      </c>
      <c r="O66" s="1995" t="s">
        <v>37</v>
      </c>
      <c r="P66" s="2005" t="s">
        <v>39</v>
      </c>
      <c r="Q66" s="2006">
        <v>0.5</v>
      </c>
      <c r="R66" s="2007"/>
      <c r="S66" s="2008"/>
      <c r="T66" s="2005"/>
      <c r="U66" s="2298"/>
      <c r="V66" s="1967">
        <f>Table62689345[[#This Row],[PO Value]]-Table62689345[[#This Row],[Offer Value]]</f>
        <v>-55000</v>
      </c>
      <c r="W66" s="2005" t="s">
        <v>316</v>
      </c>
      <c r="X66" s="2009"/>
      <c r="Y66" s="2010"/>
      <c r="Z66" s="2011"/>
      <c r="AA66" s="2012"/>
    </row>
    <row r="67" spans="1:27" s="1319" customFormat="1" ht="15.6">
      <c r="A67" s="1020">
        <v>61</v>
      </c>
      <c r="B67" s="1021">
        <v>45705</v>
      </c>
      <c r="C67" s="1040" t="s">
        <v>196</v>
      </c>
      <c r="D67" s="1035" t="s">
        <v>133</v>
      </c>
      <c r="E67" s="1035" t="s">
        <v>191</v>
      </c>
      <c r="F67" s="1035" t="s">
        <v>197</v>
      </c>
      <c r="G67" s="1035">
        <v>9403849891</v>
      </c>
      <c r="H67" s="1036" t="s">
        <v>198</v>
      </c>
      <c r="I67" s="1022" t="s">
        <v>317</v>
      </c>
      <c r="J67" s="1860" t="s">
        <v>73</v>
      </c>
      <c r="K67" s="1860" t="s">
        <v>157</v>
      </c>
      <c r="L67" s="1034" t="s">
        <v>318</v>
      </c>
      <c r="M67" s="1052" t="s">
        <v>319</v>
      </c>
      <c r="N67" s="1053">
        <v>78000</v>
      </c>
      <c r="O67" s="1862" t="s">
        <v>7</v>
      </c>
      <c r="P67" s="1023" t="s">
        <v>30</v>
      </c>
      <c r="Q67" s="1054">
        <v>0.5</v>
      </c>
      <c r="R67" s="1046">
        <v>26001159</v>
      </c>
      <c r="S67" s="1047">
        <v>45798</v>
      </c>
      <c r="T67" s="1020">
        <v>78000</v>
      </c>
      <c r="U67" s="1554" t="s">
        <v>30</v>
      </c>
      <c r="V67" s="1025">
        <f>Table62689345[[#This Row],[PO Value]]-Table62689345[[#This Row],[Offer Value]]</f>
        <v>0</v>
      </c>
      <c r="W67" s="1023"/>
      <c r="X67" s="1055"/>
      <c r="Y67" s="1051"/>
      <c r="Z67" s="1028"/>
      <c r="AA67" s="1029"/>
    </row>
    <row r="68" spans="1:27" s="246" customFormat="1" ht="15.6">
      <c r="A68" s="1030">
        <v>62</v>
      </c>
      <c r="B68" s="1021">
        <v>45705</v>
      </c>
      <c r="C68" s="1040" t="s">
        <v>173</v>
      </c>
      <c r="D68" s="1035" t="s">
        <v>133</v>
      </c>
      <c r="E68" s="1035" t="s">
        <v>320</v>
      </c>
      <c r="F68" s="1035" t="s">
        <v>321</v>
      </c>
      <c r="G68" s="1035" t="s">
        <v>322</v>
      </c>
      <c r="H68" s="1036" t="s">
        <v>323</v>
      </c>
      <c r="I68" s="1022" t="s">
        <v>324</v>
      </c>
      <c r="J68" s="1860" t="s">
        <v>73</v>
      </c>
      <c r="K68" s="1860" t="s">
        <v>138</v>
      </c>
      <c r="L68" s="1034" t="s">
        <v>325</v>
      </c>
      <c r="M68" s="1052">
        <v>45993</v>
      </c>
      <c r="N68" s="1053">
        <v>50000</v>
      </c>
      <c r="O68" s="1862" t="s">
        <v>18</v>
      </c>
      <c r="P68" s="1023" t="s">
        <v>18</v>
      </c>
      <c r="Q68" s="1054">
        <v>0.6</v>
      </c>
      <c r="R68" s="1046">
        <v>3110014461</v>
      </c>
      <c r="S68" s="1047">
        <v>45700</v>
      </c>
      <c r="T68" s="1023">
        <v>50000</v>
      </c>
      <c r="U68" s="1554" t="s">
        <v>18</v>
      </c>
      <c r="V68" s="1025">
        <f>Table62689345[[#This Row],[PO Value]]-Table62689345[[#This Row],[Offer Value]]</f>
        <v>0</v>
      </c>
      <c r="W68" s="1023"/>
      <c r="X68" s="1055"/>
      <c r="Y68" s="1051"/>
      <c r="Z68" s="1028"/>
      <c r="AA68" s="1029"/>
    </row>
    <row r="69" spans="1:27" s="1319" customFormat="1" ht="15.6">
      <c r="A69" s="1020">
        <v>63</v>
      </c>
      <c r="B69" s="1021">
        <v>45705</v>
      </c>
      <c r="C69" s="1040" t="s">
        <v>326</v>
      </c>
      <c r="D69" s="1035" t="s">
        <v>133</v>
      </c>
      <c r="E69" s="1035" t="s">
        <v>191</v>
      </c>
      <c r="F69" s="1035" t="s">
        <v>327</v>
      </c>
      <c r="G69" s="1035">
        <v>7875555910</v>
      </c>
      <c r="H69" s="1036" t="s">
        <v>328</v>
      </c>
      <c r="I69" s="1022" t="s">
        <v>329</v>
      </c>
      <c r="J69" s="1860" t="s">
        <v>73</v>
      </c>
      <c r="K69" s="1860" t="s">
        <v>138</v>
      </c>
      <c r="L69" s="1034" t="s">
        <v>330</v>
      </c>
      <c r="M69" s="1052">
        <v>45993</v>
      </c>
      <c r="N69" s="1053">
        <v>46500</v>
      </c>
      <c r="O69" s="1862" t="s">
        <v>18</v>
      </c>
      <c r="P69" s="1023" t="s">
        <v>34</v>
      </c>
      <c r="Q69" s="1054">
        <v>0.5</v>
      </c>
      <c r="R69" s="1046">
        <v>4518004947</v>
      </c>
      <c r="S69" s="1047">
        <v>45812</v>
      </c>
      <c r="T69" s="1053">
        <v>46500</v>
      </c>
      <c r="U69" s="1554" t="s">
        <v>34</v>
      </c>
      <c r="V69" s="1025">
        <f>Table62689345[[#This Row],[PO Value]]-Table62689345[[#This Row],[Offer Value]]</f>
        <v>0</v>
      </c>
      <c r="W69" s="1023" t="s">
        <v>331</v>
      </c>
      <c r="X69" s="1055"/>
      <c r="Y69" s="1051"/>
      <c r="Z69" s="1028"/>
      <c r="AA69" s="1029"/>
    </row>
    <row r="70" spans="1:27" s="1319" customFormat="1" ht="15.6">
      <c r="A70" s="1030">
        <v>64</v>
      </c>
      <c r="B70" s="1021"/>
      <c r="C70" s="1040" t="s">
        <v>326</v>
      </c>
      <c r="D70" s="1035" t="s">
        <v>133</v>
      </c>
      <c r="E70" s="1513" t="s">
        <v>191</v>
      </c>
      <c r="F70" s="1035" t="s">
        <v>327</v>
      </c>
      <c r="G70" s="1035">
        <v>7875555910</v>
      </c>
      <c r="H70" s="1036" t="s">
        <v>328</v>
      </c>
      <c r="I70" s="1022" t="s">
        <v>332</v>
      </c>
      <c r="J70" s="1860" t="s">
        <v>73</v>
      </c>
      <c r="K70" s="1860" t="s">
        <v>138</v>
      </c>
      <c r="L70" s="1034" t="s">
        <v>330</v>
      </c>
      <c r="M70" s="1052">
        <v>45993</v>
      </c>
      <c r="N70" s="1053">
        <v>46500</v>
      </c>
      <c r="O70" s="1862" t="s">
        <v>18</v>
      </c>
      <c r="P70" s="1023" t="s">
        <v>34</v>
      </c>
      <c r="Q70" s="1054">
        <v>0.5</v>
      </c>
      <c r="R70" s="1046">
        <v>4518004947</v>
      </c>
      <c r="S70" s="1047">
        <v>45812</v>
      </c>
      <c r="T70" s="1053">
        <v>46500</v>
      </c>
      <c r="U70" s="1554" t="s">
        <v>34</v>
      </c>
      <c r="V70" s="1025">
        <f>Table62689345[[#This Row],[PO Value]]-Table62689345[[#This Row],[Offer Value]]</f>
        <v>0</v>
      </c>
      <c r="W70" s="1023" t="s">
        <v>331</v>
      </c>
      <c r="X70" s="1055"/>
      <c r="Y70" s="1051"/>
      <c r="Z70" s="1028"/>
      <c r="AA70" s="1029"/>
    </row>
    <row r="71" spans="1:27" s="1319" customFormat="1" ht="15.6">
      <c r="A71" s="1020">
        <v>65</v>
      </c>
      <c r="B71" s="1021"/>
      <c r="C71" s="1040" t="s">
        <v>326</v>
      </c>
      <c r="D71" s="1035" t="s">
        <v>133</v>
      </c>
      <c r="E71" s="1035" t="s">
        <v>277</v>
      </c>
      <c r="F71" s="1035" t="s">
        <v>327</v>
      </c>
      <c r="G71" s="1035">
        <v>7875555910</v>
      </c>
      <c r="H71" s="1036" t="s">
        <v>328</v>
      </c>
      <c r="I71" s="1022" t="s">
        <v>333</v>
      </c>
      <c r="J71" s="1860" t="s">
        <v>73</v>
      </c>
      <c r="K71" s="1860" t="s">
        <v>138</v>
      </c>
      <c r="L71" s="1034" t="s">
        <v>330</v>
      </c>
      <c r="M71" s="1052">
        <v>45993</v>
      </c>
      <c r="N71" s="1053">
        <v>46500</v>
      </c>
      <c r="O71" s="1862" t="s">
        <v>18</v>
      </c>
      <c r="P71" s="1023" t="s">
        <v>34</v>
      </c>
      <c r="Q71" s="1054">
        <v>0.5</v>
      </c>
      <c r="R71" s="1046">
        <v>4518004947</v>
      </c>
      <c r="S71" s="1047">
        <v>45812</v>
      </c>
      <c r="T71" s="1053">
        <v>46500</v>
      </c>
      <c r="U71" s="1554" t="s">
        <v>34</v>
      </c>
      <c r="V71" s="1025">
        <f>Table62689345[[#This Row],[PO Value]]-Table62689345[[#This Row],[Offer Value]]</f>
        <v>0</v>
      </c>
      <c r="W71" s="1023" t="s">
        <v>331</v>
      </c>
      <c r="X71" s="1055"/>
      <c r="Y71" s="1051"/>
      <c r="Z71" s="1028"/>
      <c r="AA71" s="1029"/>
    </row>
    <row r="72" spans="1:27" s="1319" customFormat="1" ht="15.6">
      <c r="A72" s="1030">
        <v>66</v>
      </c>
      <c r="B72" s="1021"/>
      <c r="C72" s="1040" t="s">
        <v>326</v>
      </c>
      <c r="D72" s="1035" t="s">
        <v>133</v>
      </c>
      <c r="E72" s="1035" t="s">
        <v>191</v>
      </c>
      <c r="F72" s="1035" t="s">
        <v>327</v>
      </c>
      <c r="G72" s="1035">
        <v>7875555910</v>
      </c>
      <c r="H72" s="1036" t="s">
        <v>328</v>
      </c>
      <c r="I72" s="1022" t="s">
        <v>334</v>
      </c>
      <c r="J72" s="1860" t="s">
        <v>73</v>
      </c>
      <c r="K72" s="1860" t="s">
        <v>138</v>
      </c>
      <c r="L72" s="1034" t="s">
        <v>330</v>
      </c>
      <c r="M72" s="1052">
        <v>45993</v>
      </c>
      <c r="N72" s="1053">
        <v>46500</v>
      </c>
      <c r="O72" s="1862" t="s">
        <v>18</v>
      </c>
      <c r="P72" s="1023" t="s">
        <v>34</v>
      </c>
      <c r="Q72" s="1054">
        <v>0.5</v>
      </c>
      <c r="R72" s="1046">
        <v>4518004947</v>
      </c>
      <c r="S72" s="1047">
        <v>45812</v>
      </c>
      <c r="T72" s="1053">
        <v>46500</v>
      </c>
      <c r="U72" s="1554" t="s">
        <v>34</v>
      </c>
      <c r="V72" s="1025">
        <f>Table62689345[[#This Row],[PO Value]]-Table62689345[[#This Row],[Offer Value]]</f>
        <v>0</v>
      </c>
      <c r="W72" s="1023" t="s">
        <v>331</v>
      </c>
      <c r="X72" s="1055"/>
      <c r="Y72" s="1051"/>
      <c r="Z72" s="1028"/>
      <c r="AA72" s="1029"/>
    </row>
    <row r="73" spans="1:27" s="246" customFormat="1" ht="15.6">
      <c r="A73" s="1020">
        <v>67</v>
      </c>
      <c r="B73" s="1021">
        <v>45705</v>
      </c>
      <c r="C73" s="1040" t="s">
        <v>335</v>
      </c>
      <c r="D73" s="1035" t="s">
        <v>133</v>
      </c>
      <c r="E73" s="1035" t="s">
        <v>191</v>
      </c>
      <c r="F73" s="1035" t="s">
        <v>336</v>
      </c>
      <c r="G73" s="1511">
        <v>7744051513</v>
      </c>
      <c r="H73" s="1036" t="s">
        <v>337</v>
      </c>
      <c r="I73" s="1022">
        <v>102008505</v>
      </c>
      <c r="J73" s="1991" t="s">
        <v>75</v>
      </c>
      <c r="K73" s="1991" t="s">
        <v>157</v>
      </c>
      <c r="L73" s="1034" t="s">
        <v>338</v>
      </c>
      <c r="M73" s="1052">
        <v>45687</v>
      </c>
      <c r="N73" s="1053">
        <v>651370</v>
      </c>
      <c r="O73" s="1862" t="s">
        <v>18</v>
      </c>
      <c r="P73" s="1023" t="s">
        <v>28</v>
      </c>
      <c r="Q73" s="1054">
        <v>0.5</v>
      </c>
      <c r="R73" s="1046">
        <v>8000155101</v>
      </c>
      <c r="S73" s="1047">
        <v>45758</v>
      </c>
      <c r="T73" s="1020">
        <v>625314</v>
      </c>
      <c r="U73" s="1554" t="s">
        <v>28</v>
      </c>
      <c r="V73" s="1025">
        <f>Table62689345[[#This Row],[PO Value]]-Table62689345[[#This Row],[Offer Value]]</f>
        <v>-26056</v>
      </c>
      <c r="W73" s="1023"/>
      <c r="X73" s="1055"/>
      <c r="Y73" s="1051"/>
      <c r="Z73" s="1028" t="s">
        <v>157</v>
      </c>
      <c r="AA73" s="1029" t="s">
        <v>157</v>
      </c>
    </row>
    <row r="74" spans="1:27" s="246" customFormat="1" ht="15.6">
      <c r="A74" s="289">
        <v>137</v>
      </c>
      <c r="B74" s="481">
        <v>45922</v>
      </c>
      <c r="C74" s="886" t="s">
        <v>132</v>
      </c>
      <c r="D74" s="681" t="s">
        <v>133</v>
      </c>
      <c r="E74" s="681" t="s">
        <v>185</v>
      </c>
      <c r="F74" s="681" t="s">
        <v>186</v>
      </c>
      <c r="G74" s="681">
        <v>9011018387</v>
      </c>
      <c r="H74" s="682" t="s">
        <v>187</v>
      </c>
      <c r="I74" s="482" t="s">
        <v>188</v>
      </c>
      <c r="J74" s="482" t="s">
        <v>77</v>
      </c>
      <c r="K74" s="482" t="s">
        <v>157</v>
      </c>
      <c r="L74" s="283" t="s">
        <v>339</v>
      </c>
      <c r="M74" s="958" t="s">
        <v>340</v>
      </c>
      <c r="N74" s="289">
        <v>1160000</v>
      </c>
      <c r="O74" s="483" t="s">
        <v>44</v>
      </c>
      <c r="P74" s="483" t="s">
        <v>62</v>
      </c>
      <c r="Q74" s="109">
        <v>0.3</v>
      </c>
      <c r="R74" s="492"/>
      <c r="S74" s="966"/>
      <c r="T74" s="483"/>
      <c r="U74" s="483"/>
      <c r="V74" s="284">
        <f>Table62689345[[#This Row],[Offer Value]]-Table62689345[[#This Row],[PO Value]]</f>
        <v>1160000</v>
      </c>
      <c r="W74" s="483"/>
      <c r="X74" s="485"/>
      <c r="Y74" s="651"/>
      <c r="Z74" s="641"/>
      <c r="AA74" s="472"/>
    </row>
    <row r="75" spans="1:27" s="1319" customFormat="1" ht="15.6">
      <c r="A75" s="1020">
        <v>69</v>
      </c>
      <c r="B75" s="1021">
        <v>45705</v>
      </c>
      <c r="C75" s="1040" t="s">
        <v>341</v>
      </c>
      <c r="D75" s="1035" t="s">
        <v>133</v>
      </c>
      <c r="E75" s="1035" t="s">
        <v>191</v>
      </c>
      <c r="F75" s="1035" t="s">
        <v>342</v>
      </c>
      <c r="G75" s="1035">
        <v>9822840261</v>
      </c>
      <c r="H75" s="1036" t="s">
        <v>343</v>
      </c>
      <c r="I75" s="1022" t="s">
        <v>307</v>
      </c>
      <c r="J75" s="1860" t="s">
        <v>75</v>
      </c>
      <c r="K75" s="1860" t="s">
        <v>157</v>
      </c>
      <c r="L75" s="1034" t="s">
        <v>344</v>
      </c>
      <c r="M75" s="1052">
        <v>45687</v>
      </c>
      <c r="N75" s="1053">
        <v>85916</v>
      </c>
      <c r="O75" s="1862" t="s">
        <v>18</v>
      </c>
      <c r="P75" s="1023" t="s">
        <v>28</v>
      </c>
      <c r="Q75" s="1054">
        <v>0.5</v>
      </c>
      <c r="R75" s="1046">
        <v>4500527548</v>
      </c>
      <c r="S75" s="1047">
        <v>45740</v>
      </c>
      <c r="T75" s="1023">
        <v>52380</v>
      </c>
      <c r="U75" s="1554" t="s">
        <v>28</v>
      </c>
      <c r="V75" s="1025">
        <f>Table62689345[[#This Row],[PO Value]]-Table62689345[[#This Row],[Offer Value]]</f>
        <v>-33536</v>
      </c>
      <c r="W75" s="1023"/>
      <c r="X75" s="1055"/>
      <c r="Y75" s="1051"/>
      <c r="Z75" s="1028"/>
      <c r="AA75" s="1029"/>
    </row>
    <row r="76" spans="1:27" s="1319" customFormat="1" ht="15.6">
      <c r="A76" s="1030">
        <v>70</v>
      </c>
      <c r="B76" s="1021">
        <v>45705</v>
      </c>
      <c r="C76" s="1040" t="s">
        <v>173</v>
      </c>
      <c r="D76" s="1035" t="s">
        <v>133</v>
      </c>
      <c r="E76" s="1035" t="s">
        <v>345</v>
      </c>
      <c r="F76" s="1035" t="s">
        <v>346</v>
      </c>
      <c r="G76" s="1035">
        <v>9503050525</v>
      </c>
      <c r="H76" s="1036" t="s">
        <v>347</v>
      </c>
      <c r="I76" s="1022" t="s">
        <v>348</v>
      </c>
      <c r="J76" s="1860" t="s">
        <v>75</v>
      </c>
      <c r="K76" s="1860" t="s">
        <v>157</v>
      </c>
      <c r="L76" s="1034" t="s">
        <v>349</v>
      </c>
      <c r="M76" s="1052" t="s">
        <v>350</v>
      </c>
      <c r="N76" s="1053">
        <v>185900</v>
      </c>
      <c r="O76" s="1862" t="s">
        <v>7</v>
      </c>
      <c r="P76" s="1023" t="s">
        <v>28</v>
      </c>
      <c r="Q76" s="1054">
        <v>0.5</v>
      </c>
      <c r="R76" s="1046">
        <v>5210058236</v>
      </c>
      <c r="S76" s="1047">
        <v>45737</v>
      </c>
      <c r="T76" s="1020">
        <v>178464</v>
      </c>
      <c r="U76" s="1554" t="s">
        <v>28</v>
      </c>
      <c r="V76" s="1025">
        <f>Table62689345[[#This Row],[PO Value]]-Table62689345[[#This Row],[Offer Value]]</f>
        <v>-7436</v>
      </c>
      <c r="W76" s="1023"/>
      <c r="X76" s="1055"/>
      <c r="Y76" s="1051"/>
      <c r="Z76" s="1028"/>
      <c r="AA76" s="1029"/>
    </row>
    <row r="77" spans="1:27" s="1319" customFormat="1" ht="15.6">
      <c r="A77" s="1020">
        <v>71</v>
      </c>
      <c r="B77" s="1021">
        <v>45705</v>
      </c>
      <c r="C77" s="1040" t="s">
        <v>335</v>
      </c>
      <c r="D77" s="1035" t="s">
        <v>133</v>
      </c>
      <c r="E77" s="1035" t="s">
        <v>191</v>
      </c>
      <c r="F77" s="1035" t="s">
        <v>336</v>
      </c>
      <c r="G77" s="1035">
        <v>7744051513</v>
      </c>
      <c r="H77" s="1036" t="s">
        <v>337</v>
      </c>
      <c r="I77" s="1022">
        <v>102008505</v>
      </c>
      <c r="J77" s="1860" t="s">
        <v>73</v>
      </c>
      <c r="K77" s="1860" t="s">
        <v>138</v>
      </c>
      <c r="L77" s="1034" t="s">
        <v>351</v>
      </c>
      <c r="M77" s="1052" t="s">
        <v>352</v>
      </c>
      <c r="N77" s="1053">
        <v>127200</v>
      </c>
      <c r="O77" s="1862" t="s">
        <v>18</v>
      </c>
      <c r="P77" s="1023" t="s">
        <v>28</v>
      </c>
      <c r="Q77" s="1054">
        <v>0.5</v>
      </c>
      <c r="R77" s="1046">
        <v>8000155292</v>
      </c>
      <c r="S77" s="1047">
        <v>45768</v>
      </c>
      <c r="T77" s="1053">
        <v>127200</v>
      </c>
      <c r="U77" s="1554" t="s">
        <v>28</v>
      </c>
      <c r="V77" s="1025">
        <f>Table62689345[[#This Row],[PO Value]]-Table62689345[[#This Row],[Offer Value]]</f>
        <v>0</v>
      </c>
      <c r="W77" s="1023" t="s">
        <v>331</v>
      </c>
      <c r="X77" s="1055"/>
      <c r="Y77" s="1051"/>
      <c r="Z77" s="1028"/>
      <c r="AA77" s="1029"/>
    </row>
    <row r="78" spans="1:27" s="1319" customFormat="1" ht="15.6">
      <c r="A78" s="1030">
        <v>72</v>
      </c>
      <c r="B78" s="1021"/>
      <c r="C78" s="1040" t="s">
        <v>335</v>
      </c>
      <c r="D78" s="1035" t="s">
        <v>133</v>
      </c>
      <c r="E78" s="1035" t="s">
        <v>191</v>
      </c>
      <c r="F78" s="1035" t="s">
        <v>336</v>
      </c>
      <c r="G78" s="1035">
        <v>7744051513</v>
      </c>
      <c r="H78" s="1036" t="s">
        <v>337</v>
      </c>
      <c r="I78" s="1022">
        <v>102008506</v>
      </c>
      <c r="J78" s="1860" t="s">
        <v>73</v>
      </c>
      <c r="K78" s="1860" t="s">
        <v>138</v>
      </c>
      <c r="L78" s="1034" t="s">
        <v>351</v>
      </c>
      <c r="M78" s="1052" t="s">
        <v>352</v>
      </c>
      <c r="N78" s="1053">
        <v>127200</v>
      </c>
      <c r="O78" s="1862" t="s">
        <v>18</v>
      </c>
      <c r="P78" s="1023" t="s">
        <v>28</v>
      </c>
      <c r="Q78" s="1054">
        <v>0.5</v>
      </c>
      <c r="R78" s="1046">
        <v>8000155292</v>
      </c>
      <c r="S78" s="1047">
        <v>45768</v>
      </c>
      <c r="T78" s="1053">
        <v>127200</v>
      </c>
      <c r="U78" s="1554" t="s">
        <v>28</v>
      </c>
      <c r="V78" s="1025">
        <f>Table62689345[[#This Row],[PO Value]]-Table62689345[[#This Row],[Offer Value]]</f>
        <v>0</v>
      </c>
      <c r="W78" s="1023" t="s">
        <v>331</v>
      </c>
      <c r="X78" s="1055"/>
      <c r="Y78" s="1051"/>
      <c r="Z78" s="1028"/>
      <c r="AA78" s="1029"/>
    </row>
    <row r="79" spans="1:27" s="1319" customFormat="1" ht="15.6">
      <c r="A79" s="1020">
        <v>73</v>
      </c>
      <c r="B79" s="1021"/>
      <c r="C79" s="1040" t="s">
        <v>335</v>
      </c>
      <c r="D79" s="1035" t="s">
        <v>133</v>
      </c>
      <c r="E79" s="1035" t="s">
        <v>191</v>
      </c>
      <c r="F79" s="1035" t="s">
        <v>336</v>
      </c>
      <c r="G79" s="1035">
        <v>7744051513</v>
      </c>
      <c r="H79" s="1036" t="s">
        <v>337</v>
      </c>
      <c r="I79" s="1022">
        <v>102008507</v>
      </c>
      <c r="J79" s="1860" t="s">
        <v>73</v>
      </c>
      <c r="K79" s="1860" t="s">
        <v>138</v>
      </c>
      <c r="L79" s="1034" t="s">
        <v>351</v>
      </c>
      <c r="M79" s="1052" t="s">
        <v>352</v>
      </c>
      <c r="N79" s="1053">
        <v>127200</v>
      </c>
      <c r="O79" s="1862" t="s">
        <v>18</v>
      </c>
      <c r="P79" s="1023" t="s">
        <v>28</v>
      </c>
      <c r="Q79" s="1054">
        <v>0.5</v>
      </c>
      <c r="R79" s="1046">
        <v>8000155292</v>
      </c>
      <c r="S79" s="1047">
        <v>45768</v>
      </c>
      <c r="T79" s="1053">
        <v>127200</v>
      </c>
      <c r="U79" s="1554" t="s">
        <v>28</v>
      </c>
      <c r="V79" s="1025">
        <f>Table62689345[[#This Row],[PO Value]]-Table62689345[[#This Row],[Offer Value]]</f>
        <v>0</v>
      </c>
      <c r="W79" s="1023" t="s">
        <v>331</v>
      </c>
      <c r="X79" s="1055"/>
      <c r="Y79" s="1051"/>
      <c r="Z79" s="1028"/>
      <c r="AA79" s="1029"/>
    </row>
    <row r="80" spans="1:27" s="1319" customFormat="1" ht="15.6">
      <c r="A80" s="1030">
        <v>74</v>
      </c>
      <c r="B80" s="1021"/>
      <c r="C80" s="1040" t="s">
        <v>335</v>
      </c>
      <c r="D80" s="1035" t="s">
        <v>133</v>
      </c>
      <c r="E80" s="1035" t="s">
        <v>191</v>
      </c>
      <c r="F80" s="1035" t="s">
        <v>336</v>
      </c>
      <c r="G80" s="1035">
        <v>7744051513</v>
      </c>
      <c r="H80" s="1036" t="s">
        <v>337</v>
      </c>
      <c r="I80" s="1022">
        <v>102008508</v>
      </c>
      <c r="J80" s="1860" t="s">
        <v>73</v>
      </c>
      <c r="K80" s="1860" t="s">
        <v>138</v>
      </c>
      <c r="L80" s="1034" t="s">
        <v>351</v>
      </c>
      <c r="M80" s="1052" t="s">
        <v>352</v>
      </c>
      <c r="N80" s="1053">
        <v>127200</v>
      </c>
      <c r="O80" s="1862" t="s">
        <v>18</v>
      </c>
      <c r="P80" s="1023" t="s">
        <v>28</v>
      </c>
      <c r="Q80" s="1054">
        <v>0.5</v>
      </c>
      <c r="R80" s="1046">
        <v>8000155292</v>
      </c>
      <c r="S80" s="1047">
        <v>45768</v>
      </c>
      <c r="T80" s="1053">
        <v>127200</v>
      </c>
      <c r="U80" s="1554" t="s">
        <v>28</v>
      </c>
      <c r="V80" s="1025">
        <f>Table62689345[[#This Row],[PO Value]]-Table62689345[[#This Row],[Offer Value]]</f>
        <v>0</v>
      </c>
      <c r="W80" s="1023" t="s">
        <v>331</v>
      </c>
      <c r="X80" s="1055"/>
      <c r="Y80" s="1051"/>
      <c r="Z80" s="1028"/>
      <c r="AA80" s="1029"/>
    </row>
    <row r="81" spans="1:27" s="1319" customFormat="1" ht="15.6">
      <c r="A81" s="1020">
        <v>75</v>
      </c>
      <c r="B81" s="1021"/>
      <c r="C81" s="1040" t="s">
        <v>335</v>
      </c>
      <c r="D81" s="1035" t="s">
        <v>133</v>
      </c>
      <c r="E81" s="1035" t="s">
        <v>191</v>
      </c>
      <c r="F81" s="1035" t="s">
        <v>336</v>
      </c>
      <c r="G81" s="1035">
        <v>7744051513</v>
      </c>
      <c r="H81" s="1036" t="s">
        <v>337</v>
      </c>
      <c r="I81" s="1022">
        <v>102008509</v>
      </c>
      <c r="J81" s="1860" t="s">
        <v>73</v>
      </c>
      <c r="K81" s="1860" t="s">
        <v>138</v>
      </c>
      <c r="L81" s="1034" t="s">
        <v>351</v>
      </c>
      <c r="M81" s="1052" t="s">
        <v>352</v>
      </c>
      <c r="N81" s="1053">
        <v>127200</v>
      </c>
      <c r="O81" s="1862" t="s">
        <v>18</v>
      </c>
      <c r="P81" s="1023" t="s">
        <v>28</v>
      </c>
      <c r="Q81" s="1054">
        <v>0.5</v>
      </c>
      <c r="R81" s="1046">
        <v>8000155292</v>
      </c>
      <c r="S81" s="1047">
        <v>45768</v>
      </c>
      <c r="T81" s="1053">
        <v>127200</v>
      </c>
      <c r="U81" s="1554" t="s">
        <v>28</v>
      </c>
      <c r="V81" s="1025">
        <f>Table62689345[[#This Row],[PO Value]]-Table62689345[[#This Row],[Offer Value]]</f>
        <v>0</v>
      </c>
      <c r="W81" s="1023" t="s">
        <v>331</v>
      </c>
      <c r="X81" s="1055"/>
      <c r="Y81" s="1051"/>
      <c r="Z81" s="1028"/>
      <c r="AA81" s="1029"/>
    </row>
    <row r="82" spans="1:27" s="1617" customFormat="1" ht="15.6">
      <c r="A82" s="1607">
        <v>76</v>
      </c>
      <c r="B82" s="1608">
        <v>45715</v>
      </c>
      <c r="C82" s="1625" t="s">
        <v>353</v>
      </c>
      <c r="D82" s="1626" t="s">
        <v>133</v>
      </c>
      <c r="E82" s="1626" t="s">
        <v>191</v>
      </c>
      <c r="F82" s="1626" t="s">
        <v>354</v>
      </c>
      <c r="G82" s="1633">
        <v>9881071995</v>
      </c>
      <c r="H82" s="1627" t="s">
        <v>355</v>
      </c>
      <c r="I82" s="1609" t="s">
        <v>356</v>
      </c>
      <c r="J82" s="1991" t="s">
        <v>81</v>
      </c>
      <c r="K82" s="1991" t="s">
        <v>157</v>
      </c>
      <c r="L82" s="1621" t="s">
        <v>357</v>
      </c>
      <c r="M82" s="1628">
        <v>45714</v>
      </c>
      <c r="N82" s="1629">
        <v>0</v>
      </c>
      <c r="O82" s="1994" t="s">
        <v>18</v>
      </c>
      <c r="P82" s="1610" t="s">
        <v>30</v>
      </c>
      <c r="Q82" s="1630">
        <v>0.2</v>
      </c>
      <c r="R82" s="1623"/>
      <c r="S82" s="1624"/>
      <c r="T82" s="1637"/>
      <c r="U82" s="1612"/>
      <c r="V82" s="1025">
        <f>Table62689345[[#This Row],[PO Value]]-Table62689345[[#This Row],[Offer Value]]</f>
        <v>0</v>
      </c>
      <c r="W82" s="1610"/>
      <c r="X82" s="1631"/>
      <c r="Y82" s="1632"/>
      <c r="Z82" s="1615"/>
      <c r="AA82" s="1616"/>
    </row>
    <row r="83" spans="1:27" s="1319" customFormat="1" ht="15.6">
      <c r="A83" s="1020">
        <v>77</v>
      </c>
      <c r="B83" s="1021">
        <v>45715</v>
      </c>
      <c r="C83" s="1040" t="s">
        <v>228</v>
      </c>
      <c r="D83" s="1035" t="s">
        <v>133</v>
      </c>
      <c r="E83" s="1035" t="s">
        <v>191</v>
      </c>
      <c r="F83" s="1035" t="s">
        <v>229</v>
      </c>
      <c r="G83" s="1035">
        <v>9552599231</v>
      </c>
      <c r="H83" s="1036" t="s">
        <v>230</v>
      </c>
      <c r="I83" s="1022" t="s">
        <v>235</v>
      </c>
      <c r="J83" s="1860" t="s">
        <v>75</v>
      </c>
      <c r="K83" s="1860" t="s">
        <v>157</v>
      </c>
      <c r="L83" s="1034" t="s">
        <v>358</v>
      </c>
      <c r="M83" s="1052">
        <v>45712</v>
      </c>
      <c r="N83" s="1053">
        <v>426306</v>
      </c>
      <c r="O83" s="1862" t="s">
        <v>18</v>
      </c>
      <c r="P83" s="1023" t="s">
        <v>25</v>
      </c>
      <c r="Q83" s="1054">
        <v>0.8</v>
      </c>
      <c r="R83" s="1046">
        <v>7700331210</v>
      </c>
      <c r="S83" s="1047">
        <v>45717</v>
      </c>
      <c r="T83" s="1020">
        <v>426306</v>
      </c>
      <c r="U83" s="1554" t="s">
        <v>25</v>
      </c>
      <c r="V83" s="1025">
        <f>Table62689345[[#This Row],[PO Value]]-Table62689345[[#This Row],[Offer Value]]</f>
        <v>0</v>
      </c>
      <c r="W83" s="1023"/>
      <c r="X83" s="1055"/>
      <c r="Y83" s="1051"/>
      <c r="Z83" s="1028" t="s">
        <v>157</v>
      </c>
      <c r="AA83" s="1029" t="s">
        <v>157</v>
      </c>
    </row>
    <row r="84" spans="1:27" s="1319" customFormat="1" ht="15.6">
      <c r="A84" s="1379">
        <v>78</v>
      </c>
      <c r="B84" s="1021">
        <v>45715</v>
      </c>
      <c r="C84" s="1040" t="s">
        <v>142</v>
      </c>
      <c r="D84" s="1035" t="s">
        <v>133</v>
      </c>
      <c r="E84" s="1035" t="s">
        <v>359</v>
      </c>
      <c r="F84" s="1035" t="s">
        <v>360</v>
      </c>
      <c r="G84" s="1035"/>
      <c r="H84" s="1036" t="s">
        <v>361</v>
      </c>
      <c r="I84" s="1022" t="s">
        <v>362</v>
      </c>
      <c r="J84" s="1860" t="s">
        <v>75</v>
      </c>
      <c r="K84" s="1860" t="s">
        <v>157</v>
      </c>
      <c r="L84" s="1034" t="s">
        <v>363</v>
      </c>
      <c r="M84" s="1052">
        <v>45713</v>
      </c>
      <c r="N84" s="1053">
        <v>85320</v>
      </c>
      <c r="O84" s="1862" t="s">
        <v>18</v>
      </c>
      <c r="P84" s="1023" t="s">
        <v>30</v>
      </c>
      <c r="Q84" s="1054">
        <v>0.3</v>
      </c>
      <c r="R84" s="1638">
        <v>927602141</v>
      </c>
      <c r="S84" s="1047">
        <v>45729</v>
      </c>
      <c r="T84" s="1020">
        <v>85320</v>
      </c>
      <c r="U84" s="1554" t="s">
        <v>30</v>
      </c>
      <c r="V84" s="1025">
        <f>Table62689345[[#This Row],[PO Value]]-Table62689345[[#This Row],[Offer Value]]</f>
        <v>0</v>
      </c>
      <c r="W84" s="1023"/>
      <c r="X84" s="1055"/>
      <c r="Y84" s="1051"/>
      <c r="Z84" s="1028"/>
      <c r="AA84" s="1029"/>
    </row>
    <row r="85" spans="1:27" s="1319" customFormat="1" ht="15.6">
      <c r="A85" s="1020">
        <v>79</v>
      </c>
      <c r="B85" s="1021">
        <v>45715</v>
      </c>
      <c r="C85" s="1040" t="s">
        <v>276</v>
      </c>
      <c r="D85" s="1035" t="s">
        <v>133</v>
      </c>
      <c r="E85" s="1035" t="s">
        <v>277</v>
      </c>
      <c r="F85" s="1035" t="s">
        <v>278</v>
      </c>
      <c r="G85" s="1035" t="s">
        <v>279</v>
      </c>
      <c r="H85" s="1036" t="s">
        <v>280</v>
      </c>
      <c r="I85" s="1022" t="s">
        <v>289</v>
      </c>
      <c r="J85" s="1860" t="s">
        <v>75</v>
      </c>
      <c r="K85" s="1860" t="s">
        <v>157</v>
      </c>
      <c r="L85" s="1034" t="s">
        <v>364</v>
      </c>
      <c r="M85" s="1052">
        <v>45713</v>
      </c>
      <c r="N85" s="1053">
        <v>25200</v>
      </c>
      <c r="O85" s="1862" t="s">
        <v>18</v>
      </c>
      <c r="P85" s="1023" t="s">
        <v>25</v>
      </c>
      <c r="Q85" s="1054">
        <v>0.6</v>
      </c>
      <c r="R85" s="1046">
        <v>7025041263</v>
      </c>
      <c r="S85" s="1047">
        <v>45717</v>
      </c>
      <c r="T85" s="1020">
        <v>25200</v>
      </c>
      <c r="U85" s="1554" t="s">
        <v>25</v>
      </c>
      <c r="V85" s="1025">
        <f>Table62689345[[#This Row],[PO Value]]-Table62689345[[#This Row],[Offer Value]]</f>
        <v>0</v>
      </c>
      <c r="W85" s="1023"/>
      <c r="X85" s="1055"/>
      <c r="Y85" s="1051"/>
      <c r="Z85" s="1028"/>
      <c r="AA85" s="1029"/>
    </row>
    <row r="86" spans="1:27" s="1319" customFormat="1" ht="15.6">
      <c r="A86" s="1379">
        <v>80</v>
      </c>
      <c r="B86" s="1021">
        <v>45726</v>
      </c>
      <c r="C86" s="1040" t="s">
        <v>365</v>
      </c>
      <c r="D86" s="1035" t="s">
        <v>133</v>
      </c>
      <c r="E86" s="1035" t="s">
        <v>191</v>
      </c>
      <c r="F86" s="1035" t="s">
        <v>366</v>
      </c>
      <c r="G86" s="1035">
        <v>9860247575</v>
      </c>
      <c r="H86" s="1036" t="s">
        <v>367</v>
      </c>
      <c r="I86" s="1515" t="s">
        <v>368</v>
      </c>
      <c r="J86" s="1860" t="s">
        <v>73</v>
      </c>
      <c r="K86" s="1860" t="s">
        <v>138</v>
      </c>
      <c r="L86" s="1034" t="s">
        <v>369</v>
      </c>
      <c r="M86" s="1052">
        <v>45718</v>
      </c>
      <c r="N86" s="1053">
        <v>83000</v>
      </c>
      <c r="O86" s="1023" t="s">
        <v>25</v>
      </c>
      <c r="P86" s="1023" t="s">
        <v>28</v>
      </c>
      <c r="Q86" s="1054">
        <v>0.6</v>
      </c>
      <c r="R86" s="1046" t="s">
        <v>370</v>
      </c>
      <c r="S86" s="1047">
        <v>45761</v>
      </c>
      <c r="T86" s="1020">
        <v>80001</v>
      </c>
      <c r="U86" s="1554" t="s">
        <v>28</v>
      </c>
      <c r="V86" s="1025">
        <f>Table62689345[[#This Row],[PO Value]]-Table62689345[[#This Row],[Offer Value]]</f>
        <v>-2999</v>
      </c>
      <c r="W86" s="1023"/>
      <c r="X86" s="1055"/>
      <c r="Y86" s="1051"/>
      <c r="Z86" s="1028"/>
      <c r="AA86" s="1029"/>
    </row>
    <row r="87" spans="1:27" s="1319" customFormat="1" ht="15.6">
      <c r="A87" s="1020">
        <v>81</v>
      </c>
      <c r="B87" s="1021">
        <v>45740</v>
      </c>
      <c r="C87" s="1040" t="s">
        <v>371</v>
      </c>
      <c r="D87" s="1035" t="s">
        <v>133</v>
      </c>
      <c r="E87" s="1035" t="s">
        <v>191</v>
      </c>
      <c r="F87" s="1035" t="s">
        <v>372</v>
      </c>
      <c r="G87" s="1035">
        <v>9822192492</v>
      </c>
      <c r="H87" s="1538" t="s">
        <v>373</v>
      </c>
      <c r="I87" s="1558" t="s">
        <v>374</v>
      </c>
      <c r="J87" s="1860" t="s">
        <v>73</v>
      </c>
      <c r="K87" s="1860" t="s">
        <v>138</v>
      </c>
      <c r="L87" s="1034" t="s">
        <v>375</v>
      </c>
      <c r="M87" s="1052">
        <v>45718</v>
      </c>
      <c r="N87" s="1053">
        <v>67000</v>
      </c>
      <c r="O87" s="1023" t="s">
        <v>25</v>
      </c>
      <c r="P87" s="1023" t="s">
        <v>30</v>
      </c>
      <c r="Q87" s="1054">
        <v>0.3</v>
      </c>
      <c r="R87" s="1046">
        <v>4504578229</v>
      </c>
      <c r="S87" s="1047">
        <v>45779</v>
      </c>
      <c r="T87" s="1020">
        <v>67000</v>
      </c>
      <c r="U87" s="1554" t="s">
        <v>30</v>
      </c>
      <c r="V87" s="1025">
        <f>Table62689345[[#This Row],[PO Value]]-Table62689345[[#This Row],[Offer Value]]</f>
        <v>0</v>
      </c>
      <c r="W87" s="1023"/>
      <c r="X87" s="1055"/>
      <c r="Y87" s="1051"/>
      <c r="Z87" s="1028"/>
      <c r="AA87" s="1029"/>
    </row>
    <row r="88" spans="1:27" s="1319" customFormat="1" ht="15.6">
      <c r="A88" s="1379">
        <v>82</v>
      </c>
      <c r="B88" s="1021">
        <v>45740</v>
      </c>
      <c r="C88" s="1040" t="s">
        <v>196</v>
      </c>
      <c r="D88" s="1035" t="s">
        <v>133</v>
      </c>
      <c r="E88" s="1035" t="s">
        <v>191</v>
      </c>
      <c r="F88" s="1035" t="s">
        <v>197</v>
      </c>
      <c r="G88" s="1035">
        <v>9403849891</v>
      </c>
      <c r="H88" s="1538" t="s">
        <v>198</v>
      </c>
      <c r="I88" s="1539" t="s">
        <v>199</v>
      </c>
      <c r="J88" s="1860" t="s">
        <v>75</v>
      </c>
      <c r="K88" s="1860" t="s">
        <v>157</v>
      </c>
      <c r="L88" s="1034" t="s">
        <v>376</v>
      </c>
      <c r="M88" s="1052">
        <v>45740</v>
      </c>
      <c r="N88" s="1053">
        <v>509102</v>
      </c>
      <c r="O88" s="1023" t="s">
        <v>25</v>
      </c>
      <c r="P88" s="1023" t="s">
        <v>30</v>
      </c>
      <c r="Q88" s="1054">
        <v>0.3</v>
      </c>
      <c r="R88" s="1046">
        <v>26001228</v>
      </c>
      <c r="S88" s="1047" t="s">
        <v>377</v>
      </c>
      <c r="T88" s="1023">
        <v>239244</v>
      </c>
      <c r="U88" s="1554" t="s">
        <v>30</v>
      </c>
      <c r="V88" s="1025">
        <f>Table62689345[[#This Row],[PO Value]]-Table62689345[[#This Row],[Offer Value]]</f>
        <v>-269858</v>
      </c>
      <c r="W88" s="1023"/>
      <c r="X88" s="1055"/>
      <c r="Y88" s="1051"/>
      <c r="Z88" s="1028" t="s">
        <v>157</v>
      </c>
      <c r="AA88" s="1029" t="s">
        <v>157</v>
      </c>
    </row>
    <row r="89" spans="1:27" s="1319" customFormat="1" ht="15.6">
      <c r="A89" s="1379">
        <v>83</v>
      </c>
      <c r="B89" s="1021">
        <v>45740</v>
      </c>
      <c r="C89" s="1040" t="s">
        <v>378</v>
      </c>
      <c r="D89" s="1035" t="s">
        <v>133</v>
      </c>
      <c r="E89" s="1035" t="s">
        <v>277</v>
      </c>
      <c r="F89" s="1035" t="s">
        <v>379</v>
      </c>
      <c r="G89" s="1035" t="s">
        <v>380</v>
      </c>
      <c r="H89" s="1538" t="s">
        <v>381</v>
      </c>
      <c r="I89" s="1539" t="s">
        <v>382</v>
      </c>
      <c r="J89" s="1860" t="s">
        <v>80</v>
      </c>
      <c r="K89" s="1860" t="s">
        <v>157</v>
      </c>
      <c r="L89" s="1034" t="s">
        <v>383</v>
      </c>
      <c r="M89" s="1052">
        <v>45736</v>
      </c>
      <c r="N89" s="1023">
        <v>25643885</v>
      </c>
      <c r="O89" s="1023" t="s">
        <v>25</v>
      </c>
      <c r="P89" s="1023" t="s">
        <v>28</v>
      </c>
      <c r="Q89" s="1054">
        <v>0.6</v>
      </c>
      <c r="R89" s="1046" t="s">
        <v>384</v>
      </c>
      <c r="S89" s="1047">
        <v>45775</v>
      </c>
      <c r="T89" s="1023">
        <v>25643885</v>
      </c>
      <c r="U89" s="1554" t="s">
        <v>28</v>
      </c>
      <c r="V89" s="1982">
        <f>Table62689345[[#This Row],[PO Value]]-Table62689345[[#This Row],[Offer Value]]</f>
        <v>0</v>
      </c>
      <c r="W89" s="1023"/>
      <c r="X89" s="1055"/>
      <c r="Y89" s="1051"/>
      <c r="Z89" s="1028" t="s">
        <v>385</v>
      </c>
      <c r="AA89" s="1029" t="s">
        <v>157</v>
      </c>
    </row>
    <row r="90" spans="1:27" s="1319" customFormat="1" ht="15.6">
      <c r="A90" s="1379">
        <v>84</v>
      </c>
      <c r="B90" s="1021">
        <v>45740</v>
      </c>
      <c r="C90" s="1040" t="s">
        <v>159</v>
      </c>
      <c r="D90" s="1035" t="s">
        <v>133</v>
      </c>
      <c r="E90" s="1035" t="s">
        <v>386</v>
      </c>
      <c r="F90" s="1035" t="s">
        <v>387</v>
      </c>
      <c r="G90" s="1035">
        <v>9552571724</v>
      </c>
      <c r="H90" s="1538" t="s">
        <v>388</v>
      </c>
      <c r="I90" s="1539" t="s">
        <v>163</v>
      </c>
      <c r="J90" s="1860" t="s">
        <v>74</v>
      </c>
      <c r="K90" s="1860" t="s">
        <v>138</v>
      </c>
      <c r="L90" s="1034" t="s">
        <v>389</v>
      </c>
      <c r="M90" s="1052">
        <v>45723</v>
      </c>
      <c r="N90" s="1053">
        <v>22600</v>
      </c>
      <c r="O90" s="1023" t="s">
        <v>25</v>
      </c>
      <c r="P90" s="1023" t="s">
        <v>25</v>
      </c>
      <c r="Q90" s="1054">
        <v>1</v>
      </c>
      <c r="R90" s="1046">
        <v>66011802</v>
      </c>
      <c r="S90" s="1047">
        <v>45734</v>
      </c>
      <c r="T90" s="1023">
        <v>22600</v>
      </c>
      <c r="U90" s="1554" t="s">
        <v>25</v>
      </c>
      <c r="V90" s="1025">
        <f>Table62689345[[#This Row],[PO Value]]-Table62689345[[#This Row],[Offer Value]]</f>
        <v>0</v>
      </c>
      <c r="W90" s="1023"/>
      <c r="X90" s="1055"/>
      <c r="Y90" s="1051"/>
      <c r="Z90" s="1028"/>
      <c r="AA90" s="1029"/>
    </row>
    <row r="91" spans="1:27" s="1319" customFormat="1" ht="15.6">
      <c r="A91" s="1379">
        <v>85</v>
      </c>
      <c r="B91" s="1021">
        <v>45741</v>
      </c>
      <c r="C91" s="1040" t="s">
        <v>390</v>
      </c>
      <c r="D91" s="1035" t="s">
        <v>133</v>
      </c>
      <c r="E91" s="1035" t="s">
        <v>277</v>
      </c>
      <c r="F91" s="1035" t="s">
        <v>391</v>
      </c>
      <c r="G91" s="1035">
        <v>9158883568</v>
      </c>
      <c r="H91" s="1036" t="s">
        <v>392</v>
      </c>
      <c r="I91" s="1380" t="s">
        <v>393</v>
      </c>
      <c r="J91" s="1860" t="s">
        <v>77</v>
      </c>
      <c r="K91" s="1860" t="s">
        <v>138</v>
      </c>
      <c r="L91" s="1034" t="s">
        <v>394</v>
      </c>
      <c r="M91" s="1052">
        <v>45726</v>
      </c>
      <c r="N91" s="1030">
        <v>325000</v>
      </c>
      <c r="O91" s="1023" t="s">
        <v>25</v>
      </c>
      <c r="P91" s="1023" t="s">
        <v>25</v>
      </c>
      <c r="Q91" s="1054">
        <v>1</v>
      </c>
      <c r="R91" s="1046">
        <v>4521002912</v>
      </c>
      <c r="S91" s="1047">
        <v>45733</v>
      </c>
      <c r="T91" s="1023">
        <v>325000</v>
      </c>
      <c r="U91" s="1554" t="s">
        <v>25</v>
      </c>
      <c r="V91" s="1025">
        <f>Table62689345[[#This Row],[PO Value]]-Table62689345[[#This Row],[Offer Value]]</f>
        <v>0</v>
      </c>
      <c r="W91" s="1023"/>
      <c r="X91" s="1055"/>
      <c r="Y91" s="1051"/>
      <c r="Z91" s="1028"/>
      <c r="AA91" s="1029"/>
    </row>
    <row r="92" spans="1:27" s="1319" customFormat="1" ht="15.6">
      <c r="A92" s="1379">
        <v>86</v>
      </c>
      <c r="B92" s="1021">
        <v>45741</v>
      </c>
      <c r="C92" s="1040" t="s">
        <v>390</v>
      </c>
      <c r="D92" s="1035" t="s">
        <v>133</v>
      </c>
      <c r="E92" s="1035" t="s">
        <v>277</v>
      </c>
      <c r="F92" s="1035" t="s">
        <v>391</v>
      </c>
      <c r="G92" s="1035">
        <v>9158883568</v>
      </c>
      <c r="H92" s="1036" t="s">
        <v>392</v>
      </c>
      <c r="I92" s="1022" t="s">
        <v>393</v>
      </c>
      <c r="J92" s="1860" t="s">
        <v>73</v>
      </c>
      <c r="K92" s="1860" t="s">
        <v>157</v>
      </c>
      <c r="L92" s="1034" t="s">
        <v>395</v>
      </c>
      <c r="M92" s="1052">
        <v>45723</v>
      </c>
      <c r="N92" s="1030">
        <v>76000</v>
      </c>
      <c r="O92" s="1023" t="s">
        <v>25</v>
      </c>
      <c r="P92" s="1023" t="s">
        <v>34</v>
      </c>
      <c r="Q92" s="1054">
        <v>0.5</v>
      </c>
      <c r="R92" s="1046">
        <v>4521013686</v>
      </c>
      <c r="S92" s="1047" t="s">
        <v>396</v>
      </c>
      <c r="T92" s="1023">
        <v>70000</v>
      </c>
      <c r="U92" s="1554" t="s">
        <v>34</v>
      </c>
      <c r="V92" s="1025">
        <f>Table62689345[[#This Row],[PO Value]]-Table62689345[[#This Row],[Offer Value]]</f>
        <v>-6000</v>
      </c>
      <c r="W92" s="1023"/>
      <c r="X92" s="1055"/>
      <c r="Y92" s="1051"/>
      <c r="Z92" s="1028"/>
      <c r="AA92" s="1029"/>
    </row>
    <row r="93" spans="1:27" s="1319" customFormat="1" ht="15.6">
      <c r="A93" s="1020">
        <v>87</v>
      </c>
      <c r="B93" s="1021">
        <v>45799</v>
      </c>
      <c r="C93" s="1040" t="s">
        <v>196</v>
      </c>
      <c r="D93" s="1035" t="s">
        <v>133</v>
      </c>
      <c r="E93" s="1035" t="s">
        <v>191</v>
      </c>
      <c r="F93" s="1035" t="s">
        <v>197</v>
      </c>
      <c r="G93" s="1035">
        <v>9403849891</v>
      </c>
      <c r="H93" s="1538" t="s">
        <v>198</v>
      </c>
      <c r="I93" s="1539" t="s">
        <v>199</v>
      </c>
      <c r="J93" s="1860" t="s">
        <v>73</v>
      </c>
      <c r="K93" s="1022" t="s">
        <v>138</v>
      </c>
      <c r="L93" s="1034" t="s">
        <v>318</v>
      </c>
      <c r="M93" s="1052">
        <v>45686</v>
      </c>
      <c r="N93" s="1053">
        <v>78000</v>
      </c>
      <c r="O93" s="1862" t="s">
        <v>7</v>
      </c>
      <c r="P93" s="1023" t="s">
        <v>30</v>
      </c>
      <c r="Q93" s="1054">
        <v>0.9</v>
      </c>
      <c r="R93" s="1046">
        <v>2611160</v>
      </c>
      <c r="S93" s="1047">
        <v>45797</v>
      </c>
      <c r="T93" s="1020">
        <v>78000</v>
      </c>
      <c r="U93" s="1554" t="s">
        <v>30</v>
      </c>
      <c r="V93" s="1025">
        <f>Table62689345[[#This Row],[PO Value]]-Table62689345[[#This Row],[Offer Value]]</f>
        <v>0</v>
      </c>
      <c r="W93" s="1023"/>
      <c r="X93" s="1055"/>
      <c r="Y93" s="1051"/>
      <c r="Z93" s="1028"/>
      <c r="AA93" s="1029"/>
    </row>
    <row r="94" spans="1:27" s="1319" customFormat="1" ht="15.6">
      <c r="A94" s="1020">
        <v>88</v>
      </c>
      <c r="B94" s="1021"/>
      <c r="C94" s="1040" t="s">
        <v>353</v>
      </c>
      <c r="D94" s="1035" t="s">
        <v>133</v>
      </c>
      <c r="E94" s="1035" t="s">
        <v>191</v>
      </c>
      <c r="F94" s="1035" t="s">
        <v>354</v>
      </c>
      <c r="G94" s="1035">
        <v>9881071995</v>
      </c>
      <c r="H94" s="1036" t="s">
        <v>355</v>
      </c>
      <c r="I94" s="1022" t="s">
        <v>356</v>
      </c>
      <c r="J94" s="1860" t="s">
        <v>73</v>
      </c>
      <c r="K94" s="1022" t="s">
        <v>157</v>
      </c>
      <c r="L94" s="1034" t="s">
        <v>397</v>
      </c>
      <c r="M94" s="1052">
        <v>45791</v>
      </c>
      <c r="N94" s="1053">
        <v>85500</v>
      </c>
      <c r="O94" s="1862" t="s">
        <v>30</v>
      </c>
      <c r="P94" s="1023" t="s">
        <v>30</v>
      </c>
      <c r="Q94" s="1054">
        <v>0.9</v>
      </c>
      <c r="R94" s="1046">
        <v>4510868028</v>
      </c>
      <c r="S94" s="1047">
        <v>45798</v>
      </c>
      <c r="T94" s="1053">
        <v>85500</v>
      </c>
      <c r="U94" s="1554" t="s">
        <v>30</v>
      </c>
      <c r="V94" s="1025">
        <f>Table62689345[[#This Row],[PO Value]]-Table62689345[[#This Row],[Offer Value]]</f>
        <v>0</v>
      </c>
      <c r="W94" s="1023" t="s">
        <v>398</v>
      </c>
      <c r="X94" s="1055"/>
      <c r="Y94" s="1051"/>
      <c r="Z94" s="1028"/>
      <c r="AA94" s="1029"/>
    </row>
    <row r="95" spans="1:27" s="1319" customFormat="1" ht="15.6">
      <c r="A95" s="1020">
        <v>89</v>
      </c>
      <c r="B95" s="1021"/>
      <c r="C95" s="1040" t="s">
        <v>353</v>
      </c>
      <c r="D95" s="1035" t="s">
        <v>133</v>
      </c>
      <c r="E95" s="1035" t="s">
        <v>191</v>
      </c>
      <c r="F95" s="1035" t="s">
        <v>354</v>
      </c>
      <c r="G95" s="1035">
        <v>9881071995</v>
      </c>
      <c r="H95" s="1036" t="s">
        <v>355</v>
      </c>
      <c r="I95" s="1022" t="s">
        <v>399</v>
      </c>
      <c r="J95" s="1860" t="s">
        <v>73</v>
      </c>
      <c r="K95" s="1022" t="s">
        <v>157</v>
      </c>
      <c r="L95" s="1034" t="s">
        <v>397</v>
      </c>
      <c r="M95" s="1052">
        <v>45791</v>
      </c>
      <c r="N95" s="1053">
        <v>85500</v>
      </c>
      <c r="O95" s="1862" t="s">
        <v>30</v>
      </c>
      <c r="P95" s="1023" t="s">
        <v>30</v>
      </c>
      <c r="Q95" s="1054">
        <v>0.9</v>
      </c>
      <c r="R95" s="1046">
        <v>4510868028</v>
      </c>
      <c r="S95" s="1047">
        <v>45798</v>
      </c>
      <c r="T95" s="1053">
        <v>85500</v>
      </c>
      <c r="U95" s="1554" t="s">
        <v>30</v>
      </c>
      <c r="V95" s="1025">
        <f>Table62689345[[#This Row],[PO Value]]-Table62689345[[#This Row],[Offer Value]]</f>
        <v>0</v>
      </c>
      <c r="W95" s="1023" t="s">
        <v>398</v>
      </c>
      <c r="X95" s="1055"/>
      <c r="Y95" s="1051"/>
      <c r="Z95" s="1028"/>
      <c r="AA95" s="1029"/>
    </row>
    <row r="96" spans="1:27" s="1319" customFormat="1" ht="15.6">
      <c r="A96" s="1020">
        <v>90</v>
      </c>
      <c r="B96" s="1021"/>
      <c r="C96" s="1040" t="s">
        <v>353</v>
      </c>
      <c r="D96" s="1035" t="s">
        <v>133</v>
      </c>
      <c r="E96" s="1035" t="s">
        <v>191</v>
      </c>
      <c r="F96" s="1035" t="s">
        <v>354</v>
      </c>
      <c r="G96" s="1035">
        <v>9881071995</v>
      </c>
      <c r="H96" s="1036" t="s">
        <v>355</v>
      </c>
      <c r="I96" s="1022" t="s">
        <v>400</v>
      </c>
      <c r="J96" s="1860" t="s">
        <v>73</v>
      </c>
      <c r="K96" s="1022" t="s">
        <v>157</v>
      </c>
      <c r="L96" s="1034" t="s">
        <v>397</v>
      </c>
      <c r="M96" s="1052">
        <v>45791</v>
      </c>
      <c r="N96" s="1053">
        <v>85500</v>
      </c>
      <c r="O96" s="1862" t="s">
        <v>30</v>
      </c>
      <c r="P96" s="1023" t="s">
        <v>30</v>
      </c>
      <c r="Q96" s="1054">
        <v>0.9</v>
      </c>
      <c r="R96" s="1046">
        <v>4510868028</v>
      </c>
      <c r="S96" s="1047">
        <v>45798</v>
      </c>
      <c r="T96" s="1053">
        <v>85500</v>
      </c>
      <c r="U96" s="1554" t="s">
        <v>30</v>
      </c>
      <c r="V96" s="1025">
        <f>Table62689345[[#This Row],[PO Value]]-Table62689345[[#This Row],[Offer Value]]</f>
        <v>0</v>
      </c>
      <c r="W96" s="1023" t="s">
        <v>398</v>
      </c>
      <c r="X96" s="1055"/>
      <c r="Y96" s="1051"/>
      <c r="Z96" s="1028"/>
      <c r="AA96" s="1029"/>
    </row>
    <row r="97" spans="1:27" s="1319" customFormat="1" ht="15.6">
      <c r="A97" s="1020">
        <v>91</v>
      </c>
      <c r="B97" s="1021"/>
      <c r="C97" s="1040" t="s">
        <v>353</v>
      </c>
      <c r="D97" s="1035" t="s">
        <v>133</v>
      </c>
      <c r="E97" s="1035" t="s">
        <v>191</v>
      </c>
      <c r="F97" s="1035" t="s">
        <v>354</v>
      </c>
      <c r="G97" s="1035">
        <v>9881071995</v>
      </c>
      <c r="H97" s="1036" t="s">
        <v>355</v>
      </c>
      <c r="I97" s="1022" t="s">
        <v>401</v>
      </c>
      <c r="J97" s="1860" t="s">
        <v>73</v>
      </c>
      <c r="K97" s="1022" t="s">
        <v>157</v>
      </c>
      <c r="L97" s="1034" t="s">
        <v>397</v>
      </c>
      <c r="M97" s="1052">
        <v>45791</v>
      </c>
      <c r="N97" s="1053">
        <v>85500</v>
      </c>
      <c r="O97" s="1862" t="s">
        <v>30</v>
      </c>
      <c r="P97" s="1023" t="s">
        <v>30</v>
      </c>
      <c r="Q97" s="1054">
        <v>0.9</v>
      </c>
      <c r="R97" s="1046">
        <v>4510868028</v>
      </c>
      <c r="S97" s="1047">
        <v>45798</v>
      </c>
      <c r="T97" s="1053">
        <v>85500</v>
      </c>
      <c r="U97" s="1554" t="s">
        <v>30</v>
      </c>
      <c r="V97" s="1025">
        <f>Table62689345[[#This Row],[PO Value]]-Table62689345[[#This Row],[Offer Value]]</f>
        <v>0</v>
      </c>
      <c r="W97" s="1023" t="s">
        <v>398</v>
      </c>
      <c r="X97" s="1055"/>
      <c r="Y97" s="1051"/>
      <c r="Z97" s="1028"/>
      <c r="AA97" s="1029"/>
    </row>
    <row r="98" spans="1:27" s="1319" customFormat="1" ht="15.6">
      <c r="A98" s="1020">
        <v>92</v>
      </c>
      <c r="B98" s="1021">
        <v>45803</v>
      </c>
      <c r="C98" s="1040" t="s">
        <v>402</v>
      </c>
      <c r="D98" s="1035" t="s">
        <v>133</v>
      </c>
      <c r="E98" s="1035" t="s">
        <v>191</v>
      </c>
      <c r="F98" s="1035" t="s">
        <v>403</v>
      </c>
      <c r="G98" s="1035">
        <v>9967967472</v>
      </c>
      <c r="H98" s="1036" t="s">
        <v>404</v>
      </c>
      <c r="I98" s="1022" t="s">
        <v>405</v>
      </c>
      <c r="J98" s="1860" t="s">
        <v>75</v>
      </c>
      <c r="K98" s="1022" t="s">
        <v>157</v>
      </c>
      <c r="L98" s="1034" t="s">
        <v>406</v>
      </c>
      <c r="M98" s="1052">
        <v>45771</v>
      </c>
      <c r="N98" s="1053">
        <v>256276</v>
      </c>
      <c r="O98" s="1862" t="s">
        <v>28</v>
      </c>
      <c r="P98" s="1023" t="s">
        <v>30</v>
      </c>
      <c r="Q98" s="1054">
        <v>0.8</v>
      </c>
      <c r="R98" s="1046" t="s">
        <v>407</v>
      </c>
      <c r="S98" s="1047">
        <v>45799</v>
      </c>
      <c r="T98" s="1053">
        <v>256276</v>
      </c>
      <c r="U98" s="1554" t="s">
        <v>30</v>
      </c>
      <c r="V98" s="1025">
        <f>Table62689345[[#This Row],[PO Value]]-Table62689345[[#This Row],[Offer Value]]</f>
        <v>0</v>
      </c>
      <c r="W98" s="1023"/>
      <c r="X98" s="1055"/>
      <c r="Y98" s="1051"/>
      <c r="Z98" s="1028"/>
      <c r="AA98" s="1029"/>
    </row>
    <row r="99" spans="1:27" s="246" customFormat="1" ht="21" customHeight="1">
      <c r="A99" s="1379">
        <v>93</v>
      </c>
      <c r="B99" s="1021">
        <v>45819</v>
      </c>
      <c r="C99" s="1040" t="s">
        <v>173</v>
      </c>
      <c r="D99" s="1035" t="s">
        <v>133</v>
      </c>
      <c r="E99" s="1035" t="s">
        <v>345</v>
      </c>
      <c r="F99" s="1035" t="s">
        <v>346</v>
      </c>
      <c r="G99" s="1035">
        <v>9503050525</v>
      </c>
      <c r="H99" s="1036" t="s">
        <v>347</v>
      </c>
      <c r="I99" s="1022" t="s">
        <v>348</v>
      </c>
      <c r="J99" s="1860" t="s">
        <v>73</v>
      </c>
      <c r="K99" s="1022" t="s">
        <v>138</v>
      </c>
      <c r="L99" s="1034" t="s">
        <v>408</v>
      </c>
      <c r="M99" s="1052">
        <v>45782</v>
      </c>
      <c r="N99" s="1053">
        <v>60000</v>
      </c>
      <c r="O99" s="1862" t="s">
        <v>30</v>
      </c>
      <c r="P99" s="1023" t="s">
        <v>34</v>
      </c>
      <c r="Q99" s="1054">
        <v>0.5</v>
      </c>
      <c r="R99" s="1877">
        <v>3110015090</v>
      </c>
      <c r="S99" s="1047">
        <v>45792</v>
      </c>
      <c r="T99" s="1023">
        <v>60000</v>
      </c>
      <c r="U99" s="1554" t="s">
        <v>34</v>
      </c>
      <c r="V99" s="1025">
        <f>Table62689345[[#This Row],[PO Value]]-Table62689345[[#This Row],[Offer Value]]</f>
        <v>0</v>
      </c>
      <c r="W99" s="1023"/>
      <c r="X99" s="1055"/>
      <c r="Y99" s="1051"/>
      <c r="Z99" s="1028"/>
      <c r="AA99" s="1029"/>
    </row>
    <row r="100" spans="1:27" s="246" customFormat="1" ht="15.6">
      <c r="A100" s="1020">
        <v>94</v>
      </c>
      <c r="B100" s="1021"/>
      <c r="C100" s="1040" t="s">
        <v>173</v>
      </c>
      <c r="D100" s="1035" t="s">
        <v>133</v>
      </c>
      <c r="E100" s="1035" t="s">
        <v>345</v>
      </c>
      <c r="F100" s="1035" t="s">
        <v>346</v>
      </c>
      <c r="G100" s="1035">
        <v>9503050526</v>
      </c>
      <c r="H100" s="1036" t="s">
        <v>347</v>
      </c>
      <c r="I100" s="1022" t="s">
        <v>409</v>
      </c>
      <c r="J100" s="1860" t="s">
        <v>73</v>
      </c>
      <c r="K100" s="1022" t="s">
        <v>138</v>
      </c>
      <c r="L100" s="1034" t="s">
        <v>408</v>
      </c>
      <c r="M100" s="1052">
        <v>45782</v>
      </c>
      <c r="N100" s="1053">
        <v>60000</v>
      </c>
      <c r="O100" s="1862" t="s">
        <v>30</v>
      </c>
      <c r="P100" s="1023" t="s">
        <v>34</v>
      </c>
      <c r="Q100" s="1054">
        <v>0.5</v>
      </c>
      <c r="R100" s="1877">
        <v>3110015090</v>
      </c>
      <c r="S100" s="1047">
        <v>45792</v>
      </c>
      <c r="T100" s="1023">
        <v>60000</v>
      </c>
      <c r="U100" s="1554" t="s">
        <v>34</v>
      </c>
      <c r="V100" s="1025">
        <f>Table62689345[[#This Row],[PO Value]]-Table62689345[[#This Row],[Offer Value]]</f>
        <v>0</v>
      </c>
      <c r="W100" s="1023"/>
      <c r="X100" s="1055"/>
      <c r="Y100" s="1051"/>
      <c r="Z100" s="1028"/>
      <c r="AA100" s="1029"/>
    </row>
    <row r="101" spans="1:27" s="246" customFormat="1" ht="15.6">
      <c r="A101" s="1379">
        <v>95</v>
      </c>
      <c r="B101" s="1021"/>
      <c r="C101" s="1040" t="s">
        <v>173</v>
      </c>
      <c r="D101" s="1035" t="s">
        <v>133</v>
      </c>
      <c r="E101" s="1035" t="s">
        <v>345</v>
      </c>
      <c r="F101" s="1035" t="s">
        <v>346</v>
      </c>
      <c r="G101" s="1035">
        <v>9503050527</v>
      </c>
      <c r="H101" s="1036" t="s">
        <v>347</v>
      </c>
      <c r="I101" s="1022" t="s">
        <v>410</v>
      </c>
      <c r="J101" s="1860" t="s">
        <v>73</v>
      </c>
      <c r="K101" s="1022" t="s">
        <v>138</v>
      </c>
      <c r="L101" s="1034" t="s">
        <v>408</v>
      </c>
      <c r="M101" s="1052">
        <v>45782</v>
      </c>
      <c r="N101" s="1053">
        <v>60000</v>
      </c>
      <c r="O101" s="1862" t="s">
        <v>30</v>
      </c>
      <c r="P101" s="1023" t="s">
        <v>34</v>
      </c>
      <c r="Q101" s="1054">
        <v>0.5</v>
      </c>
      <c r="R101" s="1877">
        <v>3110015090</v>
      </c>
      <c r="S101" s="1047">
        <v>45792</v>
      </c>
      <c r="T101" s="1023">
        <v>60000</v>
      </c>
      <c r="U101" s="1554" t="s">
        <v>34</v>
      </c>
      <c r="V101" s="1025">
        <f>Table62689345[[#This Row],[PO Value]]-Table62689345[[#This Row],[Offer Value]]</f>
        <v>0</v>
      </c>
      <c r="W101" s="1023"/>
      <c r="X101" s="1055"/>
      <c r="Y101" s="1051"/>
      <c r="Z101" s="1028"/>
      <c r="AA101" s="1029"/>
    </row>
    <row r="102" spans="1:27" s="246" customFormat="1" ht="15.6">
      <c r="A102" s="1020">
        <v>96</v>
      </c>
      <c r="B102" s="1021"/>
      <c r="C102" s="1040" t="s">
        <v>173</v>
      </c>
      <c r="D102" s="1035" t="s">
        <v>133</v>
      </c>
      <c r="E102" s="1035" t="s">
        <v>345</v>
      </c>
      <c r="F102" s="1035" t="s">
        <v>346</v>
      </c>
      <c r="G102" s="1035">
        <v>9503050528</v>
      </c>
      <c r="H102" s="1036" t="s">
        <v>347</v>
      </c>
      <c r="I102" s="1022" t="s">
        <v>411</v>
      </c>
      <c r="J102" s="1860" t="s">
        <v>73</v>
      </c>
      <c r="K102" s="1022" t="s">
        <v>138</v>
      </c>
      <c r="L102" s="1034" t="s">
        <v>408</v>
      </c>
      <c r="M102" s="1052">
        <v>45782</v>
      </c>
      <c r="N102" s="1053">
        <v>60000</v>
      </c>
      <c r="O102" s="1862" t="s">
        <v>30</v>
      </c>
      <c r="P102" s="1023" t="s">
        <v>34</v>
      </c>
      <c r="Q102" s="1054">
        <v>0.5</v>
      </c>
      <c r="R102" s="1877">
        <v>3110015090</v>
      </c>
      <c r="S102" s="1047">
        <v>45792</v>
      </c>
      <c r="T102" s="1023">
        <v>60000</v>
      </c>
      <c r="U102" s="1554" t="s">
        <v>34</v>
      </c>
      <c r="V102" s="1025">
        <f>Table62689345[[#This Row],[PO Value]]-Table62689345[[#This Row],[Offer Value]]</f>
        <v>0</v>
      </c>
      <c r="W102" s="1023"/>
      <c r="X102" s="1055"/>
      <c r="Y102" s="1051"/>
      <c r="Z102" s="1028"/>
      <c r="AA102" s="1029"/>
    </row>
    <row r="103" spans="1:27" s="246" customFormat="1" ht="15.6">
      <c r="A103" s="1379">
        <v>97</v>
      </c>
      <c r="B103" s="1021"/>
      <c r="C103" s="1040" t="s">
        <v>173</v>
      </c>
      <c r="D103" s="1035" t="s">
        <v>133</v>
      </c>
      <c r="E103" s="1035" t="s">
        <v>345</v>
      </c>
      <c r="F103" s="1035" t="s">
        <v>346</v>
      </c>
      <c r="G103" s="1035">
        <v>9503050529</v>
      </c>
      <c r="H103" s="1036" t="s">
        <v>347</v>
      </c>
      <c r="I103" s="1022" t="s">
        <v>412</v>
      </c>
      <c r="J103" s="1860" t="s">
        <v>73</v>
      </c>
      <c r="K103" s="1022" t="s">
        <v>138</v>
      </c>
      <c r="L103" s="1034" t="s">
        <v>408</v>
      </c>
      <c r="M103" s="1052">
        <v>45782</v>
      </c>
      <c r="N103" s="1053">
        <v>60000</v>
      </c>
      <c r="O103" s="1862" t="s">
        <v>30</v>
      </c>
      <c r="P103" s="1023" t="s">
        <v>34</v>
      </c>
      <c r="Q103" s="1054">
        <v>0.5</v>
      </c>
      <c r="R103" s="1877">
        <v>3110015090</v>
      </c>
      <c r="S103" s="1047">
        <v>45792</v>
      </c>
      <c r="T103" s="1023">
        <v>60000</v>
      </c>
      <c r="U103" s="1554" t="s">
        <v>34</v>
      </c>
      <c r="V103" s="1025">
        <f>Table62689345[[#This Row],[PO Value]]-Table62689345[[#This Row],[Offer Value]]</f>
        <v>0</v>
      </c>
      <c r="W103" s="1023"/>
      <c r="X103" s="1055"/>
      <c r="Y103" s="1051"/>
      <c r="Z103" s="1028"/>
      <c r="AA103" s="1029"/>
    </row>
    <row r="104" spans="1:27" s="246" customFormat="1" ht="18.600000000000001" customHeight="1">
      <c r="A104" s="1020">
        <v>98</v>
      </c>
      <c r="B104" s="1021">
        <v>45819</v>
      </c>
      <c r="C104" s="1040" t="s">
        <v>173</v>
      </c>
      <c r="D104" s="1035" t="s">
        <v>133</v>
      </c>
      <c r="E104" s="1035" t="s">
        <v>413</v>
      </c>
      <c r="F104" s="1035" t="s">
        <v>175</v>
      </c>
      <c r="G104" s="1035" t="s">
        <v>414</v>
      </c>
      <c r="H104" s="1036" t="s">
        <v>176</v>
      </c>
      <c r="I104" s="1022" t="s">
        <v>415</v>
      </c>
      <c r="J104" s="1860" t="s">
        <v>73</v>
      </c>
      <c r="K104" s="1022" t="s">
        <v>138</v>
      </c>
      <c r="L104" s="1034" t="s">
        <v>416</v>
      </c>
      <c r="M104" s="1052">
        <v>45782</v>
      </c>
      <c r="N104" s="1053">
        <v>60000</v>
      </c>
      <c r="O104" s="1862" t="s">
        <v>30</v>
      </c>
      <c r="P104" s="1023" t="s">
        <v>34</v>
      </c>
      <c r="Q104" s="1054">
        <v>0.5</v>
      </c>
      <c r="R104" s="1877">
        <v>3110015090</v>
      </c>
      <c r="S104" s="1047">
        <v>45792</v>
      </c>
      <c r="T104" s="1023">
        <v>60000</v>
      </c>
      <c r="U104" s="1554" t="s">
        <v>34</v>
      </c>
      <c r="V104" s="1025">
        <f>Table62689345[[#This Row],[PO Value]]-Table62689345[[#This Row],[Offer Value]]</f>
        <v>0</v>
      </c>
      <c r="W104" s="1023"/>
      <c r="X104" s="1055"/>
      <c r="Y104" s="1051"/>
      <c r="Z104" s="1028"/>
      <c r="AA104" s="1029"/>
    </row>
    <row r="105" spans="1:27" s="246" customFormat="1" ht="15.6">
      <c r="A105" s="1379">
        <v>99</v>
      </c>
      <c r="B105" s="1021"/>
      <c r="C105" s="1040" t="s">
        <v>173</v>
      </c>
      <c r="D105" s="1035" t="s">
        <v>133</v>
      </c>
      <c r="E105" s="1035" t="s">
        <v>413</v>
      </c>
      <c r="F105" s="1035" t="s">
        <v>175</v>
      </c>
      <c r="G105" s="1035" t="s">
        <v>414</v>
      </c>
      <c r="H105" s="1036" t="s">
        <v>176</v>
      </c>
      <c r="I105" s="1022" t="s">
        <v>417</v>
      </c>
      <c r="J105" s="1860" t="s">
        <v>73</v>
      </c>
      <c r="K105" s="1022" t="s">
        <v>138</v>
      </c>
      <c r="L105" s="1034" t="s">
        <v>416</v>
      </c>
      <c r="M105" s="1052">
        <v>45782</v>
      </c>
      <c r="N105" s="1053">
        <v>60000</v>
      </c>
      <c r="O105" s="1862" t="s">
        <v>30</v>
      </c>
      <c r="P105" s="1023" t="s">
        <v>34</v>
      </c>
      <c r="Q105" s="1054">
        <v>0.5</v>
      </c>
      <c r="R105" s="1877">
        <v>3110015090</v>
      </c>
      <c r="S105" s="1047">
        <v>45792</v>
      </c>
      <c r="T105" s="1023">
        <v>60000</v>
      </c>
      <c r="U105" s="1554" t="s">
        <v>34</v>
      </c>
      <c r="V105" s="1025">
        <f>Table62689345[[#This Row],[PO Value]]-Table62689345[[#This Row],[Offer Value]]</f>
        <v>0</v>
      </c>
      <c r="W105" s="1023"/>
      <c r="X105" s="1055"/>
      <c r="Y105" s="1051"/>
      <c r="Z105" s="1028"/>
      <c r="AA105" s="1029"/>
    </row>
    <row r="106" spans="1:27" s="246" customFormat="1" ht="15.6">
      <c r="A106" s="1020">
        <v>100</v>
      </c>
      <c r="B106" s="1021"/>
      <c r="C106" s="1040" t="s">
        <v>173</v>
      </c>
      <c r="D106" s="1035" t="s">
        <v>133</v>
      </c>
      <c r="E106" s="1035" t="s">
        <v>413</v>
      </c>
      <c r="F106" s="1035" t="s">
        <v>175</v>
      </c>
      <c r="G106" s="1035" t="s">
        <v>414</v>
      </c>
      <c r="H106" s="1036" t="s">
        <v>176</v>
      </c>
      <c r="I106" s="1022" t="s">
        <v>418</v>
      </c>
      <c r="J106" s="1860" t="s">
        <v>73</v>
      </c>
      <c r="K106" s="1022" t="s">
        <v>138</v>
      </c>
      <c r="L106" s="1034" t="s">
        <v>416</v>
      </c>
      <c r="M106" s="1052">
        <v>45782</v>
      </c>
      <c r="N106" s="1053">
        <v>60000</v>
      </c>
      <c r="O106" s="1862" t="s">
        <v>30</v>
      </c>
      <c r="P106" s="1023" t="s">
        <v>34</v>
      </c>
      <c r="Q106" s="1054">
        <v>0.5</v>
      </c>
      <c r="R106" s="1877">
        <v>3110015090</v>
      </c>
      <c r="S106" s="1047">
        <v>45792</v>
      </c>
      <c r="T106" s="1023">
        <v>60000</v>
      </c>
      <c r="U106" s="1554" t="s">
        <v>34</v>
      </c>
      <c r="V106" s="1025">
        <f>Table62689345[[#This Row],[PO Value]]-Table62689345[[#This Row],[Offer Value]]</f>
        <v>0</v>
      </c>
      <c r="W106" s="1023"/>
      <c r="X106" s="1055"/>
      <c r="Y106" s="1051"/>
      <c r="Z106" s="1028"/>
      <c r="AA106" s="1029"/>
    </row>
    <row r="107" spans="1:27" s="246" customFormat="1" ht="15.6">
      <c r="A107" s="1379">
        <v>101</v>
      </c>
      <c r="B107" s="1021"/>
      <c r="C107" s="1040" t="s">
        <v>173</v>
      </c>
      <c r="D107" s="1035" t="s">
        <v>133</v>
      </c>
      <c r="E107" s="1035" t="s">
        <v>413</v>
      </c>
      <c r="F107" s="1035" t="s">
        <v>175</v>
      </c>
      <c r="G107" s="1035" t="s">
        <v>414</v>
      </c>
      <c r="H107" s="1036" t="s">
        <v>176</v>
      </c>
      <c r="I107" s="1022" t="s">
        <v>419</v>
      </c>
      <c r="J107" s="1860" t="s">
        <v>73</v>
      </c>
      <c r="K107" s="1022" t="s">
        <v>138</v>
      </c>
      <c r="L107" s="1034" t="s">
        <v>416</v>
      </c>
      <c r="M107" s="1052">
        <v>45782</v>
      </c>
      <c r="N107" s="1053">
        <v>60000</v>
      </c>
      <c r="O107" s="1862" t="s">
        <v>30</v>
      </c>
      <c r="P107" s="1023" t="s">
        <v>34</v>
      </c>
      <c r="Q107" s="1054">
        <v>0.5</v>
      </c>
      <c r="R107" s="1877">
        <v>3110015090</v>
      </c>
      <c r="S107" s="1047">
        <v>45792</v>
      </c>
      <c r="T107" s="1023">
        <v>60000</v>
      </c>
      <c r="U107" s="1554" t="s">
        <v>34</v>
      </c>
      <c r="V107" s="1025">
        <f>Table62689345[[#This Row],[PO Value]]-Table62689345[[#This Row],[Offer Value]]</f>
        <v>0</v>
      </c>
      <c r="W107" s="1023"/>
      <c r="X107" s="1055"/>
      <c r="Y107" s="1051"/>
      <c r="Z107" s="1028"/>
      <c r="AA107" s="1029"/>
    </row>
    <row r="108" spans="1:27" s="246" customFormat="1" ht="15.6">
      <c r="A108" s="1020">
        <v>102</v>
      </c>
      <c r="B108" s="1021"/>
      <c r="C108" s="1040" t="s">
        <v>173</v>
      </c>
      <c r="D108" s="1035" t="s">
        <v>133</v>
      </c>
      <c r="E108" s="1035" t="s">
        <v>413</v>
      </c>
      <c r="F108" s="1035" t="s">
        <v>175</v>
      </c>
      <c r="G108" s="1035" t="s">
        <v>414</v>
      </c>
      <c r="H108" s="1036" t="s">
        <v>176</v>
      </c>
      <c r="I108" s="1022" t="s">
        <v>420</v>
      </c>
      <c r="J108" s="1860" t="s">
        <v>73</v>
      </c>
      <c r="K108" s="1022" t="s">
        <v>138</v>
      </c>
      <c r="L108" s="1034" t="s">
        <v>416</v>
      </c>
      <c r="M108" s="1052">
        <v>45782</v>
      </c>
      <c r="N108" s="1053">
        <v>60000</v>
      </c>
      <c r="O108" s="1862" t="s">
        <v>30</v>
      </c>
      <c r="P108" s="1023" t="s">
        <v>34</v>
      </c>
      <c r="Q108" s="1054">
        <v>0.5</v>
      </c>
      <c r="R108" s="1877">
        <v>3110015090</v>
      </c>
      <c r="S108" s="1047">
        <v>45792</v>
      </c>
      <c r="T108" s="1023">
        <v>60000</v>
      </c>
      <c r="U108" s="1554" t="s">
        <v>34</v>
      </c>
      <c r="V108" s="1025">
        <f>Table62689345[[#This Row],[PO Value]]-Table62689345[[#This Row],[Offer Value]]</f>
        <v>0</v>
      </c>
      <c r="W108" s="1023"/>
      <c r="X108" s="1055"/>
      <c r="Y108" s="1051"/>
      <c r="Z108" s="1028"/>
      <c r="AA108" s="1029"/>
    </row>
    <row r="109" spans="1:27" s="1319" customFormat="1" ht="15.6">
      <c r="A109" s="1379">
        <v>103</v>
      </c>
      <c r="B109" s="1021">
        <v>45819</v>
      </c>
      <c r="C109" s="1040" t="s">
        <v>173</v>
      </c>
      <c r="D109" s="1035" t="s">
        <v>133</v>
      </c>
      <c r="E109" s="1035" t="s">
        <v>421</v>
      </c>
      <c r="F109" s="1035" t="s">
        <v>422</v>
      </c>
      <c r="G109" s="1035" t="s">
        <v>423</v>
      </c>
      <c r="H109" s="1036" t="s">
        <v>424</v>
      </c>
      <c r="I109" s="1022" t="s">
        <v>425</v>
      </c>
      <c r="J109" s="1860" t="s">
        <v>73</v>
      </c>
      <c r="K109" s="1022" t="s">
        <v>138</v>
      </c>
      <c r="L109" s="1034" t="s">
        <v>426</v>
      </c>
      <c r="M109" s="1052">
        <v>45782</v>
      </c>
      <c r="N109" s="1053">
        <v>76000</v>
      </c>
      <c r="O109" s="1862" t="s">
        <v>30</v>
      </c>
      <c r="P109" s="1023" t="s">
        <v>34</v>
      </c>
      <c r="Q109" s="1054">
        <v>0.6</v>
      </c>
      <c r="R109" s="1877">
        <v>3110015195</v>
      </c>
      <c r="S109" s="1047">
        <v>45807</v>
      </c>
      <c r="T109" s="1023">
        <v>76000</v>
      </c>
      <c r="U109" s="1554" t="s">
        <v>34</v>
      </c>
      <c r="V109" s="1025">
        <f>Table62689345[[#This Row],[PO Value]]-Table62689345[[#This Row],[Offer Value]]</f>
        <v>0</v>
      </c>
      <c r="W109" s="1023" t="s">
        <v>331</v>
      </c>
      <c r="X109" s="1055"/>
      <c r="Y109" s="1051"/>
      <c r="Z109" s="1028"/>
      <c r="AA109" s="1029"/>
    </row>
    <row r="110" spans="1:27" s="1319" customFormat="1" ht="15.6">
      <c r="A110" s="1020">
        <v>104</v>
      </c>
      <c r="B110" s="1021">
        <v>45819</v>
      </c>
      <c r="C110" s="1040" t="s">
        <v>427</v>
      </c>
      <c r="D110" s="1035" t="s">
        <v>133</v>
      </c>
      <c r="E110" s="1035" t="s">
        <v>428</v>
      </c>
      <c r="F110" s="1035" t="s">
        <v>429</v>
      </c>
      <c r="G110" s="1035">
        <v>9923010417</v>
      </c>
      <c r="H110" s="1036" t="s">
        <v>430</v>
      </c>
      <c r="I110" s="1022" t="s">
        <v>431</v>
      </c>
      <c r="J110" s="1860" t="s">
        <v>73</v>
      </c>
      <c r="K110" s="1022" t="s">
        <v>138</v>
      </c>
      <c r="L110" s="1034" t="s">
        <v>432</v>
      </c>
      <c r="M110" s="1052">
        <v>45756</v>
      </c>
      <c r="N110" s="1053">
        <v>124440</v>
      </c>
      <c r="O110" s="1862" t="s">
        <v>28</v>
      </c>
      <c r="P110" s="1023" t="s">
        <v>34</v>
      </c>
      <c r="Q110" s="1054">
        <v>0.6</v>
      </c>
      <c r="R110" s="1046">
        <v>307000194</v>
      </c>
      <c r="S110" s="1047">
        <v>45807</v>
      </c>
      <c r="T110" s="1053">
        <v>124440</v>
      </c>
      <c r="U110" s="1554" t="s">
        <v>34</v>
      </c>
      <c r="V110" s="1025">
        <f>Table62689345[[#This Row],[PO Value]]-Table62689345[[#This Row],[Offer Value]]</f>
        <v>0</v>
      </c>
      <c r="W110" s="1023"/>
      <c r="X110" s="1055"/>
      <c r="Y110" s="1051"/>
      <c r="Z110" s="1028"/>
      <c r="AA110" s="1029"/>
    </row>
    <row r="111" spans="1:27" s="246" customFormat="1" ht="15.6">
      <c r="A111" s="1379">
        <v>105</v>
      </c>
      <c r="B111" s="1021">
        <v>45841</v>
      </c>
      <c r="C111" s="1040" t="s">
        <v>378</v>
      </c>
      <c r="D111" s="1035" t="s">
        <v>133</v>
      </c>
      <c r="E111" s="1035" t="s">
        <v>433</v>
      </c>
      <c r="F111" s="1035" t="s">
        <v>434</v>
      </c>
      <c r="G111" s="1878" t="s">
        <v>435</v>
      </c>
      <c r="H111" s="1142" t="s">
        <v>436</v>
      </c>
      <c r="I111" s="1022" t="s">
        <v>437</v>
      </c>
      <c r="J111" s="1860" t="s">
        <v>73</v>
      </c>
      <c r="K111" s="1022" t="s">
        <v>157</v>
      </c>
      <c r="L111" s="1034" t="s">
        <v>438</v>
      </c>
      <c r="M111" s="1052">
        <v>45826</v>
      </c>
      <c r="N111" s="1053">
        <v>90500</v>
      </c>
      <c r="O111" s="1862" t="s">
        <v>34</v>
      </c>
      <c r="P111" s="1023" t="s">
        <v>37</v>
      </c>
      <c r="Q111" s="1054">
        <v>0.8</v>
      </c>
      <c r="R111" s="1046" t="s">
        <v>439</v>
      </c>
      <c r="S111" s="1047">
        <v>45841</v>
      </c>
      <c r="T111" s="1023">
        <v>85000</v>
      </c>
      <c r="U111" s="1866" t="s">
        <v>37</v>
      </c>
      <c r="V111" s="1025">
        <f>Table62689345[[#This Row],[PO Value]]-Table62689345[[#This Row],[Offer Value]]</f>
        <v>-5500</v>
      </c>
      <c r="W111" s="1023" t="s">
        <v>440</v>
      </c>
      <c r="X111" s="1055"/>
      <c r="Y111" s="1051"/>
      <c r="Z111" s="1028"/>
      <c r="AA111" s="1029"/>
    </row>
    <row r="112" spans="1:27" s="246" customFormat="1" ht="15" customHeight="1">
      <c r="A112" s="1020">
        <v>106</v>
      </c>
      <c r="B112" s="1021"/>
      <c r="C112" s="1040" t="s">
        <v>378</v>
      </c>
      <c r="D112" s="1035" t="s">
        <v>133</v>
      </c>
      <c r="E112" s="1035" t="s">
        <v>433</v>
      </c>
      <c r="F112" s="1035" t="s">
        <v>434</v>
      </c>
      <c r="G112" s="1878" t="s">
        <v>435</v>
      </c>
      <c r="H112" s="1142" t="s">
        <v>436</v>
      </c>
      <c r="I112" s="1022" t="s">
        <v>441</v>
      </c>
      <c r="J112" s="1860" t="s">
        <v>73</v>
      </c>
      <c r="K112" s="1022" t="s">
        <v>157</v>
      </c>
      <c r="L112" s="1034" t="s">
        <v>438</v>
      </c>
      <c r="M112" s="1052">
        <v>45826</v>
      </c>
      <c r="N112" s="1053">
        <v>90500</v>
      </c>
      <c r="O112" s="1862" t="s">
        <v>34</v>
      </c>
      <c r="P112" s="1023" t="s">
        <v>37</v>
      </c>
      <c r="Q112" s="1054">
        <v>0.8</v>
      </c>
      <c r="R112" s="1046" t="s">
        <v>439</v>
      </c>
      <c r="S112" s="1047">
        <v>45841</v>
      </c>
      <c r="T112" s="1023">
        <v>85000</v>
      </c>
      <c r="U112" s="1866" t="s">
        <v>37</v>
      </c>
      <c r="V112" s="1025">
        <f>Table62689345[[#This Row],[PO Value]]-Table62689345[[#This Row],[Offer Value]]</f>
        <v>-5500</v>
      </c>
      <c r="W112" s="1023" t="s">
        <v>440</v>
      </c>
      <c r="X112" s="1055"/>
      <c r="Y112" s="1051"/>
      <c r="Z112" s="1028"/>
      <c r="AA112" s="1029"/>
    </row>
    <row r="113" spans="1:27" s="246" customFormat="1" ht="15.6">
      <c r="A113" s="1379">
        <v>107</v>
      </c>
      <c r="B113" s="1021"/>
      <c r="C113" s="1040" t="s">
        <v>378</v>
      </c>
      <c r="D113" s="1035" t="s">
        <v>133</v>
      </c>
      <c r="E113" s="1035" t="s">
        <v>433</v>
      </c>
      <c r="F113" s="1035" t="s">
        <v>434</v>
      </c>
      <c r="G113" s="1878" t="s">
        <v>435</v>
      </c>
      <c r="H113" s="1142" t="s">
        <v>436</v>
      </c>
      <c r="I113" s="1022" t="s">
        <v>442</v>
      </c>
      <c r="J113" s="1860" t="s">
        <v>73</v>
      </c>
      <c r="K113" s="1022" t="s">
        <v>157</v>
      </c>
      <c r="L113" s="1034" t="s">
        <v>438</v>
      </c>
      <c r="M113" s="1052">
        <v>45826</v>
      </c>
      <c r="N113" s="1053">
        <v>90500</v>
      </c>
      <c r="O113" s="1862" t="s">
        <v>34</v>
      </c>
      <c r="P113" s="1023" t="s">
        <v>37</v>
      </c>
      <c r="Q113" s="1054">
        <v>0.8</v>
      </c>
      <c r="R113" s="1046" t="s">
        <v>439</v>
      </c>
      <c r="S113" s="1047">
        <v>45841</v>
      </c>
      <c r="T113" s="1023">
        <v>85000</v>
      </c>
      <c r="U113" s="1866" t="s">
        <v>37</v>
      </c>
      <c r="V113" s="1025">
        <f>Table62689345[[#This Row],[PO Value]]-Table62689345[[#This Row],[Offer Value]]</f>
        <v>-5500</v>
      </c>
      <c r="W113" s="1023" t="s">
        <v>440</v>
      </c>
      <c r="X113" s="1055"/>
      <c r="Y113" s="1051"/>
      <c r="Z113" s="1028"/>
      <c r="AA113" s="1029"/>
    </row>
    <row r="114" spans="1:27" s="246" customFormat="1" ht="15.6">
      <c r="A114" s="1020">
        <v>108</v>
      </c>
      <c r="B114" s="1021"/>
      <c r="C114" s="1040" t="s">
        <v>378</v>
      </c>
      <c r="D114" s="1035" t="s">
        <v>133</v>
      </c>
      <c r="E114" s="1035" t="s">
        <v>433</v>
      </c>
      <c r="F114" s="1035" t="s">
        <v>434</v>
      </c>
      <c r="G114" s="1878" t="s">
        <v>435</v>
      </c>
      <c r="H114" s="1142" t="s">
        <v>436</v>
      </c>
      <c r="I114" s="1022" t="s">
        <v>443</v>
      </c>
      <c r="J114" s="1860" t="s">
        <v>73</v>
      </c>
      <c r="K114" s="1022" t="s">
        <v>157</v>
      </c>
      <c r="L114" s="1034" t="s">
        <v>438</v>
      </c>
      <c r="M114" s="1052">
        <v>45826</v>
      </c>
      <c r="N114" s="1053">
        <v>90500</v>
      </c>
      <c r="O114" s="1862" t="s">
        <v>34</v>
      </c>
      <c r="P114" s="1023" t="s">
        <v>37</v>
      </c>
      <c r="Q114" s="1054">
        <v>0.8</v>
      </c>
      <c r="R114" s="1046" t="s">
        <v>439</v>
      </c>
      <c r="S114" s="1047">
        <v>45841</v>
      </c>
      <c r="T114" s="1023">
        <v>85000</v>
      </c>
      <c r="U114" s="1866" t="s">
        <v>37</v>
      </c>
      <c r="V114" s="1025">
        <f>Table62689345[[#This Row],[PO Value]]-Table62689345[[#This Row],[Offer Value]]</f>
        <v>-5500</v>
      </c>
      <c r="W114" s="1023" t="s">
        <v>440</v>
      </c>
      <c r="X114" s="1055"/>
      <c r="Y114" s="1051"/>
      <c r="Z114" s="1028"/>
      <c r="AA114" s="1029"/>
    </row>
    <row r="115" spans="1:27" s="246" customFormat="1" ht="15.6">
      <c r="A115" s="1379">
        <v>109</v>
      </c>
      <c r="B115" s="1021">
        <v>45840</v>
      </c>
      <c r="C115" s="1040" t="s">
        <v>444</v>
      </c>
      <c r="D115" s="1035" t="s">
        <v>133</v>
      </c>
      <c r="E115" s="1035" t="s">
        <v>445</v>
      </c>
      <c r="F115" s="1035" t="s">
        <v>446</v>
      </c>
      <c r="G115" s="1035">
        <v>7045525011</v>
      </c>
      <c r="H115" s="1036" t="s">
        <v>447</v>
      </c>
      <c r="I115" s="1022" t="s">
        <v>448</v>
      </c>
      <c r="J115" s="1860" t="s">
        <v>77</v>
      </c>
      <c r="K115" s="1022" t="s">
        <v>138</v>
      </c>
      <c r="L115" s="1034" t="s">
        <v>449</v>
      </c>
      <c r="M115" s="1052">
        <v>45682</v>
      </c>
      <c r="N115" s="1053">
        <v>365000</v>
      </c>
      <c r="O115" s="1862" t="s">
        <v>7</v>
      </c>
      <c r="P115" s="1023" t="s">
        <v>7</v>
      </c>
      <c r="Q115" s="1054">
        <v>1</v>
      </c>
      <c r="R115" s="1046">
        <v>1255370</v>
      </c>
      <c r="S115" s="1047">
        <v>45650</v>
      </c>
      <c r="T115" s="1042">
        <v>365000</v>
      </c>
      <c r="U115" s="1023" t="s">
        <v>18</v>
      </c>
      <c r="V115" s="1025">
        <f>Table62689345[[#This Row],[PO Value]]-Table62689345[[#This Row],[Offer Value]]</f>
        <v>0</v>
      </c>
      <c r="W115" s="1023" t="s">
        <v>450</v>
      </c>
      <c r="X115" s="1055"/>
      <c r="Y115" s="1051"/>
      <c r="Z115" s="1028"/>
      <c r="AA115" s="472"/>
    </row>
    <row r="116" spans="1:27" s="246" customFormat="1" ht="15.6">
      <c r="A116" s="1020">
        <v>110</v>
      </c>
      <c r="B116" s="1021"/>
      <c r="C116" s="1040" t="s">
        <v>444</v>
      </c>
      <c r="D116" s="1035" t="s">
        <v>133</v>
      </c>
      <c r="E116" s="1035" t="s">
        <v>445</v>
      </c>
      <c r="F116" s="1035" t="s">
        <v>446</v>
      </c>
      <c r="G116" s="1035">
        <v>7045525011</v>
      </c>
      <c r="H116" s="1036" t="s">
        <v>447</v>
      </c>
      <c r="I116" s="1022" t="s">
        <v>451</v>
      </c>
      <c r="J116" s="1860" t="s">
        <v>77</v>
      </c>
      <c r="K116" s="1022" t="s">
        <v>138</v>
      </c>
      <c r="L116" s="1034" t="s">
        <v>449</v>
      </c>
      <c r="M116" s="1052">
        <v>45682</v>
      </c>
      <c r="N116" s="1053">
        <v>365000</v>
      </c>
      <c r="O116" s="1862" t="s">
        <v>7</v>
      </c>
      <c r="P116" s="1023" t="s">
        <v>7</v>
      </c>
      <c r="Q116" s="1054">
        <v>1</v>
      </c>
      <c r="R116" s="1046">
        <v>1255370</v>
      </c>
      <c r="S116" s="1047">
        <v>45650</v>
      </c>
      <c r="T116" s="1042">
        <v>365000</v>
      </c>
      <c r="U116" s="1023" t="s">
        <v>18</v>
      </c>
      <c r="V116" s="1025">
        <f>Table62689345[[#This Row],[PO Value]]-Table62689345[[#This Row],[Offer Value]]</f>
        <v>0</v>
      </c>
      <c r="W116" s="1023" t="s">
        <v>450</v>
      </c>
      <c r="X116" s="1055"/>
      <c r="Y116" s="1051"/>
      <c r="Z116" s="1028"/>
      <c r="AA116" s="472"/>
    </row>
    <row r="117" spans="1:27" s="246" customFormat="1" ht="15.6">
      <c r="A117" s="1379">
        <v>111</v>
      </c>
      <c r="B117" s="1021"/>
      <c r="C117" s="1040" t="s">
        <v>444</v>
      </c>
      <c r="D117" s="1035" t="s">
        <v>133</v>
      </c>
      <c r="E117" s="1035" t="s">
        <v>445</v>
      </c>
      <c r="F117" s="1035" t="s">
        <v>446</v>
      </c>
      <c r="G117" s="1035">
        <v>7045525011</v>
      </c>
      <c r="H117" s="1036" t="s">
        <v>447</v>
      </c>
      <c r="I117" s="1022" t="s">
        <v>452</v>
      </c>
      <c r="J117" s="1860" t="s">
        <v>77</v>
      </c>
      <c r="K117" s="1022" t="s">
        <v>138</v>
      </c>
      <c r="L117" s="1034" t="s">
        <v>449</v>
      </c>
      <c r="M117" s="1052">
        <v>45682</v>
      </c>
      <c r="N117" s="1053">
        <v>365000</v>
      </c>
      <c r="O117" s="1862" t="s">
        <v>7</v>
      </c>
      <c r="P117" s="1023" t="s">
        <v>7</v>
      </c>
      <c r="Q117" s="1054">
        <v>1</v>
      </c>
      <c r="R117" s="1046">
        <v>1255370</v>
      </c>
      <c r="S117" s="1047">
        <v>45650</v>
      </c>
      <c r="T117" s="1042">
        <v>365000</v>
      </c>
      <c r="U117" s="1023" t="s">
        <v>18</v>
      </c>
      <c r="V117" s="1025">
        <f>Table62689345[[#This Row],[PO Value]]-Table62689345[[#This Row],[Offer Value]]</f>
        <v>0</v>
      </c>
      <c r="W117" s="1023" t="s">
        <v>450</v>
      </c>
      <c r="X117" s="1055"/>
      <c r="Y117" s="1051"/>
      <c r="Z117" s="1028"/>
      <c r="AA117" s="472"/>
    </row>
    <row r="118" spans="1:27" s="246" customFormat="1" ht="15.6">
      <c r="A118" s="1020">
        <v>112</v>
      </c>
      <c r="B118" s="1021">
        <v>45841</v>
      </c>
      <c r="C118" s="1040" t="s">
        <v>152</v>
      </c>
      <c r="D118" s="1035" t="s">
        <v>133</v>
      </c>
      <c r="E118" s="1035" t="s">
        <v>153</v>
      </c>
      <c r="F118" s="1035" t="s">
        <v>154</v>
      </c>
      <c r="G118" s="1035">
        <v>7507568788</v>
      </c>
      <c r="H118" s="1036" t="s">
        <v>155</v>
      </c>
      <c r="I118" s="1022" t="s">
        <v>156</v>
      </c>
      <c r="J118" s="1860" t="s">
        <v>77</v>
      </c>
      <c r="K118" s="1022" t="s">
        <v>138</v>
      </c>
      <c r="L118" s="1034" t="s">
        <v>453</v>
      </c>
      <c r="M118" s="1052">
        <v>45805</v>
      </c>
      <c r="N118" s="1053">
        <v>418000</v>
      </c>
      <c r="O118" s="1023" t="s">
        <v>30</v>
      </c>
      <c r="P118" s="1023" t="s">
        <v>37</v>
      </c>
      <c r="Q118" s="1054">
        <v>0.7</v>
      </c>
      <c r="R118" s="1046" t="s">
        <v>454</v>
      </c>
      <c r="S118" s="1047">
        <v>45839</v>
      </c>
      <c r="T118" s="1023">
        <v>402000</v>
      </c>
      <c r="U118" s="1866" t="s">
        <v>37</v>
      </c>
      <c r="V118" s="1982">
        <f>Table62689345[[#This Row],[PO Value]]-Table62689345[[#This Row],[Offer Value]]</f>
        <v>-16000</v>
      </c>
      <c r="W118" s="1023" t="s">
        <v>455</v>
      </c>
      <c r="X118" s="1055"/>
      <c r="Y118" s="1051"/>
      <c r="Z118" s="1028"/>
      <c r="AA118" s="472"/>
    </row>
    <row r="119" spans="1:27" s="1319" customFormat="1" ht="15.6">
      <c r="A119" s="1379">
        <v>113</v>
      </c>
      <c r="B119" s="1021">
        <v>45841</v>
      </c>
      <c r="C119" s="1040" t="s">
        <v>173</v>
      </c>
      <c r="D119" s="1035" t="s">
        <v>133</v>
      </c>
      <c r="E119" s="1035" t="s">
        <v>456</v>
      </c>
      <c r="F119" s="1035" t="s">
        <v>457</v>
      </c>
      <c r="G119" s="1035">
        <v>9860955055</v>
      </c>
      <c r="H119" s="1036" t="s">
        <v>458</v>
      </c>
      <c r="I119" s="1022" t="s">
        <v>459</v>
      </c>
      <c r="J119" s="1860" t="s">
        <v>77</v>
      </c>
      <c r="K119" s="1022" t="s">
        <v>138</v>
      </c>
      <c r="L119" s="1034" t="s">
        <v>460</v>
      </c>
      <c r="M119" s="1052">
        <v>45834</v>
      </c>
      <c r="N119" s="1053">
        <v>350000</v>
      </c>
      <c r="O119" s="1023" t="s">
        <v>34</v>
      </c>
      <c r="P119" s="1023" t="s">
        <v>39</v>
      </c>
      <c r="Q119" s="1054">
        <v>0.5</v>
      </c>
      <c r="R119" s="1046">
        <v>3110015532</v>
      </c>
      <c r="S119" s="1047" t="s">
        <v>461</v>
      </c>
      <c r="T119" s="1023">
        <v>350000</v>
      </c>
      <c r="U119" s="1866" t="s">
        <v>44</v>
      </c>
      <c r="V119" s="1025">
        <f>Table62689345[[#This Row],[PO Value]]-Table62689345[[#This Row],[Offer Value]]</f>
        <v>0</v>
      </c>
      <c r="W119" s="1023"/>
      <c r="X119" s="1055"/>
      <c r="Y119" s="1051"/>
      <c r="Z119" s="1028"/>
      <c r="AA119" s="1029"/>
    </row>
    <row r="120" spans="1:27" s="1319" customFormat="1" ht="15.6">
      <c r="A120" s="1020">
        <v>114</v>
      </c>
      <c r="B120" s="1021">
        <v>45863</v>
      </c>
      <c r="C120" s="1040" t="s">
        <v>276</v>
      </c>
      <c r="D120" s="1035" t="s">
        <v>462</v>
      </c>
      <c r="E120" s="1035" t="s">
        <v>277</v>
      </c>
      <c r="F120" s="1035" t="s">
        <v>278</v>
      </c>
      <c r="G120" s="1035" t="s">
        <v>279</v>
      </c>
      <c r="H120" s="1036" t="s">
        <v>280</v>
      </c>
      <c r="I120" s="1022" t="s">
        <v>287</v>
      </c>
      <c r="J120" s="1022" t="s">
        <v>74</v>
      </c>
      <c r="K120" s="1022" t="s">
        <v>138</v>
      </c>
      <c r="L120" s="1034" t="s">
        <v>463</v>
      </c>
      <c r="M120" s="1052">
        <v>45856</v>
      </c>
      <c r="N120" s="1053">
        <v>216000</v>
      </c>
      <c r="O120" s="1023" t="s">
        <v>37</v>
      </c>
      <c r="P120" s="1023" t="s">
        <v>37</v>
      </c>
      <c r="Q120" s="1054">
        <v>1</v>
      </c>
      <c r="R120" s="1046">
        <v>7026016369</v>
      </c>
      <c r="S120" s="1047">
        <v>45861</v>
      </c>
      <c r="T120" s="1023">
        <v>207360</v>
      </c>
      <c r="U120" s="1023" t="s">
        <v>37</v>
      </c>
      <c r="V120" s="1025">
        <f>Table62689345[[#This Row],[PO Value]]-Table62689345[[#This Row],[Offer Value]]</f>
        <v>-8640</v>
      </c>
      <c r="W120" s="1023"/>
      <c r="X120" s="1055"/>
      <c r="Y120" s="1051"/>
      <c r="Z120" s="1028"/>
      <c r="AA120" s="1029"/>
    </row>
    <row r="121" spans="1:27" s="1319" customFormat="1" ht="15.6">
      <c r="A121" s="1379">
        <v>115</v>
      </c>
      <c r="B121" s="1021">
        <v>45863</v>
      </c>
      <c r="C121" s="1040" t="s">
        <v>142</v>
      </c>
      <c r="D121" s="1035" t="s">
        <v>133</v>
      </c>
      <c r="E121" s="1035" t="s">
        <v>143</v>
      </c>
      <c r="F121" s="1035" t="s">
        <v>144</v>
      </c>
      <c r="G121" s="1035" t="s">
        <v>150</v>
      </c>
      <c r="H121" s="1036" t="s">
        <v>146</v>
      </c>
      <c r="I121" s="1022" t="s">
        <v>151</v>
      </c>
      <c r="J121" s="1022" t="s">
        <v>74</v>
      </c>
      <c r="K121" s="1022" t="s">
        <v>138</v>
      </c>
      <c r="L121" s="1034" t="s">
        <v>464</v>
      </c>
      <c r="M121" s="1052">
        <v>45839</v>
      </c>
      <c r="N121" s="1053">
        <v>294032</v>
      </c>
      <c r="O121" s="1023" t="s">
        <v>37</v>
      </c>
      <c r="P121" s="1023" t="s">
        <v>37</v>
      </c>
      <c r="Q121" s="1054">
        <v>1</v>
      </c>
      <c r="R121" s="1046">
        <v>700645622</v>
      </c>
      <c r="S121" s="1047">
        <v>45846</v>
      </c>
      <c r="T121" s="1023">
        <v>294032</v>
      </c>
      <c r="U121" s="1023" t="s">
        <v>37</v>
      </c>
      <c r="V121" s="1025">
        <f>Table62689345[[#This Row],[PO Value]]-Table62689345[[#This Row],[Offer Value]]</f>
        <v>0</v>
      </c>
      <c r="W121" s="1023"/>
      <c r="X121" s="1055"/>
      <c r="Y121" s="1051"/>
      <c r="Z121" s="1028"/>
      <c r="AA121" s="1029"/>
    </row>
    <row r="122" spans="1:27" s="1319" customFormat="1" ht="15.6">
      <c r="A122" s="1020">
        <v>116</v>
      </c>
      <c r="B122" s="1021">
        <v>45867</v>
      </c>
      <c r="C122" s="1040" t="s">
        <v>465</v>
      </c>
      <c r="D122" s="1035" t="s">
        <v>133</v>
      </c>
      <c r="E122" s="1035" t="s">
        <v>428</v>
      </c>
      <c r="F122" s="1035" t="s">
        <v>466</v>
      </c>
      <c r="G122" s="1035">
        <v>9561745799</v>
      </c>
      <c r="H122" s="1036" t="s">
        <v>467</v>
      </c>
      <c r="I122" s="1022" t="s">
        <v>468</v>
      </c>
      <c r="J122" s="1022" t="s">
        <v>73</v>
      </c>
      <c r="K122" s="1022" t="s">
        <v>138</v>
      </c>
      <c r="L122" s="1034" t="s">
        <v>469</v>
      </c>
      <c r="M122" s="1052">
        <v>45782</v>
      </c>
      <c r="N122" s="1053">
        <v>74000</v>
      </c>
      <c r="O122" s="1023" t="s">
        <v>30</v>
      </c>
      <c r="P122" s="1023" t="s">
        <v>37</v>
      </c>
      <c r="Q122" s="1054">
        <v>1</v>
      </c>
      <c r="R122" s="1046">
        <v>4300495205</v>
      </c>
      <c r="S122" s="1047">
        <v>45848</v>
      </c>
      <c r="T122" s="1053">
        <v>74000</v>
      </c>
      <c r="U122" s="1023" t="s">
        <v>37</v>
      </c>
      <c r="V122" s="1025">
        <f>Table62689345[[#This Row],[PO Value]]-Table62689345[[#This Row],[Offer Value]]</f>
        <v>0</v>
      </c>
      <c r="W122" s="1023"/>
      <c r="X122" s="1055"/>
      <c r="Y122" s="1051"/>
      <c r="Z122" s="1028"/>
      <c r="AA122" s="1029"/>
    </row>
    <row r="123" spans="1:27" s="1319" customFormat="1" ht="15.6">
      <c r="A123" s="1379">
        <v>117</v>
      </c>
      <c r="B123" s="1021"/>
      <c r="C123" s="1040" t="s">
        <v>465</v>
      </c>
      <c r="D123" s="1035" t="s">
        <v>133</v>
      </c>
      <c r="E123" s="1035" t="s">
        <v>428</v>
      </c>
      <c r="F123" s="1035" t="s">
        <v>466</v>
      </c>
      <c r="G123" s="1035">
        <v>9561745799</v>
      </c>
      <c r="H123" s="1036" t="s">
        <v>467</v>
      </c>
      <c r="I123" s="1022" t="s">
        <v>470</v>
      </c>
      <c r="J123" s="1022" t="s">
        <v>73</v>
      </c>
      <c r="K123" s="1022" t="s">
        <v>138</v>
      </c>
      <c r="L123" s="1034" t="s">
        <v>469</v>
      </c>
      <c r="M123" s="1052">
        <v>45782</v>
      </c>
      <c r="N123" s="1053">
        <v>74000</v>
      </c>
      <c r="O123" s="1023" t="s">
        <v>30</v>
      </c>
      <c r="P123" s="1023" t="s">
        <v>37</v>
      </c>
      <c r="Q123" s="1054">
        <v>1</v>
      </c>
      <c r="R123" s="1046">
        <v>4300495205</v>
      </c>
      <c r="S123" s="1047">
        <v>45848</v>
      </c>
      <c r="T123" s="1053">
        <v>74000</v>
      </c>
      <c r="U123" s="1023" t="s">
        <v>37</v>
      </c>
      <c r="V123" s="1025">
        <f>Table62689345[[#This Row],[PO Value]]-Table62689345[[#This Row],[Offer Value]]</f>
        <v>0</v>
      </c>
      <c r="W123" s="1023"/>
      <c r="X123" s="1055"/>
      <c r="Y123" s="1051"/>
      <c r="Z123" s="1028"/>
      <c r="AA123" s="1029"/>
    </row>
    <row r="124" spans="1:27" s="1319" customFormat="1" ht="15.6">
      <c r="A124" s="1020">
        <v>118</v>
      </c>
      <c r="B124" s="1021"/>
      <c r="C124" s="1040" t="s">
        <v>465</v>
      </c>
      <c r="D124" s="1035" t="s">
        <v>133</v>
      </c>
      <c r="E124" s="1035" t="s">
        <v>428</v>
      </c>
      <c r="F124" s="1035" t="s">
        <v>466</v>
      </c>
      <c r="G124" s="1035">
        <v>9561745800</v>
      </c>
      <c r="H124" s="1036" t="s">
        <v>467</v>
      </c>
      <c r="I124" s="1022" t="s">
        <v>471</v>
      </c>
      <c r="J124" s="1022" t="s">
        <v>73</v>
      </c>
      <c r="K124" s="1022" t="s">
        <v>138</v>
      </c>
      <c r="L124" s="1034" t="s">
        <v>469</v>
      </c>
      <c r="M124" s="1052">
        <v>45782</v>
      </c>
      <c r="N124" s="1053">
        <v>74000</v>
      </c>
      <c r="O124" s="1023" t="s">
        <v>30</v>
      </c>
      <c r="P124" s="1023" t="s">
        <v>37</v>
      </c>
      <c r="Q124" s="1054">
        <v>1</v>
      </c>
      <c r="R124" s="1046">
        <v>4300495205</v>
      </c>
      <c r="S124" s="1047">
        <v>45848</v>
      </c>
      <c r="T124" s="1053">
        <v>74000</v>
      </c>
      <c r="U124" s="1023" t="s">
        <v>37</v>
      </c>
      <c r="V124" s="1025">
        <f>Table62689345[[#This Row],[Offer Value]]-Table62689345[[#This Row],[PO Value]]</f>
        <v>0</v>
      </c>
      <c r="W124" s="1023"/>
      <c r="X124" s="1055"/>
      <c r="Y124" s="1051"/>
      <c r="Z124" s="1028"/>
      <c r="AA124" s="1029"/>
    </row>
    <row r="125" spans="1:27" s="1319" customFormat="1" ht="15.6">
      <c r="A125" s="1379">
        <v>119</v>
      </c>
      <c r="B125" s="1021"/>
      <c r="C125" s="1040" t="s">
        <v>465</v>
      </c>
      <c r="D125" s="1035" t="s">
        <v>133</v>
      </c>
      <c r="E125" s="1035" t="s">
        <v>428</v>
      </c>
      <c r="F125" s="1035" t="s">
        <v>466</v>
      </c>
      <c r="G125" s="1035">
        <v>9561745799</v>
      </c>
      <c r="H125" s="1036" t="s">
        <v>467</v>
      </c>
      <c r="I125" s="1022" t="s">
        <v>472</v>
      </c>
      <c r="J125" s="1022" t="s">
        <v>73</v>
      </c>
      <c r="K125" s="1022" t="s">
        <v>157</v>
      </c>
      <c r="L125" s="1034" t="s">
        <v>469</v>
      </c>
      <c r="M125" s="1052">
        <v>45782</v>
      </c>
      <c r="N125" s="1053">
        <v>74000</v>
      </c>
      <c r="O125" s="1023" t="s">
        <v>30</v>
      </c>
      <c r="P125" s="1023" t="s">
        <v>37</v>
      </c>
      <c r="Q125" s="1054">
        <v>1</v>
      </c>
      <c r="R125" s="1046">
        <v>4300495205</v>
      </c>
      <c r="S125" s="1047">
        <v>45848</v>
      </c>
      <c r="T125" s="1053">
        <v>74000</v>
      </c>
      <c r="U125" s="1023" t="s">
        <v>37</v>
      </c>
      <c r="V125" s="1025">
        <f>Table62689345[[#This Row],[Offer Value]]-Table62689345[[#This Row],[PO Value]]</f>
        <v>0</v>
      </c>
      <c r="W125" s="1023"/>
      <c r="X125" s="1055"/>
      <c r="Y125" s="1051"/>
      <c r="Z125" s="1028"/>
      <c r="AA125" s="1029"/>
    </row>
    <row r="126" spans="1:27" s="1319" customFormat="1" ht="15.6">
      <c r="A126" s="1053">
        <v>120</v>
      </c>
      <c r="B126" s="1021">
        <v>45873</v>
      </c>
      <c r="C126" s="1040" t="s">
        <v>132</v>
      </c>
      <c r="D126" s="1035" t="s">
        <v>133</v>
      </c>
      <c r="E126" s="1035" t="s">
        <v>185</v>
      </c>
      <c r="F126" s="1035" t="s">
        <v>473</v>
      </c>
      <c r="G126" s="1964">
        <v>8237008408</v>
      </c>
      <c r="H126" s="1965" t="s">
        <v>474</v>
      </c>
      <c r="I126" s="1022" t="s">
        <v>265</v>
      </c>
      <c r="J126" s="1022" t="s">
        <v>81</v>
      </c>
      <c r="K126" s="1022" t="s">
        <v>157</v>
      </c>
      <c r="L126" s="1966" t="s">
        <v>475</v>
      </c>
      <c r="M126" s="1052">
        <v>45836</v>
      </c>
      <c r="N126" s="1053">
        <v>112959</v>
      </c>
      <c r="O126" s="1023" t="s">
        <v>34</v>
      </c>
      <c r="P126" s="1023" t="s">
        <v>39</v>
      </c>
      <c r="Q126" s="1054">
        <v>1</v>
      </c>
      <c r="R126" s="1046">
        <v>2410295264</v>
      </c>
      <c r="S126" s="1047">
        <v>45870</v>
      </c>
      <c r="T126" s="1053">
        <v>112959</v>
      </c>
      <c r="U126" s="1023" t="s">
        <v>39</v>
      </c>
      <c r="V126" s="1025">
        <f>Table62689345[[#This Row],[Offer Value]]-Table62689345[[#This Row],[PO Value]]</f>
        <v>0</v>
      </c>
      <c r="W126" s="1023"/>
      <c r="X126" s="1055"/>
      <c r="Y126" s="1051"/>
      <c r="Z126" s="1028"/>
      <c r="AA126" s="1029"/>
    </row>
    <row r="127" spans="1:27" s="1319" customFormat="1" ht="15.6">
      <c r="A127" s="1053">
        <v>121</v>
      </c>
      <c r="B127" s="1021">
        <v>45873</v>
      </c>
      <c r="C127" s="1040" t="s">
        <v>142</v>
      </c>
      <c r="D127" s="1035" t="s">
        <v>133</v>
      </c>
      <c r="E127" s="1035" t="s">
        <v>143</v>
      </c>
      <c r="F127" s="1035" t="s">
        <v>476</v>
      </c>
      <c r="G127" s="1035" t="s">
        <v>145</v>
      </c>
      <c r="H127" s="1036" t="s">
        <v>146</v>
      </c>
      <c r="I127" s="1022" t="s">
        <v>147</v>
      </c>
      <c r="J127" s="1022" t="s">
        <v>73</v>
      </c>
      <c r="K127" s="1022" t="s">
        <v>138</v>
      </c>
      <c r="L127" s="1034" t="s">
        <v>477</v>
      </c>
      <c r="M127" s="1052">
        <v>45867</v>
      </c>
      <c r="N127" s="1053">
        <v>96000</v>
      </c>
      <c r="O127" s="1023" t="s">
        <v>37</v>
      </c>
      <c r="P127" s="1023" t="s">
        <v>49</v>
      </c>
      <c r="Q127" s="1054">
        <v>1</v>
      </c>
      <c r="R127" s="1046">
        <v>700672062</v>
      </c>
      <c r="S127" s="1047">
        <v>45957</v>
      </c>
      <c r="T127" s="1023">
        <v>96000</v>
      </c>
      <c r="U127" s="1023" t="s">
        <v>47</v>
      </c>
      <c r="V127" s="1025">
        <f>Table62689345[[#This Row],[Offer Value]]-Table62689345[[#This Row],[PO Value]]</f>
        <v>0</v>
      </c>
      <c r="W127" s="1023"/>
      <c r="X127" s="1055"/>
      <c r="Y127" s="1051"/>
      <c r="Z127" s="1028"/>
      <c r="AA127" s="1029"/>
    </row>
    <row r="128" spans="1:27" s="1319" customFormat="1" ht="15.6">
      <c r="A128" s="1053">
        <v>122</v>
      </c>
      <c r="B128" s="1021"/>
      <c r="C128" s="1040" t="s">
        <v>142</v>
      </c>
      <c r="D128" s="1035" t="s">
        <v>133</v>
      </c>
      <c r="E128" s="1035" t="s">
        <v>143</v>
      </c>
      <c r="F128" s="1035" t="s">
        <v>476</v>
      </c>
      <c r="G128" s="1035" t="s">
        <v>145</v>
      </c>
      <c r="H128" s="1036" t="s">
        <v>146</v>
      </c>
      <c r="I128" s="1022" t="s">
        <v>149</v>
      </c>
      <c r="J128" s="1022" t="s">
        <v>73</v>
      </c>
      <c r="K128" s="1022" t="s">
        <v>138</v>
      </c>
      <c r="L128" s="1034" t="s">
        <v>477</v>
      </c>
      <c r="M128" s="1052">
        <v>45867</v>
      </c>
      <c r="N128" s="1053">
        <v>96000</v>
      </c>
      <c r="O128" s="1023" t="s">
        <v>37</v>
      </c>
      <c r="P128" s="1023" t="s">
        <v>49</v>
      </c>
      <c r="Q128" s="1054">
        <v>1</v>
      </c>
      <c r="R128" s="1046">
        <v>700672062</v>
      </c>
      <c r="S128" s="1047">
        <v>45957</v>
      </c>
      <c r="T128" s="1023">
        <v>96000</v>
      </c>
      <c r="U128" s="1023" t="s">
        <v>47</v>
      </c>
      <c r="V128" s="1025">
        <f>Table62689345[[#This Row],[Offer Value]]-Table62689345[[#This Row],[PO Value]]</f>
        <v>0</v>
      </c>
      <c r="W128" s="1023"/>
      <c r="X128" s="1055"/>
      <c r="Y128" s="1051"/>
      <c r="Z128" s="1028"/>
      <c r="AA128" s="1029"/>
    </row>
    <row r="129" spans="1:27" s="1319" customFormat="1" ht="15.6">
      <c r="A129" s="1053">
        <v>123</v>
      </c>
      <c r="B129" s="1021"/>
      <c r="C129" s="1040" t="s">
        <v>142</v>
      </c>
      <c r="D129" s="1035" t="s">
        <v>133</v>
      </c>
      <c r="E129" s="1035" t="s">
        <v>143</v>
      </c>
      <c r="F129" s="1035" t="s">
        <v>476</v>
      </c>
      <c r="G129" s="1035" t="s">
        <v>150</v>
      </c>
      <c r="H129" s="1036" t="s">
        <v>146</v>
      </c>
      <c r="I129" s="1022" t="s">
        <v>151</v>
      </c>
      <c r="J129" s="1022" t="s">
        <v>73</v>
      </c>
      <c r="K129" s="1022" t="s">
        <v>138</v>
      </c>
      <c r="L129" s="1034" t="s">
        <v>477</v>
      </c>
      <c r="M129" s="1052">
        <v>45867</v>
      </c>
      <c r="N129" s="1053">
        <v>96000</v>
      </c>
      <c r="O129" s="1023" t="s">
        <v>37</v>
      </c>
      <c r="P129" s="1023" t="s">
        <v>49</v>
      </c>
      <c r="Q129" s="1054">
        <v>1</v>
      </c>
      <c r="R129" s="1046">
        <v>700672062</v>
      </c>
      <c r="S129" s="1047" t="s">
        <v>478</v>
      </c>
      <c r="T129" s="1023">
        <v>96000</v>
      </c>
      <c r="U129" s="1023" t="s">
        <v>47</v>
      </c>
      <c r="V129" s="1025">
        <f>Table62689345[[#This Row],[Offer Value]]-Table62689345[[#This Row],[PO Value]]</f>
        <v>0</v>
      </c>
      <c r="W129" s="1023"/>
      <c r="X129" s="1055"/>
      <c r="Y129" s="1051"/>
      <c r="Z129" s="1028"/>
      <c r="AA129" s="1029"/>
    </row>
    <row r="130" spans="1:27" s="1319" customFormat="1" ht="15.6">
      <c r="A130" s="1053">
        <v>124</v>
      </c>
      <c r="B130" s="1021">
        <v>45873</v>
      </c>
      <c r="C130" s="1040" t="s">
        <v>479</v>
      </c>
      <c r="D130" s="1035" t="s">
        <v>462</v>
      </c>
      <c r="E130" s="1035" t="s">
        <v>191</v>
      </c>
      <c r="F130" s="1035" t="s">
        <v>480</v>
      </c>
      <c r="G130" s="1035" t="s">
        <v>481</v>
      </c>
      <c r="H130" s="1036" t="s">
        <v>482</v>
      </c>
      <c r="I130" s="1022" t="s">
        <v>483</v>
      </c>
      <c r="J130" s="1022" t="s">
        <v>73</v>
      </c>
      <c r="K130" s="1022" t="s">
        <v>138</v>
      </c>
      <c r="L130" s="1034" t="s">
        <v>484</v>
      </c>
      <c r="M130" s="1052" t="s">
        <v>485</v>
      </c>
      <c r="N130" s="1053">
        <v>59746</v>
      </c>
      <c r="O130" s="1023" t="s">
        <v>37</v>
      </c>
      <c r="P130" s="1023" t="s">
        <v>39</v>
      </c>
      <c r="Q130" s="1054">
        <v>1</v>
      </c>
      <c r="R130" s="1046">
        <v>3300005366</v>
      </c>
      <c r="S130" s="1047">
        <v>45881</v>
      </c>
      <c r="T130" s="1020">
        <v>59746</v>
      </c>
      <c r="U130" s="1023" t="s">
        <v>39</v>
      </c>
      <c r="V130" s="1025">
        <f>Table62689345[[#This Row],[Offer Value]]-Table62689345[[#This Row],[PO Value]]</f>
        <v>0</v>
      </c>
      <c r="W130" s="1023"/>
      <c r="X130" s="1055"/>
      <c r="Y130" s="1051"/>
      <c r="Z130" s="1028"/>
      <c r="AA130" s="1029"/>
    </row>
    <row r="131" spans="1:27" s="1319" customFormat="1" ht="15.6">
      <c r="A131" s="1053">
        <v>125</v>
      </c>
      <c r="B131" s="1021"/>
      <c r="C131" s="1040" t="s">
        <v>479</v>
      </c>
      <c r="D131" s="1035" t="s">
        <v>462</v>
      </c>
      <c r="E131" s="1035" t="s">
        <v>191</v>
      </c>
      <c r="F131" s="1035" t="s">
        <v>480</v>
      </c>
      <c r="G131" s="1035" t="s">
        <v>481</v>
      </c>
      <c r="H131" s="1036" t="s">
        <v>482</v>
      </c>
      <c r="I131" s="1022" t="s">
        <v>486</v>
      </c>
      <c r="J131" s="1022" t="s">
        <v>73</v>
      </c>
      <c r="K131" s="1022" t="s">
        <v>138</v>
      </c>
      <c r="L131" s="1034" t="s">
        <v>484</v>
      </c>
      <c r="M131" s="1052">
        <v>45867</v>
      </c>
      <c r="N131" s="1053">
        <v>59746</v>
      </c>
      <c r="O131" s="1023" t="s">
        <v>37</v>
      </c>
      <c r="P131" s="1023" t="s">
        <v>39</v>
      </c>
      <c r="Q131" s="1054">
        <v>1</v>
      </c>
      <c r="R131" s="1046">
        <v>3300005366</v>
      </c>
      <c r="S131" s="1047">
        <v>45881</v>
      </c>
      <c r="T131" s="1020">
        <v>59746</v>
      </c>
      <c r="U131" s="1023" t="s">
        <v>39</v>
      </c>
      <c r="V131" s="1025">
        <f>Table62689345[[#This Row],[Offer Value]]-Table62689345[[#This Row],[PO Value]]</f>
        <v>0</v>
      </c>
      <c r="W131" s="1023"/>
      <c r="X131" s="1055"/>
      <c r="Y131" s="1051"/>
      <c r="Z131" s="1028"/>
      <c r="AA131" s="1029"/>
    </row>
    <row r="132" spans="1:27" s="1319" customFormat="1" ht="15.6">
      <c r="A132" s="1053">
        <v>126</v>
      </c>
      <c r="B132" s="1021"/>
      <c r="C132" s="1040" t="s">
        <v>479</v>
      </c>
      <c r="D132" s="1035" t="s">
        <v>462</v>
      </c>
      <c r="E132" s="1035" t="s">
        <v>191</v>
      </c>
      <c r="F132" s="1035" t="s">
        <v>480</v>
      </c>
      <c r="G132" s="1035" t="s">
        <v>481</v>
      </c>
      <c r="H132" s="1036" t="s">
        <v>482</v>
      </c>
      <c r="I132" s="1022" t="s">
        <v>487</v>
      </c>
      <c r="J132" s="1022" t="s">
        <v>73</v>
      </c>
      <c r="K132" s="1022" t="s">
        <v>138</v>
      </c>
      <c r="L132" s="1034" t="s">
        <v>484</v>
      </c>
      <c r="M132" s="1052">
        <v>45867</v>
      </c>
      <c r="N132" s="1053">
        <v>59746</v>
      </c>
      <c r="O132" s="1023" t="s">
        <v>37</v>
      </c>
      <c r="P132" s="1023" t="s">
        <v>39</v>
      </c>
      <c r="Q132" s="1054">
        <v>1</v>
      </c>
      <c r="R132" s="1046">
        <v>3300005366</v>
      </c>
      <c r="S132" s="1047">
        <v>45881</v>
      </c>
      <c r="T132" s="1020">
        <v>59746</v>
      </c>
      <c r="U132" s="1023" t="s">
        <v>39</v>
      </c>
      <c r="V132" s="1025">
        <f>Table62689345[[#This Row],[Offer Value]]-Table62689345[[#This Row],[PO Value]]</f>
        <v>0</v>
      </c>
      <c r="W132" s="1023"/>
      <c r="X132" s="1055"/>
      <c r="Y132" s="1051"/>
      <c r="Z132" s="1028"/>
      <c r="AA132" s="1029"/>
    </row>
    <row r="133" spans="1:27" s="1319" customFormat="1" ht="15.6">
      <c r="A133" s="1053">
        <v>127</v>
      </c>
      <c r="B133" s="1021"/>
      <c r="C133" s="1040" t="s">
        <v>479</v>
      </c>
      <c r="D133" s="1035" t="s">
        <v>462</v>
      </c>
      <c r="E133" s="1035" t="s">
        <v>191</v>
      </c>
      <c r="F133" s="1035" t="s">
        <v>480</v>
      </c>
      <c r="G133" s="1035" t="s">
        <v>481</v>
      </c>
      <c r="H133" s="1036" t="s">
        <v>482</v>
      </c>
      <c r="I133" s="1022" t="s">
        <v>488</v>
      </c>
      <c r="J133" s="1022" t="s">
        <v>73</v>
      </c>
      <c r="K133" s="1022" t="s">
        <v>138</v>
      </c>
      <c r="L133" s="1034" t="s">
        <v>484</v>
      </c>
      <c r="M133" s="1052">
        <v>45867</v>
      </c>
      <c r="N133" s="1053">
        <v>59746</v>
      </c>
      <c r="O133" s="1023" t="s">
        <v>37</v>
      </c>
      <c r="P133" s="1023" t="s">
        <v>39</v>
      </c>
      <c r="Q133" s="1054">
        <v>1</v>
      </c>
      <c r="R133" s="1046">
        <v>3300005366</v>
      </c>
      <c r="S133" s="1047">
        <v>45881</v>
      </c>
      <c r="T133" s="1020">
        <v>59746</v>
      </c>
      <c r="U133" s="1023" t="s">
        <v>39</v>
      </c>
      <c r="V133" s="1025">
        <f>Table62689345[[#This Row],[Offer Value]]-Table62689345[[#This Row],[PO Value]]</f>
        <v>0</v>
      </c>
      <c r="W133" s="1023"/>
      <c r="X133" s="1055"/>
      <c r="Y133" s="1051"/>
      <c r="Z133" s="1028"/>
      <c r="AA133" s="1029"/>
    </row>
    <row r="134" spans="1:27" s="1319" customFormat="1" ht="15.6">
      <c r="A134" s="1053">
        <v>128</v>
      </c>
      <c r="B134" s="1021"/>
      <c r="C134" s="1040" t="s">
        <v>479</v>
      </c>
      <c r="D134" s="1035" t="s">
        <v>462</v>
      </c>
      <c r="E134" s="1035" t="s">
        <v>191</v>
      </c>
      <c r="F134" s="1035" t="s">
        <v>480</v>
      </c>
      <c r="G134" s="1035" t="s">
        <v>481</v>
      </c>
      <c r="H134" s="1036" t="s">
        <v>482</v>
      </c>
      <c r="I134" s="1022" t="s">
        <v>489</v>
      </c>
      <c r="J134" s="1022" t="s">
        <v>73</v>
      </c>
      <c r="K134" s="1022" t="s">
        <v>138</v>
      </c>
      <c r="L134" s="1034" t="s">
        <v>484</v>
      </c>
      <c r="M134" s="1052" t="s">
        <v>490</v>
      </c>
      <c r="N134" s="1053">
        <v>59746</v>
      </c>
      <c r="O134" s="1023" t="s">
        <v>37</v>
      </c>
      <c r="P134" s="1023" t="s">
        <v>39</v>
      </c>
      <c r="Q134" s="1054">
        <v>1</v>
      </c>
      <c r="R134" s="1046">
        <v>3300005366</v>
      </c>
      <c r="S134" s="1047">
        <v>45881</v>
      </c>
      <c r="T134" s="1020">
        <v>59746</v>
      </c>
      <c r="U134" s="1023" t="s">
        <v>39</v>
      </c>
      <c r="V134" s="1025">
        <f>Table62689345[[#This Row],[Offer Value]]-Table62689345[[#This Row],[PO Value]]</f>
        <v>0</v>
      </c>
      <c r="W134" s="1023"/>
      <c r="X134" s="1055"/>
      <c r="Y134" s="1051"/>
      <c r="Z134" s="1028"/>
      <c r="AA134" s="1029"/>
    </row>
    <row r="135" spans="1:27" s="1319" customFormat="1" ht="15.6">
      <c r="A135" s="1053">
        <v>129</v>
      </c>
      <c r="B135" s="1021"/>
      <c r="C135" s="1040" t="s">
        <v>479</v>
      </c>
      <c r="D135" s="1035" t="s">
        <v>462</v>
      </c>
      <c r="E135" s="1035" t="s">
        <v>191</v>
      </c>
      <c r="F135" s="1035" t="s">
        <v>480</v>
      </c>
      <c r="G135" s="1035" t="s">
        <v>481</v>
      </c>
      <c r="H135" s="1036" t="s">
        <v>482</v>
      </c>
      <c r="I135" s="1022" t="s">
        <v>491</v>
      </c>
      <c r="J135" s="1022" t="s">
        <v>73</v>
      </c>
      <c r="K135" s="1022" t="s">
        <v>138</v>
      </c>
      <c r="L135" s="1034" t="s">
        <v>484</v>
      </c>
      <c r="M135" s="1052">
        <v>45867</v>
      </c>
      <c r="N135" s="1053">
        <v>59746</v>
      </c>
      <c r="O135" s="1023" t="s">
        <v>37</v>
      </c>
      <c r="P135" s="1023" t="s">
        <v>39</v>
      </c>
      <c r="Q135" s="1054">
        <v>1</v>
      </c>
      <c r="R135" s="1046">
        <v>3300005366</v>
      </c>
      <c r="S135" s="1047">
        <v>45881</v>
      </c>
      <c r="T135" s="1020">
        <v>59746</v>
      </c>
      <c r="U135" s="1023" t="s">
        <v>39</v>
      </c>
      <c r="V135" s="1025">
        <f>Table62689345[[#This Row],[Offer Value]]-Table62689345[[#This Row],[PO Value]]</f>
        <v>0</v>
      </c>
      <c r="W135" s="1023"/>
      <c r="X135" s="1055"/>
      <c r="Y135" s="1051"/>
      <c r="Z135" s="1028"/>
      <c r="AA135" s="1029"/>
    </row>
    <row r="136" spans="1:27" s="1319" customFormat="1" ht="15.6">
      <c r="A136" s="1053">
        <v>130</v>
      </c>
      <c r="B136" s="1021"/>
      <c r="C136" s="1040" t="s">
        <v>479</v>
      </c>
      <c r="D136" s="1035" t="s">
        <v>462</v>
      </c>
      <c r="E136" s="1035" t="s">
        <v>191</v>
      </c>
      <c r="F136" s="1035" t="s">
        <v>480</v>
      </c>
      <c r="G136" s="1035" t="s">
        <v>481</v>
      </c>
      <c r="H136" s="1036" t="s">
        <v>482</v>
      </c>
      <c r="I136" s="1022" t="s">
        <v>492</v>
      </c>
      <c r="J136" s="1022" t="s">
        <v>73</v>
      </c>
      <c r="K136" s="1022" t="s">
        <v>138</v>
      </c>
      <c r="L136" s="1034" t="s">
        <v>484</v>
      </c>
      <c r="M136" s="1052">
        <v>45867</v>
      </c>
      <c r="N136" s="1053">
        <v>59746</v>
      </c>
      <c r="O136" s="1023" t="s">
        <v>37</v>
      </c>
      <c r="P136" s="1023" t="s">
        <v>39</v>
      </c>
      <c r="Q136" s="1054">
        <v>1</v>
      </c>
      <c r="R136" s="1046">
        <v>3300005366</v>
      </c>
      <c r="S136" s="1047">
        <v>45881</v>
      </c>
      <c r="T136" s="1020">
        <v>59746</v>
      </c>
      <c r="U136" s="1023" t="s">
        <v>39</v>
      </c>
      <c r="V136" s="1025">
        <f>Table62689345[[#This Row],[Offer Value]]-Table62689345[[#This Row],[PO Value]]</f>
        <v>0</v>
      </c>
      <c r="W136" s="1023"/>
      <c r="X136" s="1055"/>
      <c r="Y136" s="1051"/>
      <c r="Z136" s="1028"/>
      <c r="AA136" s="1029"/>
    </row>
    <row r="137" spans="1:27" s="1319" customFormat="1" ht="15.6">
      <c r="A137" s="1053">
        <v>131</v>
      </c>
      <c r="B137" s="1021">
        <v>45873</v>
      </c>
      <c r="C137" s="1040" t="s">
        <v>196</v>
      </c>
      <c r="D137" s="1035" t="s">
        <v>133</v>
      </c>
      <c r="E137" s="1035" t="s">
        <v>191</v>
      </c>
      <c r="F137" s="1035" t="s">
        <v>493</v>
      </c>
      <c r="G137" s="1035">
        <v>9403849891</v>
      </c>
      <c r="H137" s="1036" t="s">
        <v>198</v>
      </c>
      <c r="I137" s="1022" t="s">
        <v>199</v>
      </c>
      <c r="J137" s="1022" t="s">
        <v>81</v>
      </c>
      <c r="K137" s="1022" t="s">
        <v>157</v>
      </c>
      <c r="L137" s="1034" t="s">
        <v>494</v>
      </c>
      <c r="M137" s="1052">
        <v>45869</v>
      </c>
      <c r="N137" s="1053">
        <v>699300</v>
      </c>
      <c r="O137" s="1023" t="s">
        <v>37</v>
      </c>
      <c r="P137" s="1023" t="s">
        <v>39</v>
      </c>
      <c r="Q137" s="1054">
        <v>0.8</v>
      </c>
      <c r="R137" s="1046">
        <v>3791</v>
      </c>
      <c r="S137" s="1047">
        <v>45887</v>
      </c>
      <c r="T137" s="1023">
        <v>699300</v>
      </c>
      <c r="U137" s="1023" t="s">
        <v>39</v>
      </c>
      <c r="V137" s="1982">
        <f>Table62689345[[#This Row],[Offer Value]]-Table62689345[[#This Row],[PO Value]]</f>
        <v>0</v>
      </c>
      <c r="W137" s="1023"/>
      <c r="X137" s="1055"/>
      <c r="Y137" s="1051"/>
      <c r="Z137" s="1028" t="s">
        <v>157</v>
      </c>
      <c r="AA137" s="1029" t="s">
        <v>157</v>
      </c>
    </row>
    <row r="138" spans="1:27" s="1319" customFormat="1" ht="15.6">
      <c r="A138" s="1053">
        <v>132</v>
      </c>
      <c r="B138" s="1021">
        <v>45875</v>
      </c>
      <c r="C138" s="1040" t="s">
        <v>152</v>
      </c>
      <c r="D138" s="1035" t="s">
        <v>133</v>
      </c>
      <c r="E138" s="1035" t="s">
        <v>153</v>
      </c>
      <c r="F138" s="1035" t="s">
        <v>154</v>
      </c>
      <c r="G138" s="1035">
        <v>7507568788</v>
      </c>
      <c r="H138" s="1036" t="s">
        <v>155</v>
      </c>
      <c r="I138" s="1022" t="s">
        <v>156</v>
      </c>
      <c r="J138" s="1022" t="s">
        <v>75</v>
      </c>
      <c r="K138" s="1022" t="s">
        <v>157</v>
      </c>
      <c r="L138" s="1034" t="s">
        <v>495</v>
      </c>
      <c r="M138" s="1052">
        <v>45741</v>
      </c>
      <c r="N138" s="1053">
        <v>458451</v>
      </c>
      <c r="O138" s="1023" t="s">
        <v>25</v>
      </c>
      <c r="P138" s="1023" t="s">
        <v>39</v>
      </c>
      <c r="Q138" s="1054">
        <v>0.7</v>
      </c>
      <c r="R138" s="1046">
        <v>39860580</v>
      </c>
      <c r="S138" s="1047">
        <v>45876</v>
      </c>
      <c r="T138" s="1023">
        <v>458451</v>
      </c>
      <c r="U138" s="1023" t="s">
        <v>39</v>
      </c>
      <c r="V138" s="1025">
        <f>Table62689345[[#This Row],[Offer Value]]-Table62689345[[#This Row],[PO Value]]</f>
        <v>0</v>
      </c>
      <c r="W138" s="1023"/>
      <c r="X138" s="1055"/>
      <c r="Y138" s="1051"/>
      <c r="Z138" s="1028" t="s">
        <v>385</v>
      </c>
      <c r="AA138" s="1029" t="s">
        <v>157</v>
      </c>
    </row>
    <row r="139" spans="1:27" s="246" customFormat="1" ht="15.6">
      <c r="A139" s="289">
        <v>144</v>
      </c>
      <c r="B139" s="481">
        <v>45922</v>
      </c>
      <c r="C139" s="888" t="s">
        <v>465</v>
      </c>
      <c r="D139" s="374" t="s">
        <v>133</v>
      </c>
      <c r="E139" s="374" t="s">
        <v>191</v>
      </c>
      <c r="F139" s="374" t="s">
        <v>496</v>
      </c>
      <c r="G139" s="374">
        <v>9823022367</v>
      </c>
      <c r="H139" s="375" t="s">
        <v>497</v>
      </c>
      <c r="I139" s="482" t="s">
        <v>498</v>
      </c>
      <c r="J139" s="482" t="s">
        <v>78</v>
      </c>
      <c r="K139" s="482" t="s">
        <v>157</v>
      </c>
      <c r="L139" s="283" t="s">
        <v>499</v>
      </c>
      <c r="M139" s="958">
        <v>45922</v>
      </c>
      <c r="N139" s="289">
        <v>897000</v>
      </c>
      <c r="O139" s="483" t="s">
        <v>44</v>
      </c>
      <c r="P139" s="483" t="s">
        <v>62</v>
      </c>
      <c r="Q139" s="109">
        <v>0.5</v>
      </c>
      <c r="R139" s="492"/>
      <c r="S139" s="966"/>
      <c r="T139" s="483"/>
      <c r="U139" s="483"/>
      <c r="V139" s="284">
        <f>Table62689345[[#This Row],[Offer Value]]-Table62689345[[#This Row],[PO Value]]</f>
        <v>897000</v>
      </c>
      <c r="W139" s="483"/>
      <c r="X139" s="485"/>
      <c r="Y139" s="651"/>
      <c r="Z139" s="641"/>
      <c r="AA139" s="472"/>
    </row>
    <row r="140" spans="1:27" s="246" customFormat="1" ht="15.6">
      <c r="A140" s="289">
        <v>135</v>
      </c>
      <c r="B140" s="481">
        <v>45922</v>
      </c>
      <c r="C140" s="886" t="s">
        <v>173</v>
      </c>
      <c r="D140" s="681" t="s">
        <v>133</v>
      </c>
      <c r="E140" s="681" t="s">
        <v>174</v>
      </c>
      <c r="F140" s="681" t="s">
        <v>500</v>
      </c>
      <c r="G140" s="681">
        <v>9850043641</v>
      </c>
      <c r="H140" s="682" t="s">
        <v>501</v>
      </c>
      <c r="I140" s="482" t="s">
        <v>419</v>
      </c>
      <c r="J140" s="482" t="s">
        <v>78</v>
      </c>
      <c r="K140" s="482" t="s">
        <v>157</v>
      </c>
      <c r="L140" s="283" t="s">
        <v>502</v>
      </c>
      <c r="M140" s="958">
        <v>45911</v>
      </c>
      <c r="N140" s="289">
        <v>850000</v>
      </c>
      <c r="O140" s="483" t="s">
        <v>44</v>
      </c>
      <c r="P140" s="483" t="s">
        <v>47</v>
      </c>
      <c r="Q140" s="109">
        <v>0.5</v>
      </c>
      <c r="R140" s="492"/>
      <c r="S140" s="966"/>
      <c r="T140" s="483"/>
      <c r="U140" s="483"/>
      <c r="V140" s="284">
        <f>Table62689345[[#This Row],[Offer Value]]-Table62689345[[#This Row],[PO Value]]</f>
        <v>850000</v>
      </c>
      <c r="W140" s="483"/>
      <c r="X140" s="485"/>
      <c r="Y140" s="651"/>
      <c r="Z140" s="641"/>
      <c r="AA140" s="472"/>
    </row>
    <row r="141" spans="1:27" s="246" customFormat="1" ht="15.6">
      <c r="A141" s="289">
        <v>142</v>
      </c>
      <c r="B141" s="481">
        <v>45922</v>
      </c>
      <c r="C141" s="888" t="s">
        <v>479</v>
      </c>
      <c r="D141" s="374" t="s">
        <v>462</v>
      </c>
      <c r="E141" s="374" t="s">
        <v>191</v>
      </c>
      <c r="F141" s="374" t="s">
        <v>480</v>
      </c>
      <c r="G141" s="374" t="s">
        <v>481</v>
      </c>
      <c r="H141" s="375" t="s">
        <v>482</v>
      </c>
      <c r="I141" s="482" t="s">
        <v>483</v>
      </c>
      <c r="J141" s="482" t="s">
        <v>75</v>
      </c>
      <c r="K141" s="482" t="s">
        <v>157</v>
      </c>
      <c r="L141" s="283" t="s">
        <v>503</v>
      </c>
      <c r="M141" s="958">
        <v>45922</v>
      </c>
      <c r="N141" s="289">
        <v>795668</v>
      </c>
      <c r="O141" s="483" t="s">
        <v>44</v>
      </c>
      <c r="P141" s="483" t="s">
        <v>62</v>
      </c>
      <c r="Q141" s="109">
        <v>0.5</v>
      </c>
      <c r="R141" s="492"/>
      <c r="S141" s="966"/>
      <c r="T141" s="483"/>
      <c r="U141" s="483"/>
      <c r="V141" s="284">
        <f>Table62689345[[#This Row],[Offer Value]]-Table62689345[[#This Row],[PO Value]]</f>
        <v>795668</v>
      </c>
      <c r="W141" s="483"/>
      <c r="X141" s="485"/>
      <c r="Y141" s="651"/>
      <c r="Z141" s="641"/>
      <c r="AA141" s="472"/>
    </row>
    <row r="142" spans="1:27" s="1319" customFormat="1" ht="15.6">
      <c r="A142" s="1053">
        <v>134</v>
      </c>
      <c r="B142" s="1021">
        <v>45888</v>
      </c>
      <c r="C142" s="1040" t="s">
        <v>173</v>
      </c>
      <c r="D142" s="1035" t="s">
        <v>133</v>
      </c>
      <c r="E142" s="1035" t="s">
        <v>174</v>
      </c>
      <c r="F142" s="1035" t="s">
        <v>500</v>
      </c>
      <c r="G142" s="1035">
        <v>9850043641</v>
      </c>
      <c r="H142" s="1036" t="s">
        <v>501</v>
      </c>
      <c r="I142" s="1022" t="s">
        <v>419</v>
      </c>
      <c r="J142" s="1022" t="s">
        <v>80</v>
      </c>
      <c r="K142" s="1022" t="s">
        <v>157</v>
      </c>
      <c r="L142" s="1034" t="s">
        <v>504</v>
      </c>
      <c r="M142" s="1052">
        <v>45883</v>
      </c>
      <c r="N142" s="1053">
        <v>633000</v>
      </c>
      <c r="O142" s="1023" t="s">
        <v>39</v>
      </c>
      <c r="P142" s="1023" t="s">
        <v>44</v>
      </c>
      <c r="Q142" s="1054">
        <v>0.3</v>
      </c>
      <c r="R142" s="1046">
        <v>7210033472</v>
      </c>
      <c r="S142" s="1047">
        <v>45943</v>
      </c>
      <c r="T142" s="1023">
        <v>633000</v>
      </c>
      <c r="U142" s="1023" t="s">
        <v>49</v>
      </c>
      <c r="V142" s="1025">
        <f>Table62689345[[#This Row],[Offer Value]]-Table62689345[[#This Row],[PO Value]]</f>
        <v>0</v>
      </c>
      <c r="W142" s="1023"/>
      <c r="X142" s="1055"/>
      <c r="Y142" s="1051"/>
      <c r="Z142" s="1028" t="s">
        <v>385</v>
      </c>
      <c r="AA142" s="1029"/>
    </row>
    <row r="143" spans="1:27" s="1319" customFormat="1" ht="15.6">
      <c r="A143" s="1053">
        <v>136</v>
      </c>
      <c r="B143" s="1021">
        <v>45922</v>
      </c>
      <c r="C143" s="1040" t="s">
        <v>173</v>
      </c>
      <c r="D143" s="1035" t="s">
        <v>133</v>
      </c>
      <c r="E143" s="1035" t="s">
        <v>421</v>
      </c>
      <c r="F143" s="1035" t="s">
        <v>505</v>
      </c>
      <c r="G143" s="1035">
        <v>9823022367</v>
      </c>
      <c r="H143" s="1036" t="s">
        <v>506</v>
      </c>
      <c r="I143" s="1022" t="s">
        <v>425</v>
      </c>
      <c r="J143" s="1022" t="s">
        <v>78</v>
      </c>
      <c r="K143" s="1022" t="s">
        <v>157</v>
      </c>
      <c r="L143" s="1034" t="s">
        <v>507</v>
      </c>
      <c r="M143" s="1052">
        <v>45817</v>
      </c>
      <c r="N143" s="1053">
        <v>166000</v>
      </c>
      <c r="O143" s="1023" t="s">
        <v>37</v>
      </c>
      <c r="P143" s="1023" t="s">
        <v>37</v>
      </c>
      <c r="Q143" s="1054">
        <v>0.7</v>
      </c>
      <c r="R143" s="1046">
        <v>7710027962</v>
      </c>
      <c r="S143" s="1047">
        <v>45846</v>
      </c>
      <c r="T143" s="1023">
        <v>150000</v>
      </c>
      <c r="U143" s="1023" t="s">
        <v>37</v>
      </c>
      <c r="V143" s="1025">
        <f>Table62689345[[#This Row],[Offer Value]]-Table62689345[[#This Row],[PO Value]]</f>
        <v>16000</v>
      </c>
      <c r="W143" s="1023"/>
      <c r="X143" s="1055"/>
      <c r="Y143" s="1051"/>
      <c r="Z143" s="1028"/>
      <c r="AA143" s="1029"/>
    </row>
    <row r="144" spans="1:27" s="246" customFormat="1" ht="15.6">
      <c r="A144" s="487">
        <v>68</v>
      </c>
      <c r="B144" s="481">
        <v>45705</v>
      </c>
      <c r="C144" s="886" t="s">
        <v>173</v>
      </c>
      <c r="D144" s="681" t="s">
        <v>133</v>
      </c>
      <c r="E144" s="681" t="s">
        <v>413</v>
      </c>
      <c r="F144" s="681" t="s">
        <v>175</v>
      </c>
      <c r="G144" s="681">
        <v>9503050525</v>
      </c>
      <c r="H144" s="682" t="s">
        <v>176</v>
      </c>
      <c r="I144" s="482" t="s">
        <v>418</v>
      </c>
      <c r="J144" s="1992" t="s">
        <v>81</v>
      </c>
      <c r="K144" s="1992" t="s">
        <v>157</v>
      </c>
      <c r="L144" s="283" t="s">
        <v>508</v>
      </c>
      <c r="M144" s="958">
        <v>45687</v>
      </c>
      <c r="N144" s="289">
        <v>558580</v>
      </c>
      <c r="O144" s="1995" t="s">
        <v>18</v>
      </c>
      <c r="P144" s="483" t="s">
        <v>39</v>
      </c>
      <c r="Q144" s="109">
        <v>0.5</v>
      </c>
      <c r="R144" s="492"/>
      <c r="S144" s="966"/>
      <c r="T144" s="483"/>
      <c r="U144" s="2296"/>
      <c r="V144" s="2299">
        <f>Table62689345[[#This Row],[PO Value]]-Table62689345[[#This Row],[Offer Value]]</f>
        <v>-558580</v>
      </c>
      <c r="W144" s="483"/>
      <c r="X144" s="485"/>
      <c r="Y144" s="651"/>
      <c r="Z144" s="641" t="s">
        <v>157</v>
      </c>
      <c r="AA144" s="472"/>
    </row>
    <row r="145" spans="1:27" s="246" customFormat="1" ht="15.6">
      <c r="A145" s="289">
        <v>143</v>
      </c>
      <c r="B145" s="481">
        <v>45922</v>
      </c>
      <c r="C145" s="886" t="s">
        <v>509</v>
      </c>
      <c r="D145" s="681" t="s">
        <v>304</v>
      </c>
      <c r="E145" s="681" t="s">
        <v>191</v>
      </c>
      <c r="F145" s="681" t="s">
        <v>510</v>
      </c>
      <c r="G145" s="681">
        <v>2241130200</v>
      </c>
      <c r="H145" s="682" t="s">
        <v>511</v>
      </c>
      <c r="I145" s="482" t="s">
        <v>512</v>
      </c>
      <c r="J145" s="482" t="s">
        <v>78</v>
      </c>
      <c r="K145" s="482" t="s">
        <v>157</v>
      </c>
      <c r="L145" s="283" t="s">
        <v>513</v>
      </c>
      <c r="M145" s="958">
        <v>45910</v>
      </c>
      <c r="N145" s="289">
        <v>472800</v>
      </c>
      <c r="O145" s="483" t="s">
        <v>44</v>
      </c>
      <c r="P145" s="483" t="s">
        <v>62</v>
      </c>
      <c r="Q145" s="109">
        <v>0.5</v>
      </c>
      <c r="R145" s="492"/>
      <c r="S145" s="966"/>
      <c r="T145" s="483"/>
      <c r="U145" s="483"/>
      <c r="V145" s="284">
        <f>Table62689345[[#This Row],[Offer Value]]-Table62689345[[#This Row],[PO Value]]</f>
        <v>472800</v>
      </c>
      <c r="W145" s="483"/>
      <c r="X145" s="485"/>
      <c r="Y145" s="651"/>
      <c r="Z145" s="641"/>
      <c r="AA145" s="472"/>
    </row>
    <row r="146" spans="1:27" s="1319" customFormat="1" ht="15.6">
      <c r="A146" s="1053">
        <v>139</v>
      </c>
      <c r="B146" s="1021">
        <v>45922</v>
      </c>
      <c r="C146" s="1040" t="s">
        <v>132</v>
      </c>
      <c r="D146" s="1035" t="s">
        <v>133</v>
      </c>
      <c r="E146" s="1035" t="s">
        <v>185</v>
      </c>
      <c r="F146" s="1035" t="s">
        <v>186</v>
      </c>
      <c r="G146" s="1035">
        <v>9011018387</v>
      </c>
      <c r="H146" s="1036" t="s">
        <v>187</v>
      </c>
      <c r="I146" s="1022" t="s">
        <v>188</v>
      </c>
      <c r="J146" s="1022" t="s">
        <v>81</v>
      </c>
      <c r="K146" s="1022" t="s">
        <v>157</v>
      </c>
      <c r="L146" s="1034" t="s">
        <v>514</v>
      </c>
      <c r="M146" s="1052">
        <v>45915</v>
      </c>
      <c r="N146" s="1053">
        <v>584000</v>
      </c>
      <c r="O146" s="1023" t="s">
        <v>44</v>
      </c>
      <c r="P146" s="1023" t="s">
        <v>62</v>
      </c>
      <c r="Q146" s="1054">
        <v>0.3</v>
      </c>
      <c r="R146" s="1046">
        <v>2410296857</v>
      </c>
      <c r="S146" s="1047">
        <v>45945</v>
      </c>
      <c r="T146" s="1023">
        <v>258960</v>
      </c>
      <c r="U146" s="1023" t="s">
        <v>47</v>
      </c>
      <c r="V146" s="1025">
        <f>Table62689345[[#This Row],[Offer Value]]-Table62689345[[#This Row],[PO Value]]</f>
        <v>325040</v>
      </c>
      <c r="W146" s="1023"/>
      <c r="X146" s="1055"/>
      <c r="Y146" s="1051"/>
      <c r="Z146" s="1028"/>
      <c r="AA146" s="1029"/>
    </row>
    <row r="147" spans="1:27" s="1319" customFormat="1" ht="15.6">
      <c r="A147" s="1053">
        <v>140</v>
      </c>
      <c r="B147" s="1021">
        <v>45922</v>
      </c>
      <c r="C147" s="1040" t="s">
        <v>378</v>
      </c>
      <c r="D147" s="1035" t="s">
        <v>133</v>
      </c>
      <c r="E147" s="1035" t="s">
        <v>515</v>
      </c>
      <c r="F147" s="1035" t="s">
        <v>516</v>
      </c>
      <c r="G147" s="1035"/>
      <c r="H147" s="1036" t="s">
        <v>517</v>
      </c>
      <c r="I147" s="2339" t="s">
        <v>518</v>
      </c>
      <c r="J147" s="1022" t="s">
        <v>81</v>
      </c>
      <c r="K147" s="1022" t="s">
        <v>157</v>
      </c>
      <c r="L147" s="1034" t="s">
        <v>519</v>
      </c>
      <c r="M147" s="1052">
        <v>45915</v>
      </c>
      <c r="N147" s="1053">
        <v>105000</v>
      </c>
      <c r="O147" s="1023" t="s">
        <v>44</v>
      </c>
      <c r="P147" s="1023" t="s">
        <v>44</v>
      </c>
      <c r="Q147" s="1054">
        <v>0.5</v>
      </c>
      <c r="R147" s="1046" t="s">
        <v>520</v>
      </c>
      <c r="S147" s="1047">
        <v>45930</v>
      </c>
      <c r="T147" s="1023">
        <v>95000</v>
      </c>
      <c r="U147" s="1023" t="s">
        <v>44</v>
      </c>
      <c r="V147" s="1025">
        <f>Table62689345[[#This Row],[Offer Value]]-Table62689345[[#This Row],[PO Value]]</f>
        <v>10000</v>
      </c>
      <c r="W147" s="1023"/>
      <c r="X147" s="1055"/>
      <c r="Y147" s="1051"/>
      <c r="Z147" s="1028"/>
      <c r="AA147" s="1029"/>
    </row>
    <row r="148" spans="1:27" s="1319" customFormat="1" ht="15.6">
      <c r="A148" s="1053">
        <v>141</v>
      </c>
      <c r="B148" s="1021">
        <v>45922</v>
      </c>
      <c r="C148" s="1040" t="s">
        <v>215</v>
      </c>
      <c r="D148" s="1035" t="s">
        <v>133</v>
      </c>
      <c r="E148" s="1035" t="s">
        <v>191</v>
      </c>
      <c r="F148" s="1035" t="s">
        <v>521</v>
      </c>
      <c r="G148" s="1035">
        <v>7875554612</v>
      </c>
      <c r="H148" s="1036" t="s">
        <v>217</v>
      </c>
      <c r="I148" s="1022" t="s">
        <v>218</v>
      </c>
      <c r="J148" s="1022" t="s">
        <v>75</v>
      </c>
      <c r="K148" s="1022" t="s">
        <v>157</v>
      </c>
      <c r="L148" s="1034" t="s">
        <v>522</v>
      </c>
      <c r="M148" s="1052">
        <v>45922</v>
      </c>
      <c r="N148" s="1053">
        <v>108875</v>
      </c>
      <c r="O148" s="1023" t="s">
        <v>44</v>
      </c>
      <c r="P148" s="1023" t="s">
        <v>44</v>
      </c>
      <c r="Q148" s="1054">
        <v>0.5</v>
      </c>
      <c r="R148" s="1046" t="s">
        <v>523</v>
      </c>
      <c r="S148" s="1047">
        <v>45936</v>
      </c>
      <c r="T148" s="1023">
        <v>108528</v>
      </c>
      <c r="U148" s="1023" t="s">
        <v>47</v>
      </c>
      <c r="V148" s="1025">
        <f>Table62689345[[#This Row],[Offer Value]]-Table62689345[[#This Row],[PO Value]]</f>
        <v>347</v>
      </c>
      <c r="W148" s="1023"/>
      <c r="X148" s="1055"/>
      <c r="Y148" s="1051"/>
      <c r="Z148" s="1028"/>
      <c r="AA148" s="1029"/>
    </row>
    <row r="149" spans="1:27" s="246" customFormat="1" ht="15.6">
      <c r="A149" s="289">
        <v>132</v>
      </c>
      <c r="B149" s="481">
        <v>45875</v>
      </c>
      <c r="C149" s="888" t="s">
        <v>159</v>
      </c>
      <c r="D149" s="374" t="s">
        <v>133</v>
      </c>
      <c r="E149" s="374" t="s">
        <v>524</v>
      </c>
      <c r="F149" s="374" t="s">
        <v>525</v>
      </c>
      <c r="G149" s="374">
        <v>9890664173</v>
      </c>
      <c r="H149" s="375" t="s">
        <v>526</v>
      </c>
      <c r="I149" s="482" t="s">
        <v>527</v>
      </c>
      <c r="J149" s="482" t="s">
        <v>75</v>
      </c>
      <c r="K149" s="482" t="s">
        <v>157</v>
      </c>
      <c r="L149" s="283" t="s">
        <v>528</v>
      </c>
      <c r="M149" s="958">
        <v>45875</v>
      </c>
      <c r="N149" s="289">
        <v>256276</v>
      </c>
      <c r="O149" s="483" t="s">
        <v>39</v>
      </c>
      <c r="P149" s="483" t="s">
        <v>44</v>
      </c>
      <c r="Q149" s="109">
        <v>0.3</v>
      </c>
      <c r="R149" s="492"/>
      <c r="S149" s="966"/>
      <c r="T149" s="483"/>
      <c r="U149" s="483"/>
      <c r="V149" s="284">
        <f>Table62689345[[#This Row],[Offer Value]]-Table62689345[[#This Row],[PO Value]]</f>
        <v>256276</v>
      </c>
      <c r="W149" s="483"/>
      <c r="X149" s="485"/>
      <c r="Y149" s="651"/>
      <c r="Z149" s="641"/>
      <c r="AA149" s="472"/>
    </row>
    <row r="150" spans="1:27" s="1319" customFormat="1" ht="15.6">
      <c r="A150" s="1053">
        <v>155</v>
      </c>
      <c r="B150" s="1021">
        <v>45961</v>
      </c>
      <c r="C150" s="1040" t="s">
        <v>341</v>
      </c>
      <c r="D150" s="1035" t="s">
        <v>133</v>
      </c>
      <c r="E150" s="1035" t="s">
        <v>191</v>
      </c>
      <c r="F150" s="1035" t="s">
        <v>342</v>
      </c>
      <c r="G150" s="1035">
        <v>9822840261</v>
      </c>
      <c r="H150" s="1036" t="s">
        <v>343</v>
      </c>
      <c r="I150" s="1022" t="s">
        <v>529</v>
      </c>
      <c r="J150" s="1041" t="s">
        <v>75</v>
      </c>
      <c r="K150" s="1041" t="s">
        <v>157</v>
      </c>
      <c r="L150" s="1120" t="s">
        <v>530</v>
      </c>
      <c r="M150" s="3018">
        <v>45945</v>
      </c>
      <c r="N150" s="1042">
        <v>222379</v>
      </c>
      <c r="O150" s="1042" t="s">
        <v>47</v>
      </c>
      <c r="P150" s="1042" t="s">
        <v>49</v>
      </c>
      <c r="Q150" s="1054">
        <v>0.5</v>
      </c>
      <c r="R150" s="1042" t="s">
        <v>531</v>
      </c>
      <c r="S150" s="3019">
        <v>46000</v>
      </c>
      <c r="T150" s="2200">
        <v>216507</v>
      </c>
      <c r="U150" s="1042" t="s">
        <v>62</v>
      </c>
      <c r="V150" s="1025">
        <f>Table62689345[[#This Row],[Offer Value]]-Table62689345[[#This Row],[PO Value]]</f>
        <v>5872</v>
      </c>
      <c r="W150" s="1042"/>
      <c r="X150" s="1042"/>
      <c r="Y150" s="2436"/>
      <c r="Z150" s="1028"/>
      <c r="AA150" s="1029"/>
    </row>
    <row r="151" spans="1:27" s="246" customFormat="1" ht="15.6">
      <c r="A151" s="480">
        <v>57</v>
      </c>
      <c r="B151" s="481">
        <v>45668</v>
      </c>
      <c r="C151" s="888" t="s">
        <v>271</v>
      </c>
      <c r="D151" s="374" t="s">
        <v>133</v>
      </c>
      <c r="E151" s="374" t="s">
        <v>153</v>
      </c>
      <c r="F151" s="374" t="s">
        <v>272</v>
      </c>
      <c r="G151" s="374">
        <v>7276413858</v>
      </c>
      <c r="H151" s="375" t="s">
        <v>273</v>
      </c>
      <c r="I151" s="482" t="s">
        <v>274</v>
      </c>
      <c r="J151" s="1990" t="s">
        <v>75</v>
      </c>
      <c r="K151" s="1990" t="s">
        <v>157</v>
      </c>
      <c r="L151" s="283" t="s">
        <v>532</v>
      </c>
      <c r="M151" s="958">
        <v>45666</v>
      </c>
      <c r="N151" s="289">
        <v>139968</v>
      </c>
      <c r="O151" s="1862" t="s">
        <v>7</v>
      </c>
      <c r="P151" s="483" t="s">
        <v>44</v>
      </c>
      <c r="Q151" s="109">
        <v>0.5</v>
      </c>
      <c r="R151" s="492"/>
      <c r="S151" s="966"/>
      <c r="T151" s="483"/>
      <c r="U151" s="2298"/>
      <c r="V151" s="2301">
        <f>Table62689345[[#This Row],[PO Value]]-Table62689345[[#This Row],[Offer Value]]</f>
        <v>-139968</v>
      </c>
      <c r="W151" s="483" t="s">
        <v>533</v>
      </c>
      <c r="X151" s="485"/>
      <c r="Y151" s="651"/>
      <c r="Z151" s="641"/>
      <c r="AA151" s="472"/>
    </row>
    <row r="152" spans="1:27" s="1319" customFormat="1" ht="15.6">
      <c r="A152" s="1053">
        <v>145</v>
      </c>
      <c r="B152" s="1021">
        <v>45922</v>
      </c>
      <c r="C152" s="1040" t="s">
        <v>142</v>
      </c>
      <c r="D152" s="1035" t="s">
        <v>133</v>
      </c>
      <c r="E152" s="1035" t="s">
        <v>534</v>
      </c>
      <c r="F152" s="1035" t="s">
        <v>248</v>
      </c>
      <c r="G152" s="1035">
        <v>9850806974</v>
      </c>
      <c r="H152" s="1036" t="s">
        <v>250</v>
      </c>
      <c r="I152" s="1022" t="s">
        <v>251</v>
      </c>
      <c r="J152" s="1022" t="s">
        <v>75</v>
      </c>
      <c r="K152" s="1022" t="s">
        <v>157</v>
      </c>
      <c r="L152" s="1034" t="s">
        <v>535</v>
      </c>
      <c r="M152" s="1052">
        <v>45917</v>
      </c>
      <c r="N152" s="1053">
        <v>120761</v>
      </c>
      <c r="O152" s="1023" t="s">
        <v>44</v>
      </c>
      <c r="P152" s="1023" t="s">
        <v>44</v>
      </c>
      <c r="Q152" s="1054">
        <v>0.5</v>
      </c>
      <c r="R152" s="1046">
        <v>700663698</v>
      </c>
      <c r="S152" s="1047">
        <v>45925</v>
      </c>
      <c r="T152" s="1023">
        <v>115930</v>
      </c>
      <c r="U152" s="1023" t="s">
        <v>44</v>
      </c>
      <c r="V152" s="1025">
        <f>Table62689345[[#This Row],[Offer Value]]-Table62689345[[#This Row],[PO Value]]</f>
        <v>4831</v>
      </c>
      <c r="W152" s="1023"/>
      <c r="X152" s="1055"/>
      <c r="Y152" s="1051"/>
      <c r="Z152" s="1028"/>
      <c r="AA152" s="1029"/>
    </row>
    <row r="153" spans="1:27" s="1319" customFormat="1" ht="15.6">
      <c r="A153" s="1053">
        <v>146</v>
      </c>
      <c r="B153" s="1021">
        <v>45922</v>
      </c>
      <c r="C153" s="1040" t="s">
        <v>223</v>
      </c>
      <c r="D153" s="1035" t="s">
        <v>133</v>
      </c>
      <c r="E153" s="1035" t="s">
        <v>191</v>
      </c>
      <c r="F153" s="1035" t="s">
        <v>224</v>
      </c>
      <c r="G153" s="1035">
        <v>9373850080</v>
      </c>
      <c r="H153" s="1036" t="s">
        <v>225</v>
      </c>
      <c r="I153" s="1022" t="s">
        <v>226</v>
      </c>
      <c r="J153" s="1022" t="s">
        <v>75</v>
      </c>
      <c r="K153" s="1022" t="s">
        <v>157</v>
      </c>
      <c r="L153" s="1034" t="s">
        <v>536</v>
      </c>
      <c r="M153" s="1052">
        <v>45922</v>
      </c>
      <c r="N153" s="1053">
        <v>379000</v>
      </c>
      <c r="O153" s="1023" t="s">
        <v>44</v>
      </c>
      <c r="P153" s="1023" t="s">
        <v>49</v>
      </c>
      <c r="Q153" s="1054">
        <v>0.5</v>
      </c>
      <c r="R153" s="1046">
        <v>2581005</v>
      </c>
      <c r="S153" s="1047">
        <v>45955</v>
      </c>
      <c r="T153" s="1023">
        <v>363840</v>
      </c>
      <c r="U153" s="1023" t="s">
        <v>47</v>
      </c>
      <c r="V153" s="1025">
        <f>Table62689345[[#This Row],[Offer Value]]-Table62689345[[#This Row],[PO Value]]</f>
        <v>15160</v>
      </c>
      <c r="W153" s="1023"/>
      <c r="X153" s="1055"/>
      <c r="Y153" s="1051"/>
      <c r="Z153" s="1028"/>
      <c r="AA153" s="1029"/>
    </row>
    <row r="154" spans="1:27" s="1319" customFormat="1" ht="15.6">
      <c r="A154" s="1053">
        <v>147</v>
      </c>
      <c r="B154" s="1021">
        <v>45923</v>
      </c>
      <c r="C154" s="1040" t="s">
        <v>132</v>
      </c>
      <c r="D154" s="1035" t="s">
        <v>133</v>
      </c>
      <c r="E154" s="1035" t="s">
        <v>185</v>
      </c>
      <c r="F154" s="1035" t="s">
        <v>537</v>
      </c>
      <c r="G154" s="1035">
        <v>7276097454</v>
      </c>
      <c r="H154" s="1036" t="s">
        <v>538</v>
      </c>
      <c r="I154" s="1022" t="s">
        <v>539</v>
      </c>
      <c r="J154" s="1022" t="s">
        <v>75</v>
      </c>
      <c r="K154" s="1022" t="s">
        <v>157</v>
      </c>
      <c r="L154" s="1034" t="s">
        <v>540</v>
      </c>
      <c r="M154" s="1052">
        <v>45898</v>
      </c>
      <c r="N154" s="1053">
        <v>275490</v>
      </c>
      <c r="O154" s="1023" t="s">
        <v>39</v>
      </c>
      <c r="P154" s="1023" t="s">
        <v>49</v>
      </c>
      <c r="Q154" s="1054">
        <v>0.5</v>
      </c>
      <c r="R154" s="1046">
        <v>2410296857</v>
      </c>
      <c r="S154" s="1047" t="s">
        <v>541</v>
      </c>
      <c r="T154" s="1023">
        <v>285960</v>
      </c>
      <c r="U154" s="1023" t="s">
        <v>47</v>
      </c>
      <c r="V154" s="1025">
        <f>Table62689345[[#This Row],[Offer Value]]-Table62689345[[#This Row],[PO Value]]</f>
        <v>-10470</v>
      </c>
      <c r="W154" s="1023"/>
      <c r="X154" s="1055"/>
      <c r="Y154" s="1051"/>
      <c r="Z154" s="1028"/>
      <c r="AA154" s="1029"/>
    </row>
    <row r="155" spans="1:27" s="1319" customFormat="1" ht="15.6">
      <c r="A155" s="1053">
        <v>148</v>
      </c>
      <c r="B155" s="1021">
        <v>45923</v>
      </c>
      <c r="C155" s="1040" t="s">
        <v>253</v>
      </c>
      <c r="D155" s="1035" t="s">
        <v>133</v>
      </c>
      <c r="E155" s="1035" t="s">
        <v>542</v>
      </c>
      <c r="F155" s="1035" t="s">
        <v>543</v>
      </c>
      <c r="G155" s="1035">
        <v>9511742041</v>
      </c>
      <c r="H155" s="1036" t="s">
        <v>544</v>
      </c>
      <c r="I155" s="1022" t="s">
        <v>295</v>
      </c>
      <c r="J155" s="1022" t="s">
        <v>75</v>
      </c>
      <c r="K155" s="1022" t="s">
        <v>157</v>
      </c>
      <c r="L155" s="1034" t="s">
        <v>545</v>
      </c>
      <c r="M155" s="1052">
        <v>45615</v>
      </c>
      <c r="N155" s="1053">
        <v>470180</v>
      </c>
      <c r="O155" s="1023" t="s">
        <v>39</v>
      </c>
      <c r="P155" s="1023" t="s">
        <v>47</v>
      </c>
      <c r="Q155" s="1054">
        <v>0.5</v>
      </c>
      <c r="R155" s="1046" t="s">
        <v>546</v>
      </c>
      <c r="S155" s="1047">
        <v>45923</v>
      </c>
      <c r="T155" s="2331">
        <v>349492</v>
      </c>
      <c r="U155" s="1023" t="s">
        <v>44</v>
      </c>
      <c r="V155" s="1025">
        <f>Table62689345[[#This Row],[Offer Value]]-Table62689345[[#This Row],[PO Value]]</f>
        <v>120688</v>
      </c>
      <c r="W155" s="1023"/>
      <c r="X155" s="1055"/>
      <c r="Y155" s="1051"/>
      <c r="Z155" s="1028"/>
      <c r="AA155" s="1029"/>
    </row>
    <row r="156" spans="1:27" s="2616" customFormat="1" ht="15.6">
      <c r="A156" s="1639">
        <v>153</v>
      </c>
      <c r="B156" s="1668">
        <v>45961</v>
      </c>
      <c r="C156" s="2610" t="s">
        <v>547</v>
      </c>
      <c r="D156" s="2611" t="s">
        <v>133</v>
      </c>
      <c r="E156" s="2611" t="s">
        <v>548</v>
      </c>
      <c r="F156" s="2611" t="s">
        <v>549</v>
      </c>
      <c r="G156" s="2611">
        <v>9607328084</v>
      </c>
      <c r="H156" s="2612" t="s">
        <v>550</v>
      </c>
      <c r="I156" s="1670" t="s">
        <v>551</v>
      </c>
      <c r="J156" s="2941" t="s">
        <v>73</v>
      </c>
      <c r="K156" s="2941" t="s">
        <v>138</v>
      </c>
      <c r="L156" s="1453" t="s">
        <v>552</v>
      </c>
      <c r="M156" s="2942">
        <v>45957</v>
      </c>
      <c r="N156" s="2615">
        <v>118009</v>
      </c>
      <c r="O156" s="1451" t="s">
        <v>47</v>
      </c>
      <c r="P156" s="1451" t="s">
        <v>49</v>
      </c>
      <c r="Q156" s="1377">
        <v>0.7</v>
      </c>
      <c r="R156" s="2944">
        <v>4500089503</v>
      </c>
      <c r="S156" s="2614">
        <v>45980</v>
      </c>
      <c r="T156" s="2615">
        <v>118009</v>
      </c>
      <c r="U156" s="1451" t="s">
        <v>49</v>
      </c>
      <c r="V156" s="1349">
        <f>Table62689345[[#This Row],[Offer Value]]-Table62689345[[#This Row],[PO Value]]</f>
        <v>0</v>
      </c>
      <c r="W156" s="1451"/>
      <c r="X156" s="1451"/>
      <c r="Y156" s="2943"/>
      <c r="Z156" s="1679"/>
      <c r="AA156" s="1680"/>
    </row>
    <row r="157" spans="1:27" s="246" customFormat="1" ht="15.6">
      <c r="A157" s="289">
        <v>149</v>
      </c>
      <c r="B157" s="481">
        <v>45930</v>
      </c>
      <c r="C157" s="886" t="s">
        <v>132</v>
      </c>
      <c r="D157" s="681" t="s">
        <v>133</v>
      </c>
      <c r="E157" s="681" t="s">
        <v>134</v>
      </c>
      <c r="F157" s="681" t="s">
        <v>553</v>
      </c>
      <c r="G157" s="681">
        <v>8237003520</v>
      </c>
      <c r="H157" s="682" t="s">
        <v>554</v>
      </c>
      <c r="I157" s="482" t="s">
        <v>137</v>
      </c>
      <c r="J157" s="482" t="s">
        <v>73</v>
      </c>
      <c r="K157" s="482" t="s">
        <v>138</v>
      </c>
      <c r="L157" s="283" t="s">
        <v>552</v>
      </c>
      <c r="M157" s="958">
        <v>45929</v>
      </c>
      <c r="N157" s="289">
        <v>90000</v>
      </c>
      <c r="O157" s="483" t="s">
        <v>44</v>
      </c>
      <c r="P157" s="483" t="s">
        <v>47</v>
      </c>
      <c r="Q157" s="109">
        <v>0.5</v>
      </c>
      <c r="R157" s="492"/>
      <c r="S157" s="966"/>
      <c r="T157" s="483"/>
      <c r="U157" s="483"/>
      <c r="V157" s="284">
        <f>Table62689345[[#This Row],[Offer Value]]-Table62689345[[#This Row],[PO Value]]</f>
        <v>90000</v>
      </c>
      <c r="W157" s="483"/>
      <c r="X157" s="485"/>
      <c r="Y157" s="651"/>
      <c r="Z157" s="641"/>
      <c r="AA157" s="472"/>
    </row>
    <row r="158" spans="1:27" s="1319" customFormat="1" ht="15.6">
      <c r="A158" s="1053">
        <v>151</v>
      </c>
      <c r="B158" s="1021">
        <v>45947</v>
      </c>
      <c r="C158" s="1040" t="s">
        <v>253</v>
      </c>
      <c r="D158" s="1035" t="s">
        <v>133</v>
      </c>
      <c r="E158" s="1035" t="s">
        <v>555</v>
      </c>
      <c r="F158" s="1035" t="s">
        <v>556</v>
      </c>
      <c r="G158" s="1035">
        <v>8237003521</v>
      </c>
      <c r="H158" s="1036" t="s">
        <v>557</v>
      </c>
      <c r="I158" s="1022" t="s">
        <v>558</v>
      </c>
      <c r="J158" s="1022" t="s">
        <v>75</v>
      </c>
      <c r="K158" s="1022" t="s">
        <v>157</v>
      </c>
      <c r="L158" s="1034" t="s">
        <v>559</v>
      </c>
      <c r="M158" s="1052">
        <v>45915</v>
      </c>
      <c r="N158" s="1053">
        <v>42750</v>
      </c>
      <c r="O158" s="1023" t="s">
        <v>44</v>
      </c>
      <c r="P158" s="1023" t="s">
        <v>47</v>
      </c>
      <c r="Q158" s="1054">
        <v>0.7</v>
      </c>
      <c r="R158" s="1046">
        <v>1515079462</v>
      </c>
      <c r="S158" s="1047">
        <v>45947</v>
      </c>
      <c r="T158" s="1023">
        <v>40185</v>
      </c>
      <c r="U158" s="1023" t="s">
        <v>47</v>
      </c>
      <c r="V158" s="1025">
        <f>Table62689345[[#This Row],[Offer Value]]-Table62689345[[#This Row],[PO Value]]</f>
        <v>2565</v>
      </c>
      <c r="W158" s="1023"/>
      <c r="X158" s="1055"/>
      <c r="Y158" s="1051"/>
      <c r="Z158" s="1028"/>
      <c r="AA158" s="1029"/>
    </row>
    <row r="159" spans="1:27" s="246" customFormat="1" ht="15.6">
      <c r="A159" s="289">
        <v>150</v>
      </c>
      <c r="B159" s="481">
        <v>45930</v>
      </c>
      <c r="C159" s="888" t="s">
        <v>132</v>
      </c>
      <c r="D159" s="374" t="s">
        <v>133</v>
      </c>
      <c r="E159" s="374" t="s">
        <v>134</v>
      </c>
      <c r="F159" s="374" t="s">
        <v>553</v>
      </c>
      <c r="G159" s="374">
        <v>8237003521</v>
      </c>
      <c r="H159" s="682" t="s">
        <v>554</v>
      </c>
      <c r="I159" s="482" t="s">
        <v>141</v>
      </c>
      <c r="J159" s="482" t="s">
        <v>73</v>
      </c>
      <c r="K159" s="482" t="s">
        <v>138</v>
      </c>
      <c r="L159" s="283" t="s">
        <v>552</v>
      </c>
      <c r="M159" s="958">
        <v>45929</v>
      </c>
      <c r="N159" s="289">
        <v>90000</v>
      </c>
      <c r="O159" s="483" t="s">
        <v>44</v>
      </c>
      <c r="P159" s="483" t="s">
        <v>47</v>
      </c>
      <c r="Q159" s="109">
        <v>0.5</v>
      </c>
      <c r="R159" s="492"/>
      <c r="S159" s="966"/>
      <c r="T159" s="483"/>
      <c r="U159" s="483"/>
      <c r="V159" s="284">
        <f>Table62689345[[#This Row],[Offer Value]]-Table62689345[[#This Row],[PO Value]]</f>
        <v>90000</v>
      </c>
      <c r="W159" s="483"/>
      <c r="X159" s="485"/>
      <c r="Y159" s="651"/>
      <c r="Z159" s="641"/>
      <c r="AA159" s="472"/>
    </row>
    <row r="160" spans="1:27" s="246" customFormat="1" ht="15.6">
      <c r="A160" s="289">
        <v>156</v>
      </c>
      <c r="B160" s="481">
        <v>45961</v>
      </c>
      <c r="C160" s="888" t="s">
        <v>178</v>
      </c>
      <c r="D160" s="374" t="s">
        <v>133</v>
      </c>
      <c r="E160" s="374" t="s">
        <v>179</v>
      </c>
      <c r="F160" s="374" t="s">
        <v>180</v>
      </c>
      <c r="G160" s="374">
        <v>9730478741</v>
      </c>
      <c r="H160" s="375" t="s">
        <v>181</v>
      </c>
      <c r="I160" s="482" t="s">
        <v>182</v>
      </c>
      <c r="J160" s="108" t="s">
        <v>75</v>
      </c>
      <c r="K160" s="108" t="s">
        <v>157</v>
      </c>
      <c r="L160" s="105" t="s">
        <v>560</v>
      </c>
      <c r="M160" s="959">
        <v>45926</v>
      </c>
      <c r="N160" s="106">
        <v>79812</v>
      </c>
      <c r="O160" s="106" t="s">
        <v>44</v>
      </c>
      <c r="P160" s="106" t="s">
        <v>62</v>
      </c>
      <c r="Q160" s="109">
        <v>0.5</v>
      </c>
      <c r="R160" s="107"/>
      <c r="S160" s="960"/>
      <c r="T160" s="323"/>
      <c r="U160" s="106"/>
      <c r="V160" s="284">
        <f>Table62689345[[#This Row],[Offer Value]]-Table62689345[[#This Row],[PO Value]]</f>
        <v>79812</v>
      </c>
      <c r="W160" s="106"/>
      <c r="X160" s="200"/>
      <c r="Y160" s="486"/>
      <c r="Z160" s="257"/>
      <c r="AA160" s="7"/>
    </row>
    <row r="161" spans="1:27" s="2616" customFormat="1" ht="15.6">
      <c r="A161" s="1639">
        <v>154</v>
      </c>
      <c r="B161" s="1668">
        <v>45961</v>
      </c>
      <c r="C161" s="2610" t="s">
        <v>276</v>
      </c>
      <c r="D161" s="2611" t="s">
        <v>561</v>
      </c>
      <c r="E161" s="2611" t="s">
        <v>562</v>
      </c>
      <c r="F161" s="2611" t="s">
        <v>563</v>
      </c>
      <c r="G161" s="2611"/>
      <c r="H161" s="2612" t="s">
        <v>564</v>
      </c>
      <c r="I161" s="1670" t="s">
        <v>281</v>
      </c>
      <c r="J161" s="1455" t="s">
        <v>75</v>
      </c>
      <c r="K161" s="1455" t="s">
        <v>157</v>
      </c>
      <c r="L161" s="1453" t="s">
        <v>536</v>
      </c>
      <c r="M161" s="2613">
        <v>45945</v>
      </c>
      <c r="N161" s="1451">
        <v>42760</v>
      </c>
      <c r="O161" s="1451" t="s">
        <v>47</v>
      </c>
      <c r="P161" s="1451" t="s">
        <v>49</v>
      </c>
      <c r="Q161" s="1377">
        <v>0.5</v>
      </c>
      <c r="R161" s="1451">
        <v>7026029376</v>
      </c>
      <c r="S161" s="2614">
        <v>45961</v>
      </c>
      <c r="T161" s="2615">
        <v>41500</v>
      </c>
      <c r="U161" s="1451" t="s">
        <v>47</v>
      </c>
      <c r="V161" s="1349">
        <f>Table62689345[[#This Row],[Offer Value]]-Table62689345[[#This Row],[PO Value]]</f>
        <v>1260</v>
      </c>
      <c r="W161" s="1451"/>
      <c r="X161" s="2527"/>
      <c r="Y161" s="2527"/>
      <c r="Z161" s="1679"/>
      <c r="AA161" s="1680"/>
    </row>
    <row r="162" spans="1:27" s="246" customFormat="1" ht="15.6">
      <c r="A162" s="289">
        <v>134</v>
      </c>
      <c r="B162" s="481">
        <v>45888</v>
      </c>
      <c r="C162" s="888" t="s">
        <v>152</v>
      </c>
      <c r="D162" s="374" t="s">
        <v>133</v>
      </c>
      <c r="E162" s="374" t="s">
        <v>565</v>
      </c>
      <c r="F162" s="374" t="s">
        <v>566</v>
      </c>
      <c r="G162" s="374">
        <v>8554995559</v>
      </c>
      <c r="H162" s="375" t="s">
        <v>567</v>
      </c>
      <c r="I162" s="482" t="s">
        <v>156</v>
      </c>
      <c r="J162" s="482" t="s">
        <v>81</v>
      </c>
      <c r="K162" s="482" t="s">
        <v>157</v>
      </c>
      <c r="L162" s="283" t="s">
        <v>568</v>
      </c>
      <c r="M162" s="958">
        <v>45875</v>
      </c>
      <c r="N162" s="289">
        <v>66800</v>
      </c>
      <c r="O162" s="483" t="s">
        <v>39</v>
      </c>
      <c r="P162" s="483" t="s">
        <v>44</v>
      </c>
      <c r="Q162" s="109">
        <v>0.5</v>
      </c>
      <c r="R162" s="492"/>
      <c r="S162" s="966"/>
      <c r="T162" s="483"/>
      <c r="U162" s="483"/>
      <c r="V162" s="284">
        <f>Table62689345[[#This Row],[Offer Value]]-Table62689345[[#This Row],[PO Value]]</f>
        <v>66800</v>
      </c>
      <c r="W162" s="483"/>
      <c r="X162" s="2618"/>
      <c r="Y162" s="651"/>
      <c r="Z162" s="641"/>
      <c r="AA162" s="472"/>
    </row>
    <row r="163" spans="1:27" s="1642" customFormat="1" ht="15.6">
      <c r="A163" s="1639">
        <v>152</v>
      </c>
      <c r="B163" s="1668">
        <v>45961</v>
      </c>
      <c r="C163" s="2610" t="s">
        <v>173</v>
      </c>
      <c r="D163" s="2611" t="s">
        <v>133</v>
      </c>
      <c r="E163" s="2611" t="s">
        <v>320</v>
      </c>
      <c r="F163" s="2611" t="s">
        <v>321</v>
      </c>
      <c r="G163" s="2611" t="s">
        <v>322</v>
      </c>
      <c r="H163" s="2612" t="s">
        <v>323</v>
      </c>
      <c r="I163" s="1670" t="s">
        <v>324</v>
      </c>
      <c r="J163" s="1670" t="s">
        <v>75</v>
      </c>
      <c r="K163" s="1670" t="s">
        <v>157</v>
      </c>
      <c r="L163" s="1353" t="s">
        <v>569</v>
      </c>
      <c r="M163" s="2717">
        <v>45945</v>
      </c>
      <c r="N163" s="1639">
        <v>60625</v>
      </c>
      <c r="O163" s="1673" t="s">
        <v>47</v>
      </c>
      <c r="P163" s="1673" t="s">
        <v>47</v>
      </c>
      <c r="Q163" s="1377">
        <v>0.8</v>
      </c>
      <c r="R163" s="1347">
        <v>5210062592</v>
      </c>
      <c r="S163" s="2718">
        <v>45958</v>
      </c>
      <c r="T163" s="1673">
        <v>58272</v>
      </c>
      <c r="U163" s="1673" t="s">
        <v>47</v>
      </c>
      <c r="V163" s="1349">
        <f>Table62689345[[#This Row],[Offer Value]]-Table62689345[[#This Row],[PO Value]]</f>
        <v>2353</v>
      </c>
      <c r="W163" s="1673"/>
      <c r="X163" s="2719"/>
      <c r="Y163" s="2720"/>
      <c r="Z163" s="1679"/>
      <c r="AA163" s="1680"/>
    </row>
    <row r="164" spans="1:27" s="1642" customFormat="1" ht="15.6">
      <c r="A164" s="1639">
        <v>153</v>
      </c>
      <c r="B164" s="1452">
        <v>45978</v>
      </c>
      <c r="C164" s="2610" t="s">
        <v>173</v>
      </c>
      <c r="D164" s="2611" t="s">
        <v>133</v>
      </c>
      <c r="E164" s="2611" t="s">
        <v>413</v>
      </c>
      <c r="F164" s="2611" t="s">
        <v>175</v>
      </c>
      <c r="G164" s="2611">
        <v>9503050525</v>
      </c>
      <c r="H164" s="2612" t="s">
        <v>176</v>
      </c>
      <c r="I164" s="1670" t="s">
        <v>459</v>
      </c>
      <c r="J164" s="1455" t="s">
        <v>75</v>
      </c>
      <c r="K164" s="1455" t="s">
        <v>157</v>
      </c>
      <c r="L164" s="1453" t="s">
        <v>570</v>
      </c>
      <c r="M164" s="2613">
        <v>45971</v>
      </c>
      <c r="N164" s="1451">
        <v>347571</v>
      </c>
      <c r="O164" s="1451" t="s">
        <v>49</v>
      </c>
      <c r="P164" s="1451" t="s">
        <v>49</v>
      </c>
      <c r="Q164" s="1377">
        <v>0.5</v>
      </c>
      <c r="R164" s="1451" t="s">
        <v>571</v>
      </c>
      <c r="S164" s="2614">
        <v>45969</v>
      </c>
      <c r="T164" s="2615">
        <v>336071</v>
      </c>
      <c r="U164" s="1451" t="s">
        <v>49</v>
      </c>
      <c r="V164" s="1349">
        <f>Table62689345[[#This Row],[Offer Value]]-Table62689345[[#This Row],[PO Value]]</f>
        <v>11500</v>
      </c>
      <c r="W164" s="1451"/>
      <c r="X164" s="2527"/>
      <c r="Y164" s="2527"/>
      <c r="Z164" s="1662"/>
      <c r="AA164" s="1560"/>
    </row>
    <row r="165" spans="1:27" ht="15.6">
      <c r="A165" s="289">
        <v>154</v>
      </c>
      <c r="B165" s="107">
        <v>45981</v>
      </c>
      <c r="C165" s="888" t="s">
        <v>276</v>
      </c>
      <c r="D165" s="374" t="s">
        <v>572</v>
      </c>
      <c r="E165" s="374" t="s">
        <v>277</v>
      </c>
      <c r="F165" s="374" t="s">
        <v>573</v>
      </c>
      <c r="G165" s="374" t="s">
        <v>279</v>
      </c>
      <c r="H165" s="375" t="s">
        <v>574</v>
      </c>
      <c r="I165" s="482" t="s">
        <v>287</v>
      </c>
      <c r="J165" s="108" t="s">
        <v>75</v>
      </c>
      <c r="K165" s="108" t="s">
        <v>157</v>
      </c>
      <c r="L165" s="105" t="s">
        <v>575</v>
      </c>
      <c r="M165" s="959">
        <v>45979</v>
      </c>
      <c r="N165" s="106">
        <v>2064784</v>
      </c>
      <c r="O165" s="106" t="s">
        <v>49</v>
      </c>
      <c r="P165" s="106" t="s">
        <v>62</v>
      </c>
      <c r="Q165" s="109">
        <v>0.3</v>
      </c>
      <c r="R165" s="106"/>
      <c r="S165" s="960"/>
      <c r="T165" s="323"/>
      <c r="U165" s="106"/>
      <c r="V165" s="284">
        <f>Table62689345[[#This Row],[Offer Value]]-Table62689345[[#This Row],[PO Value]]</f>
        <v>2064784</v>
      </c>
      <c r="W165" s="106"/>
      <c r="X165" s="200"/>
      <c r="Y165" s="200"/>
      <c r="Z165" s="257"/>
      <c r="AA165" s="7"/>
    </row>
    <row r="166" spans="1:27" ht="18.899999999999999" customHeight="1">
      <c r="A166" s="2983">
        <v>155</v>
      </c>
      <c r="B166" s="2617">
        <v>45985</v>
      </c>
      <c r="C166" s="2975" t="s">
        <v>253</v>
      </c>
      <c r="D166" s="2976" t="s">
        <v>133</v>
      </c>
      <c r="E166" s="2976" t="s">
        <v>254</v>
      </c>
      <c r="F166" s="2976" t="s">
        <v>576</v>
      </c>
      <c r="G166" s="2976">
        <v>7276004071</v>
      </c>
      <c r="H166" s="2977" t="s">
        <v>577</v>
      </c>
      <c r="I166" s="2980" t="s">
        <v>578</v>
      </c>
      <c r="J166" s="2979" t="s">
        <v>83</v>
      </c>
      <c r="K166" s="2979" t="s">
        <v>157</v>
      </c>
      <c r="L166" s="2517" t="s">
        <v>579</v>
      </c>
      <c r="M166" s="2981">
        <v>45982</v>
      </c>
      <c r="N166" s="483">
        <v>3402210</v>
      </c>
      <c r="O166" s="483" t="s">
        <v>49</v>
      </c>
      <c r="P166" s="483" t="s">
        <v>62</v>
      </c>
      <c r="Q166" s="2982">
        <v>0.2</v>
      </c>
      <c r="R166" s="106"/>
      <c r="S166" s="960"/>
      <c r="T166" s="323"/>
      <c r="U166" s="106"/>
      <c r="V166" s="284">
        <f>Table62689345[[#This Row],[Offer Value]]-Table62689345[[#This Row],[PO Value]]</f>
        <v>3402210</v>
      </c>
      <c r="W166" s="106"/>
      <c r="X166" s="200"/>
      <c r="Y166" s="200"/>
      <c r="Z166" s="257"/>
      <c r="AA166" s="7"/>
    </row>
    <row r="167" spans="1:27" ht="15.6">
      <c r="A167" s="289">
        <v>156</v>
      </c>
      <c r="B167" s="107">
        <v>45985</v>
      </c>
      <c r="C167" s="887" t="s">
        <v>253</v>
      </c>
      <c r="D167" s="2978" t="s">
        <v>133</v>
      </c>
      <c r="E167" s="2978" t="s">
        <v>254</v>
      </c>
      <c r="F167" s="2978" t="s">
        <v>580</v>
      </c>
      <c r="G167" s="2978">
        <v>7276004071</v>
      </c>
      <c r="H167" s="2977" t="s">
        <v>577</v>
      </c>
      <c r="I167" s="482" t="s">
        <v>578</v>
      </c>
      <c r="J167" s="115" t="s">
        <v>80</v>
      </c>
      <c r="K167" s="115" t="s">
        <v>157</v>
      </c>
      <c r="L167" s="2517" t="s">
        <v>581</v>
      </c>
      <c r="M167" s="2981">
        <v>45982</v>
      </c>
      <c r="N167" s="106">
        <v>1248375</v>
      </c>
      <c r="O167" s="106" t="s">
        <v>49</v>
      </c>
      <c r="P167" s="106" t="s">
        <v>62</v>
      </c>
      <c r="Q167" s="109">
        <v>0.2</v>
      </c>
      <c r="R167" s="107"/>
      <c r="S167" s="960"/>
      <c r="T167" s="323"/>
      <c r="U167" s="106"/>
      <c r="V167" s="284">
        <f>Table62689345[[#This Row],[Offer Value]]-Table62689345[[#This Row],[PO Value]]</f>
        <v>1248375</v>
      </c>
      <c r="W167" s="106"/>
      <c r="X167" s="200"/>
      <c r="Y167" s="486"/>
      <c r="Z167" s="257"/>
      <c r="AA167" s="7"/>
    </row>
    <row r="168" spans="1:27" s="1267" customFormat="1" ht="15.6">
      <c r="A168" s="1053">
        <v>157</v>
      </c>
      <c r="B168" s="1125">
        <v>45999</v>
      </c>
      <c r="C168" s="1040" t="s">
        <v>142</v>
      </c>
      <c r="D168" s="1035" t="s">
        <v>133</v>
      </c>
      <c r="E168" s="1035" t="s">
        <v>277</v>
      </c>
      <c r="F168" s="1035" t="s">
        <v>582</v>
      </c>
      <c r="G168" s="1035" t="s">
        <v>583</v>
      </c>
      <c r="H168" s="1036" t="s">
        <v>584</v>
      </c>
      <c r="I168" s="1022" t="s">
        <v>251</v>
      </c>
      <c r="J168" s="1122" t="s">
        <v>77</v>
      </c>
      <c r="K168" s="1122" t="s">
        <v>138</v>
      </c>
      <c r="L168" s="3020" t="s">
        <v>585</v>
      </c>
      <c r="M168" s="3018">
        <v>45995</v>
      </c>
      <c r="N168" s="1042">
        <v>320000</v>
      </c>
      <c r="O168" s="1042" t="s">
        <v>62</v>
      </c>
      <c r="P168" s="1042" t="s">
        <v>62</v>
      </c>
      <c r="Q168" s="1054">
        <v>0.9</v>
      </c>
      <c r="R168" s="1042">
        <v>700683864</v>
      </c>
      <c r="S168" s="3019" t="s">
        <v>586</v>
      </c>
      <c r="T168" s="2200">
        <v>320000</v>
      </c>
      <c r="U168" s="1042" t="s">
        <v>62</v>
      </c>
      <c r="V168" s="1025">
        <f>Table62689345[[#This Row],[Offer Value]]-Table62689345[[#This Row],[PO Value]]</f>
        <v>0</v>
      </c>
      <c r="W168" s="1042"/>
      <c r="X168" s="2436"/>
      <c r="Y168" s="2436"/>
      <c r="Z168" s="1128"/>
      <c r="AA168" s="1278"/>
    </row>
    <row r="169" spans="1:27" s="1267" customFormat="1" ht="15.6">
      <c r="A169" s="1053">
        <v>158</v>
      </c>
      <c r="B169" s="1125">
        <v>45999</v>
      </c>
      <c r="C169" s="1040" t="s">
        <v>253</v>
      </c>
      <c r="D169" s="1035" t="s">
        <v>133</v>
      </c>
      <c r="E169" s="1035" t="s">
        <v>587</v>
      </c>
      <c r="F169" s="1035" t="s">
        <v>588</v>
      </c>
      <c r="G169" s="1035">
        <v>7276004071</v>
      </c>
      <c r="H169" s="1036" t="s">
        <v>577</v>
      </c>
      <c r="I169" s="1022" t="s">
        <v>589</v>
      </c>
      <c r="J169" s="1122" t="s">
        <v>75</v>
      </c>
      <c r="K169" s="1122" t="s">
        <v>157</v>
      </c>
      <c r="L169" s="1120" t="s">
        <v>590</v>
      </c>
      <c r="M169" s="3018">
        <v>45989</v>
      </c>
      <c r="N169" s="1042">
        <v>147224</v>
      </c>
      <c r="O169" s="1042" t="s">
        <v>49</v>
      </c>
      <c r="P169" s="1042" t="s">
        <v>62</v>
      </c>
      <c r="Q169" s="1054">
        <v>0.9</v>
      </c>
      <c r="R169" s="1042" t="s">
        <v>591</v>
      </c>
      <c r="S169" s="3019">
        <v>46000</v>
      </c>
      <c r="T169" s="2200">
        <v>139625</v>
      </c>
      <c r="U169" s="1042" t="s">
        <v>62</v>
      </c>
      <c r="V169" s="1025">
        <f>Table62689345[[#This Row],[Offer Value]]-Table62689345[[#This Row],[PO Value]]</f>
        <v>7599</v>
      </c>
      <c r="W169" s="1042"/>
      <c r="X169" s="2436"/>
      <c r="Y169" s="2436"/>
      <c r="Z169" s="1128"/>
      <c r="AA169" s="1278"/>
    </row>
    <row r="170" spans="1:27" ht="15.6">
      <c r="A170" s="289">
        <v>159</v>
      </c>
      <c r="B170" s="107">
        <v>45999</v>
      </c>
      <c r="C170" s="886" t="s">
        <v>326</v>
      </c>
      <c r="D170" s="681" t="s">
        <v>133</v>
      </c>
      <c r="E170" s="681" t="s">
        <v>191</v>
      </c>
      <c r="F170" s="681" t="s">
        <v>327</v>
      </c>
      <c r="G170" s="681">
        <v>7875555910</v>
      </c>
      <c r="H170" s="682" t="s">
        <v>328</v>
      </c>
      <c r="I170" s="482" t="s">
        <v>334</v>
      </c>
      <c r="J170" s="108" t="s">
        <v>75</v>
      </c>
      <c r="K170" s="108" t="s">
        <v>157</v>
      </c>
      <c r="L170" s="105" t="s">
        <v>592</v>
      </c>
      <c r="M170" s="959">
        <v>45999</v>
      </c>
      <c r="N170" s="106">
        <v>1144969</v>
      </c>
      <c r="O170" s="106" t="s">
        <v>62</v>
      </c>
      <c r="P170" s="106" t="s">
        <v>62</v>
      </c>
      <c r="Q170" s="109">
        <v>0.2</v>
      </c>
      <c r="R170" s="107"/>
      <c r="S170" s="960"/>
      <c r="T170" s="323"/>
      <c r="U170" s="106"/>
      <c r="V170" s="284">
        <f>Table62689345[[#This Row],[Offer Value]]-Table62689345[[#This Row],[PO Value]]</f>
        <v>1144969</v>
      </c>
      <c r="W170" s="106"/>
      <c r="X170" s="200"/>
      <c r="Y170" s="486"/>
      <c r="Z170" s="257"/>
      <c r="AA170" s="7"/>
    </row>
    <row r="171" spans="1:27" ht="15.6">
      <c r="A171" s="289">
        <v>160</v>
      </c>
      <c r="B171" s="107">
        <v>45999</v>
      </c>
      <c r="C171" s="888" t="s">
        <v>132</v>
      </c>
      <c r="D171" s="374" t="s">
        <v>133</v>
      </c>
      <c r="E171" s="374" t="s">
        <v>593</v>
      </c>
      <c r="F171" s="374" t="s">
        <v>594</v>
      </c>
      <c r="G171" s="374">
        <v>9604125704</v>
      </c>
      <c r="H171" s="375" t="s">
        <v>595</v>
      </c>
      <c r="I171" s="482" t="s">
        <v>596</v>
      </c>
      <c r="J171" s="108" t="s">
        <v>75</v>
      </c>
      <c r="K171" s="108" t="s">
        <v>157</v>
      </c>
      <c r="L171" s="105" t="s">
        <v>597</v>
      </c>
      <c r="M171" s="959">
        <v>45999</v>
      </c>
      <c r="N171" s="106">
        <v>128350</v>
      </c>
      <c r="O171" s="106" t="s">
        <v>62</v>
      </c>
      <c r="P171" s="106" t="s">
        <v>62</v>
      </c>
      <c r="Q171" s="109">
        <v>0.2</v>
      </c>
      <c r="R171" s="106"/>
      <c r="S171" s="960"/>
      <c r="T171" s="323"/>
      <c r="U171" s="106"/>
      <c r="V171" s="284">
        <f>Table62689345[[#This Row],[Offer Value]]-Table62689345[[#This Row],[PO Value]]</f>
        <v>128350</v>
      </c>
      <c r="W171" s="106"/>
      <c r="X171" s="200"/>
      <c r="Y171" s="200"/>
      <c r="Z171" s="257"/>
      <c r="AA171" s="7"/>
    </row>
    <row r="172" spans="1:27" s="1267" customFormat="1" ht="15.6">
      <c r="A172" s="1053">
        <v>161</v>
      </c>
      <c r="B172" s="1125">
        <v>46010</v>
      </c>
      <c r="C172" s="1040" t="s">
        <v>223</v>
      </c>
      <c r="D172" s="1035" t="s">
        <v>133</v>
      </c>
      <c r="E172" s="1035" t="s">
        <v>191</v>
      </c>
      <c r="F172" s="1035" t="s">
        <v>224</v>
      </c>
      <c r="G172" s="1035">
        <v>9373850080</v>
      </c>
      <c r="H172" s="1036" t="s">
        <v>225</v>
      </c>
      <c r="I172" s="1022" t="s">
        <v>226</v>
      </c>
      <c r="J172" s="1122" t="s">
        <v>75</v>
      </c>
      <c r="K172" s="1122" t="s">
        <v>157</v>
      </c>
      <c r="L172" s="1120" t="s">
        <v>598</v>
      </c>
      <c r="M172" s="3018">
        <v>45999</v>
      </c>
      <c r="N172" s="1042">
        <v>640000</v>
      </c>
      <c r="O172" s="1042" t="s">
        <v>62</v>
      </c>
      <c r="P172" s="1042" t="s">
        <v>62</v>
      </c>
      <c r="Q172" s="1054">
        <v>0.9</v>
      </c>
      <c r="R172" s="1042">
        <v>2560209</v>
      </c>
      <c r="S172" s="3019">
        <v>46008</v>
      </c>
      <c r="T172" s="2200">
        <v>615210</v>
      </c>
      <c r="U172" s="1042" t="s">
        <v>62</v>
      </c>
      <c r="V172" s="1025">
        <f>Table62689345[[#This Row],[Offer Value]]-Table62689345[[#This Row],[PO Value]]</f>
        <v>24790</v>
      </c>
      <c r="W172" s="1042"/>
      <c r="X172" s="2436"/>
      <c r="Y172" s="2436"/>
      <c r="Z172" s="1128"/>
      <c r="AA172" s="1278"/>
    </row>
    <row r="173" spans="1:27" ht="15.6">
      <c r="A173" s="106"/>
      <c r="B173" s="107"/>
      <c r="C173" s="888"/>
      <c r="D173" s="374"/>
      <c r="E173" s="374"/>
      <c r="F173" s="374"/>
      <c r="G173" s="374"/>
      <c r="H173" s="375"/>
      <c r="I173" s="482"/>
      <c r="J173" s="115"/>
      <c r="K173" s="115"/>
      <c r="L173" s="105"/>
      <c r="M173" s="959"/>
      <c r="N173" s="106"/>
      <c r="O173" s="106"/>
      <c r="P173" s="106"/>
      <c r="Q173" s="109"/>
      <c r="R173" s="106"/>
      <c r="S173" s="960"/>
      <c r="T173" s="323"/>
      <c r="U173" s="106"/>
      <c r="V173" s="284">
        <f>Table62689345[[#This Row],[Offer Value]]-Table62689345[[#This Row],[PO Value]]</f>
        <v>0</v>
      </c>
      <c r="W173" s="106"/>
      <c r="X173" s="200"/>
      <c r="Y173" s="200"/>
      <c r="Z173" s="257"/>
      <c r="AA173" s="7"/>
    </row>
    <row r="174" spans="1:27" ht="15.6">
      <c r="A174" s="106"/>
      <c r="B174" s="107"/>
      <c r="C174" s="849"/>
      <c r="D174" s="105"/>
      <c r="E174" s="105"/>
      <c r="F174" s="105"/>
      <c r="G174" s="105"/>
      <c r="H174" s="105"/>
      <c r="I174" s="482"/>
      <c r="J174" s="115"/>
      <c r="K174" s="115"/>
      <c r="L174" s="105"/>
      <c r="M174" s="959"/>
      <c r="N174" s="106"/>
      <c r="O174" s="106"/>
      <c r="P174" s="106"/>
      <c r="Q174" s="109"/>
      <c r="R174" s="107"/>
      <c r="S174" s="960"/>
      <c r="T174" s="323"/>
      <c r="U174" s="106"/>
      <c r="V174" s="284">
        <f>Table62689345[[#This Row],[Offer Value]]-Table62689345[[#This Row],[PO Value]]</f>
        <v>0</v>
      </c>
      <c r="W174" s="106"/>
      <c r="X174" s="200"/>
      <c r="Y174" s="486"/>
      <c r="Z174" s="257"/>
      <c r="AA174" s="7"/>
    </row>
    <row r="175" spans="1:27" ht="15.6">
      <c r="A175" s="106"/>
      <c r="B175" s="107"/>
      <c r="C175" s="849"/>
      <c r="D175" s="105"/>
      <c r="E175" s="105"/>
      <c r="F175" s="105"/>
      <c r="G175" s="105"/>
      <c r="H175" s="105"/>
      <c r="I175" s="482"/>
      <c r="J175" s="115"/>
      <c r="K175" s="115"/>
      <c r="L175" s="105"/>
      <c r="M175" s="959"/>
      <c r="N175" s="106"/>
      <c r="O175" s="106"/>
      <c r="P175" s="106"/>
      <c r="Q175" s="109"/>
      <c r="R175" s="106"/>
      <c r="S175" s="960"/>
      <c r="T175" s="323"/>
      <c r="U175" s="106"/>
      <c r="V175" s="284">
        <f>Table62689345[[#This Row],[Offer Value]]-Table62689345[[#This Row],[PO Value]]</f>
        <v>0</v>
      </c>
      <c r="W175" s="106"/>
      <c r="X175" s="200"/>
      <c r="Y175" s="200"/>
      <c r="Z175" s="257"/>
      <c r="AA175" s="7"/>
    </row>
    <row r="176" spans="1:27" ht="15.6">
      <c r="A176" s="106"/>
      <c r="B176" s="107"/>
      <c r="C176" s="849"/>
      <c r="D176" s="105"/>
      <c r="E176" s="105"/>
      <c r="F176" s="105"/>
      <c r="G176" s="105"/>
      <c r="H176" s="105"/>
      <c r="I176" s="482"/>
      <c r="J176" s="115"/>
      <c r="K176" s="115"/>
      <c r="L176" s="105"/>
      <c r="M176" s="959"/>
      <c r="N176" s="106"/>
      <c r="O176" s="106"/>
      <c r="P176" s="106"/>
      <c r="Q176" s="109"/>
      <c r="R176" s="106"/>
      <c r="S176" s="960"/>
      <c r="T176" s="323"/>
      <c r="U176" s="106"/>
      <c r="V176" s="284">
        <f>Table62689345[[#This Row],[Offer Value]]-Table62689345[[#This Row],[PO Value]]</f>
        <v>0</v>
      </c>
      <c r="W176" s="106"/>
      <c r="X176" s="200"/>
      <c r="Y176" s="200"/>
      <c r="Z176" s="257"/>
      <c r="AA176" s="7"/>
    </row>
    <row r="177" spans="1:27" ht="15.6">
      <c r="A177" s="106"/>
      <c r="B177" s="107"/>
      <c r="C177" s="849"/>
      <c r="D177" s="105"/>
      <c r="E177" s="105"/>
      <c r="F177" s="105"/>
      <c r="G177" s="105"/>
      <c r="H177" s="105"/>
      <c r="I177" s="482"/>
      <c r="J177" s="115"/>
      <c r="K177" s="115"/>
      <c r="L177" s="105"/>
      <c r="M177" s="959"/>
      <c r="N177" s="106"/>
      <c r="O177" s="106"/>
      <c r="P177" s="106"/>
      <c r="Q177" s="109"/>
      <c r="R177" s="106"/>
      <c r="S177" s="960"/>
      <c r="T177" s="323"/>
      <c r="U177" s="106"/>
      <c r="V177" s="284">
        <f>Table62689345[[#This Row],[Offer Value]]-Table62689345[[#This Row],[PO Value]]</f>
        <v>0</v>
      </c>
      <c r="W177" s="106"/>
      <c r="X177" s="200"/>
      <c r="Y177" s="200"/>
      <c r="Z177" s="257"/>
      <c r="AA177" s="7"/>
    </row>
    <row r="178" spans="1:27" ht="15.6">
      <c r="A178" s="106"/>
      <c r="B178" s="107"/>
      <c r="C178" s="849"/>
      <c r="D178" s="105"/>
      <c r="E178" s="105"/>
      <c r="F178" s="105"/>
      <c r="G178" s="105"/>
      <c r="H178" s="105"/>
      <c r="I178" s="482"/>
      <c r="J178" s="115"/>
      <c r="K178" s="115"/>
      <c r="L178" s="105"/>
      <c r="M178" s="959"/>
      <c r="N178" s="106"/>
      <c r="O178" s="106"/>
      <c r="P178" s="106"/>
      <c r="Q178" s="109"/>
      <c r="R178" s="107"/>
      <c r="S178" s="960"/>
      <c r="T178" s="323"/>
      <c r="U178" s="106"/>
      <c r="V178" s="284">
        <f>Table62689345[[#This Row],[Offer Value]]-Table62689345[[#This Row],[PO Value]]</f>
        <v>0</v>
      </c>
      <c r="W178" s="106"/>
      <c r="X178" s="200"/>
      <c r="Y178" s="486"/>
      <c r="Z178" s="257"/>
      <c r="AA178" s="7"/>
    </row>
    <row r="179" spans="1:27" ht="15.6">
      <c r="A179" s="106"/>
      <c r="B179" s="107"/>
      <c r="C179" s="849"/>
      <c r="D179" s="105"/>
      <c r="E179" s="105"/>
      <c r="F179" s="105"/>
      <c r="G179" s="105"/>
      <c r="H179" s="105"/>
      <c r="I179" s="482"/>
      <c r="J179" s="115"/>
      <c r="K179" s="115"/>
      <c r="L179" s="105"/>
      <c r="M179" s="959"/>
      <c r="N179" s="106"/>
      <c r="O179" s="106"/>
      <c r="P179" s="106"/>
      <c r="Q179" s="109"/>
      <c r="R179" s="107"/>
      <c r="S179" s="960"/>
      <c r="T179" s="323"/>
      <c r="U179" s="106"/>
      <c r="V179" s="284">
        <f>Table62689345[[#This Row],[Offer Value]]-Table62689345[[#This Row],[PO Value]]</f>
        <v>0</v>
      </c>
      <c r="W179" s="106"/>
      <c r="X179" s="200"/>
      <c r="Y179" s="486"/>
      <c r="Z179" s="257"/>
      <c r="AA179" s="7"/>
    </row>
    <row r="180" spans="1:27" ht="15.6">
      <c r="A180" s="106"/>
      <c r="B180" s="107"/>
      <c r="C180" s="849"/>
      <c r="D180" s="105"/>
      <c r="E180" s="105"/>
      <c r="F180" s="105"/>
      <c r="G180" s="105"/>
      <c r="H180" s="105"/>
      <c r="I180" s="482"/>
      <c r="J180" s="115"/>
      <c r="K180" s="115"/>
      <c r="L180" s="105"/>
      <c r="M180" s="959"/>
      <c r="N180" s="106"/>
      <c r="O180" s="106"/>
      <c r="P180" s="106"/>
      <c r="Q180" s="109"/>
      <c r="R180" s="106"/>
      <c r="S180" s="960"/>
      <c r="T180" s="323"/>
      <c r="U180" s="106"/>
      <c r="V180" s="284">
        <f>Table62689345[[#This Row],[Offer Value]]-Table62689345[[#This Row],[PO Value]]</f>
        <v>0</v>
      </c>
      <c r="W180" s="106"/>
      <c r="X180" s="200"/>
      <c r="Y180" s="200"/>
      <c r="Z180" s="257"/>
      <c r="AA180" s="7"/>
    </row>
    <row r="181" spans="1:27" ht="15.6">
      <c r="A181" s="106"/>
      <c r="B181" s="107"/>
      <c r="C181" s="849"/>
      <c r="D181" s="105"/>
      <c r="E181" s="105"/>
      <c r="F181" s="105"/>
      <c r="G181" s="105"/>
      <c r="H181" s="105"/>
      <c r="I181" s="482"/>
      <c r="J181" s="115"/>
      <c r="K181" s="115"/>
      <c r="L181" s="105"/>
      <c r="M181" s="959"/>
      <c r="N181" s="106"/>
      <c r="O181" s="106"/>
      <c r="P181" s="106"/>
      <c r="Q181" s="109"/>
      <c r="R181" s="106"/>
      <c r="S181" s="960"/>
      <c r="T181" s="323"/>
      <c r="U181" s="106"/>
      <c r="V181" s="284">
        <f>Table62689345[[#This Row],[Offer Value]]-Table62689345[[#This Row],[PO Value]]</f>
        <v>0</v>
      </c>
      <c r="W181" s="106"/>
      <c r="X181" s="200"/>
      <c r="Y181" s="200"/>
      <c r="Z181" s="257"/>
      <c r="AA181" s="7"/>
    </row>
    <row r="182" spans="1:27" ht="15.6">
      <c r="A182" s="106"/>
      <c r="B182" s="107"/>
      <c r="C182" s="849"/>
      <c r="D182" s="105"/>
      <c r="E182" s="105"/>
      <c r="F182" s="105"/>
      <c r="G182" s="105"/>
      <c r="H182" s="105"/>
      <c r="I182" s="482"/>
      <c r="J182" s="115"/>
      <c r="K182" s="115"/>
      <c r="L182" s="105"/>
      <c r="M182" s="959"/>
      <c r="N182" s="106"/>
      <c r="O182" s="106"/>
      <c r="P182" s="106"/>
      <c r="Q182" s="109"/>
      <c r="R182" s="106"/>
      <c r="S182" s="960"/>
      <c r="T182" s="323"/>
      <c r="U182" s="106"/>
      <c r="V182" s="284">
        <f>Table62689345[[#This Row],[Offer Value]]-Table62689345[[#This Row],[PO Value]]</f>
        <v>0</v>
      </c>
      <c r="W182" s="106"/>
      <c r="X182" s="200"/>
      <c r="Y182" s="200"/>
      <c r="Z182" s="257"/>
      <c r="AA182" s="7"/>
    </row>
    <row r="183" spans="1:27" ht="15.6">
      <c r="A183" s="106"/>
      <c r="B183" s="107"/>
      <c r="C183" s="849"/>
      <c r="D183" s="105"/>
      <c r="E183" s="105"/>
      <c r="F183" s="105"/>
      <c r="G183" s="105"/>
      <c r="H183" s="105"/>
      <c r="I183" s="482"/>
      <c r="J183" s="115"/>
      <c r="K183" s="115"/>
      <c r="L183" s="105"/>
      <c r="M183" s="959"/>
      <c r="N183" s="106"/>
      <c r="O183" s="106"/>
      <c r="P183" s="106"/>
      <c r="Q183" s="109"/>
      <c r="R183" s="107"/>
      <c r="S183" s="960"/>
      <c r="T183" s="323"/>
      <c r="U183" s="106"/>
      <c r="V183" s="284">
        <f>Table62689345[[#This Row],[Offer Value]]-Table62689345[[#This Row],[PO Value]]</f>
        <v>0</v>
      </c>
      <c r="W183" s="106"/>
      <c r="X183" s="200"/>
      <c r="Y183" s="486"/>
      <c r="Z183" s="257"/>
      <c r="AA183" s="7"/>
    </row>
    <row r="184" spans="1:27" ht="15.6">
      <c r="A184" s="106"/>
      <c r="B184" s="107"/>
      <c r="C184" s="849"/>
      <c r="D184" s="105"/>
      <c r="E184" s="105"/>
      <c r="F184" s="105"/>
      <c r="G184" s="105"/>
      <c r="H184" s="105"/>
      <c r="I184" s="482"/>
      <c r="J184" s="115"/>
      <c r="K184" s="115"/>
      <c r="L184" s="105"/>
      <c r="M184" s="959"/>
      <c r="N184" s="106"/>
      <c r="O184" s="106"/>
      <c r="P184" s="106"/>
      <c r="Q184" s="109"/>
      <c r="R184" s="107"/>
      <c r="S184" s="960"/>
      <c r="T184" s="323"/>
      <c r="U184" s="106"/>
      <c r="V184" s="284">
        <f>Table62689345[[#This Row],[Offer Value]]-Table62689345[[#This Row],[PO Value]]</f>
        <v>0</v>
      </c>
      <c r="W184" s="106"/>
      <c r="X184" s="200"/>
      <c r="Y184" s="486"/>
      <c r="Z184" s="257"/>
      <c r="AA184" s="7"/>
    </row>
    <row r="185" spans="1:27" ht="15.6">
      <c r="A185" s="106"/>
      <c r="B185" s="107"/>
      <c r="C185" s="849"/>
      <c r="D185" s="105"/>
      <c r="E185" s="105"/>
      <c r="F185" s="105"/>
      <c r="G185" s="105"/>
      <c r="H185" s="105"/>
      <c r="I185" s="482"/>
      <c r="J185" s="115"/>
      <c r="K185" s="115"/>
      <c r="L185" s="105"/>
      <c r="M185" s="959"/>
      <c r="N185" s="106"/>
      <c r="O185" s="106"/>
      <c r="P185" s="106"/>
      <c r="Q185" s="109"/>
      <c r="R185" s="106"/>
      <c r="S185" s="960"/>
      <c r="T185" s="323"/>
      <c r="U185" s="106"/>
      <c r="V185" s="284">
        <f>Table62689345[[#This Row],[Offer Value]]-Table62689345[[#This Row],[PO Value]]</f>
        <v>0</v>
      </c>
      <c r="W185" s="106"/>
      <c r="X185" s="200"/>
      <c r="Y185" s="200"/>
      <c r="Z185" s="257"/>
      <c r="AA185" s="7"/>
    </row>
    <row r="186" spans="1:27" ht="15.6">
      <c r="A186" s="106"/>
      <c r="B186" s="107"/>
      <c r="C186" s="849"/>
      <c r="D186" s="105"/>
      <c r="E186" s="105"/>
      <c r="F186" s="105"/>
      <c r="G186" s="105"/>
      <c r="H186" s="105"/>
      <c r="I186" s="482"/>
      <c r="J186" s="115"/>
      <c r="K186" s="115"/>
      <c r="L186" s="105"/>
      <c r="M186" s="959"/>
      <c r="N186" s="106"/>
      <c r="O186" s="106"/>
      <c r="P186" s="106"/>
      <c r="Q186" s="109"/>
      <c r="R186" s="107"/>
      <c r="S186" s="960"/>
      <c r="T186" s="323"/>
      <c r="U186" s="106"/>
      <c r="V186" s="284">
        <f>Table62689345[[#This Row],[Offer Value]]-Table62689345[[#This Row],[PO Value]]</f>
        <v>0</v>
      </c>
      <c r="W186" s="106"/>
      <c r="X186" s="200"/>
      <c r="Y186" s="486"/>
      <c r="Z186" s="257"/>
      <c r="AA186" s="7"/>
    </row>
    <row r="187" spans="1:27" ht="15.6">
      <c r="A187" s="106"/>
      <c r="B187" s="107"/>
      <c r="C187" s="849"/>
      <c r="D187" s="105"/>
      <c r="E187" s="105"/>
      <c r="F187" s="105"/>
      <c r="G187" s="105"/>
      <c r="H187" s="105"/>
      <c r="I187" s="482"/>
      <c r="J187" s="115"/>
      <c r="K187" s="115"/>
      <c r="L187" s="105"/>
      <c r="M187" s="959"/>
      <c r="N187" s="106"/>
      <c r="O187" s="106"/>
      <c r="P187" s="106"/>
      <c r="Q187" s="109"/>
      <c r="R187" s="106"/>
      <c r="S187" s="960"/>
      <c r="T187" s="323"/>
      <c r="U187" s="106"/>
      <c r="V187" s="284">
        <f>Table62689345[[#This Row],[Offer Value]]-Table62689345[[#This Row],[PO Value]]</f>
        <v>0</v>
      </c>
      <c r="W187" s="106"/>
      <c r="X187" s="200"/>
      <c r="Y187" s="200"/>
      <c r="Z187" s="257"/>
      <c r="AA187" s="7"/>
    </row>
    <row r="188" spans="1:27" ht="15.6">
      <c r="A188" s="106"/>
      <c r="B188" s="107"/>
      <c r="C188" s="849"/>
      <c r="D188" s="105"/>
      <c r="E188" s="105"/>
      <c r="F188" s="105"/>
      <c r="G188" s="105"/>
      <c r="H188" s="105"/>
      <c r="I188" s="482"/>
      <c r="J188" s="115"/>
      <c r="K188" s="115"/>
      <c r="L188" s="105"/>
      <c r="M188" s="959"/>
      <c r="N188" s="106"/>
      <c r="O188" s="106"/>
      <c r="P188" s="106"/>
      <c r="Q188" s="109"/>
      <c r="R188" s="107"/>
      <c r="S188" s="960"/>
      <c r="T188" s="323"/>
      <c r="U188" s="106"/>
      <c r="V188" s="284">
        <f>Table62689345[[#This Row],[Offer Value]]-Table62689345[[#This Row],[PO Value]]</f>
        <v>0</v>
      </c>
      <c r="W188" s="106"/>
      <c r="X188" s="200"/>
      <c r="Y188" s="486"/>
      <c r="Z188" s="257"/>
      <c r="AA188" s="7"/>
    </row>
    <row r="189" spans="1:27" ht="15.6">
      <c r="A189" s="106"/>
      <c r="B189" s="107"/>
      <c r="C189" s="849"/>
      <c r="D189" s="105"/>
      <c r="E189" s="105"/>
      <c r="F189" s="105"/>
      <c r="G189" s="105"/>
      <c r="H189" s="105"/>
      <c r="I189" s="482"/>
      <c r="J189" s="115"/>
      <c r="K189" s="115"/>
      <c r="L189" s="105"/>
      <c r="M189" s="959"/>
      <c r="N189" s="106"/>
      <c r="O189" s="106"/>
      <c r="P189" s="106"/>
      <c r="Q189" s="109"/>
      <c r="R189" s="106"/>
      <c r="S189" s="960"/>
      <c r="T189" s="323"/>
      <c r="U189" s="106"/>
      <c r="V189" s="284">
        <f>Table62689345[[#This Row],[Offer Value]]-Table62689345[[#This Row],[PO Value]]</f>
        <v>0</v>
      </c>
      <c r="W189" s="106"/>
      <c r="X189" s="106"/>
      <c r="Y189" s="200"/>
      <c r="Z189" s="257"/>
      <c r="AA189" s="7"/>
    </row>
    <row r="190" spans="1:27" ht="15.6">
      <c r="A190" s="106"/>
      <c r="B190" s="107"/>
      <c r="C190" s="849"/>
      <c r="D190" s="105"/>
      <c r="E190" s="105"/>
      <c r="F190" s="105"/>
      <c r="G190" s="105"/>
      <c r="H190" s="105"/>
      <c r="I190" s="482"/>
      <c r="J190" s="115"/>
      <c r="K190" s="115"/>
      <c r="L190" s="105"/>
      <c r="M190" s="959"/>
      <c r="N190" s="106"/>
      <c r="O190" s="106"/>
      <c r="P190" s="106"/>
      <c r="Q190" s="109"/>
      <c r="R190" s="107"/>
      <c r="S190" s="960"/>
      <c r="T190" s="323"/>
      <c r="U190" s="106"/>
      <c r="V190" s="284">
        <f>Table62689345[[#This Row],[Offer Value]]-Table62689345[[#This Row],[PO Value]]</f>
        <v>0</v>
      </c>
      <c r="W190" s="106"/>
      <c r="X190" s="106"/>
      <c r="Y190" s="486"/>
      <c r="Z190" s="257"/>
      <c r="AA190" s="7"/>
    </row>
    <row r="191" spans="1:27" ht="15.6">
      <c r="A191" s="106"/>
      <c r="B191" s="107"/>
      <c r="C191" s="849"/>
      <c r="D191" s="105"/>
      <c r="E191" s="105"/>
      <c r="F191" s="105"/>
      <c r="G191" s="105"/>
      <c r="H191" s="105"/>
      <c r="I191" s="482"/>
      <c r="J191" s="115"/>
      <c r="K191" s="115"/>
      <c r="L191" s="105"/>
      <c r="M191" s="959"/>
      <c r="N191" s="106"/>
      <c r="O191" s="106"/>
      <c r="P191" s="106"/>
      <c r="Q191" s="109"/>
      <c r="R191" s="106"/>
      <c r="S191" s="960"/>
      <c r="T191" s="323"/>
      <c r="U191" s="106"/>
      <c r="V191" s="284">
        <f>Table62689345[[#This Row],[Offer Value]]-Table62689345[[#This Row],[PO Value]]</f>
        <v>0</v>
      </c>
      <c r="W191" s="106"/>
      <c r="X191" s="106"/>
      <c r="Y191" s="200"/>
      <c r="Z191" s="257"/>
      <c r="AA191" s="7"/>
    </row>
    <row r="192" spans="1:27" ht="15.6">
      <c r="A192" s="106"/>
      <c r="B192" s="107"/>
      <c r="C192" s="849"/>
      <c r="D192" s="105"/>
      <c r="E192" s="105"/>
      <c r="F192" s="105"/>
      <c r="G192" s="105"/>
      <c r="H192" s="105"/>
      <c r="I192" s="482"/>
      <c r="J192" s="115"/>
      <c r="K192" s="115"/>
      <c r="L192" s="105"/>
      <c r="M192" s="959"/>
      <c r="N192" s="106"/>
      <c r="O192" s="106"/>
      <c r="P192" s="106"/>
      <c r="Q192" s="109"/>
      <c r="R192" s="107"/>
      <c r="S192" s="960"/>
      <c r="T192" s="323"/>
      <c r="U192" s="106"/>
      <c r="V192" s="284">
        <f>Table62689345[[#This Row],[Offer Value]]-Table62689345[[#This Row],[PO Value]]</f>
        <v>0</v>
      </c>
      <c r="W192" s="106"/>
      <c r="X192" s="106"/>
      <c r="Y192" s="486"/>
      <c r="Z192" s="257"/>
      <c r="AA192" s="7"/>
    </row>
    <row r="193" spans="1:27" ht="15.6">
      <c r="A193" s="106"/>
      <c r="B193" s="107"/>
      <c r="C193" s="849"/>
      <c r="D193" s="105"/>
      <c r="E193" s="105"/>
      <c r="F193" s="105"/>
      <c r="G193" s="105"/>
      <c r="H193" s="105"/>
      <c r="I193" s="482"/>
      <c r="J193" s="115"/>
      <c r="K193" s="115"/>
      <c r="L193" s="105"/>
      <c r="M193" s="959"/>
      <c r="N193" s="106"/>
      <c r="O193" s="106"/>
      <c r="P193" s="106"/>
      <c r="Q193" s="109"/>
      <c r="R193" s="106"/>
      <c r="S193" s="960"/>
      <c r="T193" s="323"/>
      <c r="U193" s="106"/>
      <c r="V193" s="284">
        <f>Table62689345[[#This Row],[Offer Value]]-Table62689345[[#This Row],[PO Value]]</f>
        <v>0</v>
      </c>
      <c r="W193" s="106"/>
      <c r="X193" s="106"/>
      <c r="Y193" s="200"/>
      <c r="Z193" s="257"/>
      <c r="AA193" s="7"/>
    </row>
    <row r="194" spans="1:27" ht="15.6">
      <c r="A194" s="106"/>
      <c r="B194" s="107"/>
      <c r="C194" s="849"/>
      <c r="D194" s="105"/>
      <c r="E194" s="105"/>
      <c r="F194" s="105"/>
      <c r="G194" s="105"/>
      <c r="H194" s="105"/>
      <c r="I194" s="482"/>
      <c r="J194" s="115"/>
      <c r="K194" s="115"/>
      <c r="L194" s="105"/>
      <c r="M194" s="959"/>
      <c r="N194" s="106"/>
      <c r="O194" s="106"/>
      <c r="P194" s="106"/>
      <c r="Q194" s="109"/>
      <c r="R194" s="106"/>
      <c r="S194" s="960"/>
      <c r="T194" s="323"/>
      <c r="U194" s="106"/>
      <c r="V194" s="284">
        <f>Table62689345[[#This Row],[Offer Value]]-Table62689345[[#This Row],[PO Value]]</f>
        <v>0</v>
      </c>
      <c r="W194" s="106"/>
      <c r="X194" s="106"/>
      <c r="Y194" s="200"/>
      <c r="Z194" s="257"/>
      <c r="AA194" s="7"/>
    </row>
    <row r="195" spans="1:27" ht="15.6">
      <c r="A195" s="106"/>
      <c r="B195" s="107"/>
      <c r="C195" s="849"/>
      <c r="D195" s="105"/>
      <c r="E195" s="105"/>
      <c r="F195" s="105"/>
      <c r="G195" s="105"/>
      <c r="H195" s="105"/>
      <c r="I195" s="482"/>
      <c r="J195" s="115"/>
      <c r="K195" s="115"/>
      <c r="L195" s="105"/>
      <c r="M195" s="959"/>
      <c r="N195" s="106"/>
      <c r="O195" s="106"/>
      <c r="P195" s="106"/>
      <c r="Q195" s="109"/>
      <c r="R195" s="106"/>
      <c r="S195" s="960"/>
      <c r="T195" s="323"/>
      <c r="U195" s="106"/>
      <c r="V195" s="284">
        <f>Table62689345[[#This Row],[Offer Value]]-Table62689345[[#This Row],[PO Value]]</f>
        <v>0</v>
      </c>
      <c r="W195" s="106"/>
      <c r="X195" s="106"/>
      <c r="Y195" s="200"/>
      <c r="Z195" s="257"/>
      <c r="AA195" s="7"/>
    </row>
    <row r="196" spans="1:27" ht="15.6">
      <c r="A196" s="106"/>
      <c r="B196" s="107"/>
      <c r="C196" s="849"/>
      <c r="D196" s="105"/>
      <c r="E196" s="105"/>
      <c r="F196" s="105"/>
      <c r="G196" s="105"/>
      <c r="H196" s="105"/>
      <c r="I196" s="482"/>
      <c r="J196" s="115"/>
      <c r="K196" s="115"/>
      <c r="L196" s="105"/>
      <c r="M196" s="959"/>
      <c r="N196" s="106"/>
      <c r="O196" s="106"/>
      <c r="P196" s="106"/>
      <c r="Q196" s="109"/>
      <c r="R196" s="106"/>
      <c r="S196" s="960"/>
      <c r="T196" s="323"/>
      <c r="U196" s="106"/>
      <c r="V196" s="284">
        <f>Table62689345[[#This Row],[Offer Value]]-Table62689345[[#This Row],[PO Value]]</f>
        <v>0</v>
      </c>
      <c r="W196" s="106"/>
      <c r="X196" s="106"/>
      <c r="Y196" s="200"/>
      <c r="Z196" s="257"/>
      <c r="AA196" s="7"/>
    </row>
    <row r="197" spans="1:27" ht="15.6">
      <c r="A197" s="106"/>
      <c r="B197" s="107"/>
      <c r="C197" s="849"/>
      <c r="D197" s="105"/>
      <c r="E197" s="105"/>
      <c r="F197" s="105"/>
      <c r="G197" s="105"/>
      <c r="H197" s="105"/>
      <c r="I197" s="482"/>
      <c r="J197" s="115"/>
      <c r="K197" s="115"/>
      <c r="L197" s="105"/>
      <c r="M197" s="959"/>
      <c r="N197" s="106"/>
      <c r="O197" s="106"/>
      <c r="P197" s="106"/>
      <c r="Q197" s="109"/>
      <c r="R197" s="107"/>
      <c r="S197" s="960"/>
      <c r="T197" s="323"/>
      <c r="U197" s="106"/>
      <c r="V197" s="284">
        <f>Table62689345[[#This Row],[Offer Value]]-Table62689345[[#This Row],[PO Value]]</f>
        <v>0</v>
      </c>
      <c r="W197" s="106"/>
      <c r="X197" s="106"/>
      <c r="Y197" s="486"/>
      <c r="Z197" s="257"/>
      <c r="AA197" s="7"/>
    </row>
    <row r="198" spans="1:27" ht="15.6">
      <c r="A198" s="106"/>
      <c r="B198" s="107"/>
      <c r="C198" s="849"/>
      <c r="D198" s="105"/>
      <c r="E198" s="105"/>
      <c r="F198" s="105"/>
      <c r="G198" s="105"/>
      <c r="H198" s="105"/>
      <c r="I198" s="482"/>
      <c r="J198" s="115"/>
      <c r="K198" s="115"/>
      <c r="L198" s="105"/>
      <c r="M198" s="959"/>
      <c r="N198" s="106"/>
      <c r="O198" s="106"/>
      <c r="P198" s="106"/>
      <c r="Q198" s="109"/>
      <c r="R198" s="106"/>
      <c r="S198" s="960"/>
      <c r="T198" s="323"/>
      <c r="U198" s="106"/>
      <c r="V198" s="284">
        <f>Table62689345[[#This Row],[Offer Value]]-Table62689345[[#This Row],[PO Value]]</f>
        <v>0</v>
      </c>
      <c r="W198" s="106"/>
      <c r="X198" s="106"/>
      <c r="Y198" s="200"/>
      <c r="Z198" s="257"/>
      <c r="AA198" s="7"/>
    </row>
    <row r="199" spans="1:27" ht="15.6">
      <c r="A199" s="106"/>
      <c r="B199" s="107"/>
      <c r="C199" s="849"/>
      <c r="D199" s="105"/>
      <c r="E199" s="105"/>
      <c r="F199" s="105"/>
      <c r="G199" s="105"/>
      <c r="H199" s="105"/>
      <c r="I199" s="482"/>
      <c r="J199" s="115"/>
      <c r="K199" s="115"/>
      <c r="L199" s="105"/>
      <c r="M199" s="959"/>
      <c r="N199" s="106"/>
      <c r="O199" s="106"/>
      <c r="P199" s="106"/>
      <c r="Q199" s="109"/>
      <c r="R199" s="106"/>
      <c r="S199" s="960"/>
      <c r="T199" s="323"/>
      <c r="U199" s="106"/>
      <c r="V199" s="284">
        <f>Table62689345[[#This Row],[Offer Value]]-Table62689345[[#This Row],[PO Value]]</f>
        <v>0</v>
      </c>
      <c r="W199" s="106"/>
      <c r="X199" s="106"/>
      <c r="Y199" s="200"/>
      <c r="Z199" s="257"/>
      <c r="AA199" s="7"/>
    </row>
    <row r="200" spans="1:27" ht="15.6">
      <c r="A200" s="106"/>
      <c r="B200" s="107"/>
      <c r="C200" s="849"/>
      <c r="D200" s="105"/>
      <c r="E200" s="105"/>
      <c r="F200" s="105"/>
      <c r="G200" s="105"/>
      <c r="H200" s="105"/>
      <c r="I200" s="482"/>
      <c r="J200" s="115"/>
      <c r="K200" s="115"/>
      <c r="L200" s="105"/>
      <c r="M200" s="959"/>
      <c r="N200" s="106"/>
      <c r="O200" s="106"/>
      <c r="P200" s="106"/>
      <c r="Q200" s="109"/>
      <c r="R200" s="106"/>
      <c r="S200" s="960"/>
      <c r="T200" s="323"/>
      <c r="U200" s="106"/>
      <c r="V200" s="284">
        <f>Table62689345[[#This Row],[Offer Value]]-Table62689345[[#This Row],[PO Value]]</f>
        <v>0</v>
      </c>
      <c r="W200" s="106"/>
      <c r="X200" s="106"/>
      <c r="Y200" s="200"/>
      <c r="Z200" s="257"/>
      <c r="AA200" s="7"/>
    </row>
    <row r="201" spans="1:27" ht="15.6">
      <c r="A201" s="106"/>
      <c r="B201" s="107"/>
      <c r="C201" s="849"/>
      <c r="D201" s="105"/>
      <c r="E201" s="105"/>
      <c r="F201" s="105"/>
      <c r="G201" s="105"/>
      <c r="H201" s="105"/>
      <c r="I201" s="482"/>
      <c r="J201" s="115"/>
      <c r="K201" s="115"/>
      <c r="L201" s="105"/>
      <c r="M201" s="959"/>
      <c r="N201" s="106"/>
      <c r="O201" s="106"/>
      <c r="P201" s="106"/>
      <c r="Q201" s="109"/>
      <c r="R201" s="107"/>
      <c r="S201" s="960"/>
      <c r="T201" s="323"/>
      <c r="U201" s="106"/>
      <c r="V201" s="284">
        <f>Table62689345[[#This Row],[Offer Value]]-Table62689345[[#This Row],[PO Value]]</f>
        <v>0</v>
      </c>
      <c r="W201" s="106"/>
      <c r="X201" s="106"/>
      <c r="Y201" s="486"/>
      <c r="Z201" s="257"/>
      <c r="AA201" s="7"/>
    </row>
    <row r="202" spans="1:27" ht="15.6">
      <c r="A202" s="106"/>
      <c r="B202" s="107"/>
      <c r="C202" s="849"/>
      <c r="D202" s="105"/>
      <c r="E202" s="105"/>
      <c r="F202" s="105"/>
      <c r="G202" s="105"/>
      <c r="H202" s="105"/>
      <c r="I202" s="482"/>
      <c r="J202" s="115"/>
      <c r="K202" s="115"/>
      <c r="L202" s="105"/>
      <c r="M202" s="959"/>
      <c r="N202" s="106"/>
      <c r="O202" s="106"/>
      <c r="P202" s="106"/>
      <c r="Q202" s="109"/>
      <c r="R202" s="107"/>
      <c r="S202" s="960"/>
      <c r="T202" s="323"/>
      <c r="U202" s="106"/>
      <c r="V202" s="284">
        <f>Table62689345[[#This Row],[Offer Value]]-Table62689345[[#This Row],[PO Value]]</f>
        <v>0</v>
      </c>
      <c r="W202" s="106"/>
      <c r="X202" s="106"/>
      <c r="Y202" s="486"/>
      <c r="Z202" s="257"/>
      <c r="AA202" s="7"/>
    </row>
    <row r="203" spans="1:27" ht="15.6">
      <c r="A203" s="106"/>
      <c r="B203" s="107"/>
      <c r="C203" s="849"/>
      <c r="D203" s="105"/>
      <c r="E203" s="105"/>
      <c r="F203" s="105"/>
      <c r="G203" s="105"/>
      <c r="H203" s="105"/>
      <c r="I203" s="482"/>
      <c r="J203" s="115"/>
      <c r="K203" s="115"/>
      <c r="L203" s="105"/>
      <c r="M203" s="959"/>
      <c r="N203" s="106"/>
      <c r="O203" s="106"/>
      <c r="P203" s="106"/>
      <c r="Q203" s="109"/>
      <c r="R203" s="106"/>
      <c r="S203" s="960"/>
      <c r="T203" s="323"/>
      <c r="U203" s="106"/>
      <c r="V203" s="284">
        <f>Table62689345[[#This Row],[Offer Value]]-Table62689345[[#This Row],[PO Value]]</f>
        <v>0</v>
      </c>
      <c r="W203" s="106"/>
      <c r="X203" s="106"/>
      <c r="Y203" s="200"/>
      <c r="Z203" s="257"/>
      <c r="AA203" s="7"/>
    </row>
    <row r="204" spans="1:27" ht="15.6">
      <c r="A204" s="106"/>
      <c r="B204" s="107"/>
      <c r="C204" s="849"/>
      <c r="D204" s="105"/>
      <c r="E204" s="105"/>
      <c r="F204" s="105"/>
      <c r="G204" s="105"/>
      <c r="H204" s="105"/>
      <c r="I204" s="482"/>
      <c r="J204" s="115"/>
      <c r="K204" s="115"/>
      <c r="L204" s="105"/>
      <c r="M204" s="959"/>
      <c r="N204" s="106"/>
      <c r="O204" s="106"/>
      <c r="P204" s="106"/>
      <c r="Q204" s="109"/>
      <c r="R204" s="106"/>
      <c r="S204" s="960"/>
      <c r="T204" s="323"/>
      <c r="U204" s="106"/>
      <c r="V204" s="284">
        <f>Table62689345[[#This Row],[Offer Value]]-Table62689345[[#This Row],[PO Value]]</f>
        <v>0</v>
      </c>
      <c r="W204" s="106"/>
      <c r="X204" s="106"/>
      <c r="Y204" s="200"/>
      <c r="Z204" s="257"/>
      <c r="AA204" s="7"/>
    </row>
    <row r="205" spans="1:27" ht="15.6">
      <c r="A205" s="106"/>
      <c r="B205" s="107"/>
      <c r="C205" s="849"/>
      <c r="D205" s="105"/>
      <c r="E205" s="105"/>
      <c r="F205" s="105"/>
      <c r="G205" s="105"/>
      <c r="H205" s="105"/>
      <c r="I205" s="482"/>
      <c r="J205" s="115"/>
      <c r="K205" s="115"/>
      <c r="L205" s="105"/>
      <c r="M205" s="959"/>
      <c r="N205" s="106"/>
      <c r="O205" s="106"/>
      <c r="P205" s="106"/>
      <c r="Q205" s="109"/>
      <c r="R205" s="106"/>
      <c r="S205" s="960"/>
      <c r="T205" s="323"/>
      <c r="U205" s="106"/>
      <c r="V205" s="284">
        <f>Table62689345[[#This Row],[Offer Value]]-Table62689345[[#This Row],[PO Value]]</f>
        <v>0</v>
      </c>
      <c r="W205" s="106"/>
      <c r="X205" s="106"/>
      <c r="Y205" s="200"/>
      <c r="Z205" s="257"/>
      <c r="AA205" s="7"/>
    </row>
    <row r="206" spans="1:27" ht="15.6">
      <c r="A206" s="106"/>
      <c r="B206" s="107"/>
      <c r="C206" s="849"/>
      <c r="D206" s="105"/>
      <c r="E206" s="105"/>
      <c r="F206" s="105"/>
      <c r="G206" s="105"/>
      <c r="H206" s="105"/>
      <c r="I206" s="482"/>
      <c r="J206" s="115"/>
      <c r="K206" s="115"/>
      <c r="L206" s="105"/>
      <c r="M206" s="959"/>
      <c r="N206" s="106"/>
      <c r="O206" s="106"/>
      <c r="P206" s="106"/>
      <c r="Q206" s="109"/>
      <c r="R206" s="107"/>
      <c r="S206" s="960"/>
      <c r="T206" s="323"/>
      <c r="U206" s="106"/>
      <c r="V206" s="284">
        <f>Table62689345[[#This Row],[Offer Value]]-Table62689345[[#This Row],[PO Value]]</f>
        <v>0</v>
      </c>
      <c r="W206" s="106"/>
      <c r="X206" s="106"/>
      <c r="Y206" s="486"/>
      <c r="Z206" s="257"/>
      <c r="AA206" s="7"/>
    </row>
    <row r="207" spans="1:27" ht="15.6">
      <c r="A207" s="106"/>
      <c r="B207" s="107"/>
      <c r="C207" s="849"/>
      <c r="D207" s="105"/>
      <c r="E207" s="105"/>
      <c r="F207" s="105"/>
      <c r="G207" s="105"/>
      <c r="H207" s="105"/>
      <c r="I207" s="482"/>
      <c r="J207" s="115"/>
      <c r="K207" s="115"/>
      <c r="L207" s="105"/>
      <c r="M207" s="959"/>
      <c r="N207" s="106"/>
      <c r="O207" s="106"/>
      <c r="P207" s="106"/>
      <c r="Q207" s="109"/>
      <c r="R207" s="106"/>
      <c r="S207" s="960"/>
      <c r="T207" s="323"/>
      <c r="U207" s="106"/>
      <c r="V207" s="284">
        <f>Table62689345[[#This Row],[Offer Value]]-Table62689345[[#This Row],[PO Value]]</f>
        <v>0</v>
      </c>
      <c r="W207" s="106"/>
      <c r="X207" s="106"/>
      <c r="Y207" s="200"/>
      <c r="Z207" s="257"/>
      <c r="AA207" s="7"/>
    </row>
    <row r="208" spans="1:27" ht="15.6">
      <c r="A208" s="106"/>
      <c r="B208" s="107"/>
      <c r="C208" s="849"/>
      <c r="D208" s="105"/>
      <c r="E208" s="105"/>
      <c r="F208" s="105"/>
      <c r="G208" s="105"/>
      <c r="H208" s="105"/>
      <c r="I208" s="482"/>
      <c r="J208" s="115"/>
      <c r="K208" s="115"/>
      <c r="L208" s="105"/>
      <c r="M208" s="959"/>
      <c r="N208" s="106"/>
      <c r="O208" s="106"/>
      <c r="P208" s="106"/>
      <c r="Q208" s="109"/>
      <c r="R208" s="107"/>
      <c r="S208" s="960"/>
      <c r="T208" s="323"/>
      <c r="U208" s="106"/>
      <c r="V208" s="284">
        <f>Table62689345[[#This Row],[Offer Value]]-Table62689345[[#This Row],[PO Value]]</f>
        <v>0</v>
      </c>
      <c r="W208" s="106"/>
      <c r="X208" s="106"/>
      <c r="Y208" s="486"/>
      <c r="Z208" s="257"/>
      <c r="AA208" s="7"/>
    </row>
    <row r="209" spans="1:27" ht="15.6">
      <c r="A209" s="106"/>
      <c r="B209" s="107"/>
      <c r="C209" s="849"/>
      <c r="D209" s="105"/>
      <c r="E209" s="105"/>
      <c r="F209" s="105"/>
      <c r="G209" s="105"/>
      <c r="H209" s="105"/>
      <c r="I209" s="482"/>
      <c r="J209" s="115"/>
      <c r="K209" s="115"/>
      <c r="L209" s="105"/>
      <c r="M209" s="959"/>
      <c r="N209" s="106"/>
      <c r="O209" s="106"/>
      <c r="P209" s="106"/>
      <c r="Q209" s="109"/>
      <c r="R209" s="106"/>
      <c r="S209" s="960"/>
      <c r="T209" s="323"/>
      <c r="U209" s="106"/>
      <c r="V209" s="284">
        <f>Table62689345[[#This Row],[Offer Value]]-Table62689345[[#This Row],[PO Value]]</f>
        <v>0</v>
      </c>
      <c r="W209" s="110"/>
      <c r="X209" s="110"/>
      <c r="Y209" s="200"/>
      <c r="Z209" s="353"/>
      <c r="AA209" s="7"/>
    </row>
    <row r="210" spans="1:27" ht="15.6">
      <c r="A210" s="106"/>
      <c r="B210" s="107"/>
      <c r="C210" s="849"/>
      <c r="D210" s="105"/>
      <c r="E210" s="105"/>
      <c r="F210" s="105"/>
      <c r="G210" s="105"/>
      <c r="H210" s="105"/>
      <c r="I210" s="482"/>
      <c r="J210" s="115"/>
      <c r="K210" s="115"/>
      <c r="L210" s="105"/>
      <c r="M210" s="959"/>
      <c r="N210" s="106"/>
      <c r="O210" s="106"/>
      <c r="P210" s="106"/>
      <c r="Q210" s="109"/>
      <c r="R210" s="106"/>
      <c r="S210" s="960"/>
      <c r="T210" s="323"/>
      <c r="U210" s="106"/>
      <c r="V210" s="284">
        <f>Table62689345[[#This Row],[Offer Value]]-Table62689345[[#This Row],[PO Value]]</f>
        <v>0</v>
      </c>
      <c r="W210" s="106"/>
      <c r="X210" s="106"/>
      <c r="Y210" s="200"/>
      <c r="Z210" s="257"/>
      <c r="AA210" s="7"/>
    </row>
    <row r="211" spans="1:27" ht="15.6">
      <c r="A211" s="106"/>
      <c r="B211" s="107"/>
      <c r="C211" s="849"/>
      <c r="D211" s="105"/>
      <c r="E211" s="105"/>
      <c r="F211" s="105"/>
      <c r="G211" s="105"/>
      <c r="H211" s="105"/>
      <c r="I211" s="482"/>
      <c r="J211" s="115"/>
      <c r="K211" s="115"/>
      <c r="L211" s="105"/>
      <c r="M211" s="959"/>
      <c r="N211" s="106"/>
      <c r="O211" s="106"/>
      <c r="P211" s="106"/>
      <c r="Q211" s="109"/>
      <c r="R211" s="106"/>
      <c r="S211" s="960"/>
      <c r="T211" s="323"/>
      <c r="U211" s="106"/>
      <c r="V211" s="284">
        <f>Table62689345[[#This Row],[Offer Value]]-Table62689345[[#This Row],[PO Value]]</f>
        <v>0</v>
      </c>
      <c r="W211" s="106"/>
      <c r="X211" s="106"/>
      <c r="Y211" s="200"/>
      <c r="Z211" s="257"/>
      <c r="AA211" s="7"/>
    </row>
    <row r="212" spans="1:27" ht="15.6">
      <c r="A212" s="106"/>
      <c r="B212" s="107"/>
      <c r="C212" s="849"/>
      <c r="D212" s="105"/>
      <c r="E212" s="105"/>
      <c r="F212" s="105"/>
      <c r="G212" s="105"/>
      <c r="H212" s="105"/>
      <c r="I212" s="482"/>
      <c r="J212" s="115"/>
      <c r="K212" s="115"/>
      <c r="L212" s="105"/>
      <c r="M212" s="959"/>
      <c r="N212" s="106"/>
      <c r="O212" s="106"/>
      <c r="P212" s="106"/>
      <c r="Q212" s="109"/>
      <c r="R212" s="107"/>
      <c r="S212" s="960"/>
      <c r="T212" s="323"/>
      <c r="U212" s="106"/>
      <c r="V212" s="284">
        <f>Table62689345[[#This Row],[Offer Value]]-Table62689345[[#This Row],[PO Value]]</f>
        <v>0</v>
      </c>
      <c r="W212" s="106"/>
      <c r="X212" s="106"/>
      <c r="Y212" s="486"/>
      <c r="Z212" s="257"/>
      <c r="AA212" s="7"/>
    </row>
    <row r="213" spans="1:27" ht="15.6">
      <c r="A213" s="106"/>
      <c r="B213" s="107"/>
      <c r="C213" s="849"/>
      <c r="D213" s="105"/>
      <c r="E213" s="105"/>
      <c r="F213" s="105"/>
      <c r="G213" s="105"/>
      <c r="H213" s="105"/>
      <c r="I213" s="482"/>
      <c r="J213" s="115"/>
      <c r="K213" s="115"/>
      <c r="L213" s="105"/>
      <c r="M213" s="959"/>
      <c r="N213" s="106"/>
      <c r="O213" s="106"/>
      <c r="P213" s="106"/>
      <c r="Q213" s="109"/>
      <c r="R213" s="106"/>
      <c r="S213" s="960"/>
      <c r="T213" s="323"/>
      <c r="U213" s="106"/>
      <c r="V213" s="284">
        <f>Table62689345[[#This Row],[Offer Value]]-Table62689345[[#This Row],[PO Value]]</f>
        <v>0</v>
      </c>
      <c r="W213" s="106"/>
      <c r="X213" s="106"/>
      <c r="Y213" s="200"/>
      <c r="Z213" s="257"/>
      <c r="AA213" s="7"/>
    </row>
    <row r="214" spans="1:27" ht="15.6">
      <c r="A214" s="106"/>
      <c r="B214" s="107"/>
      <c r="C214" s="849"/>
      <c r="D214" s="105"/>
      <c r="E214" s="105"/>
      <c r="F214" s="105"/>
      <c r="G214" s="105"/>
      <c r="H214" s="105"/>
      <c r="I214" s="482"/>
      <c r="J214" s="115"/>
      <c r="K214" s="115"/>
      <c r="L214" s="105"/>
      <c r="M214" s="959"/>
      <c r="N214" s="106"/>
      <c r="O214" s="106"/>
      <c r="P214" s="106"/>
      <c r="Q214" s="109"/>
      <c r="R214" s="106"/>
      <c r="S214" s="960"/>
      <c r="T214" s="323"/>
      <c r="U214" s="106"/>
      <c r="V214" s="284">
        <f>Table62689345[[#This Row],[Offer Value]]-Table62689345[[#This Row],[PO Value]]</f>
        <v>0</v>
      </c>
      <c r="W214" s="106"/>
      <c r="X214" s="106"/>
      <c r="Y214" s="200"/>
      <c r="Z214" s="257"/>
      <c r="AA214" s="7"/>
    </row>
    <row r="215" spans="1:27" ht="15.6">
      <c r="A215" s="106"/>
      <c r="B215" s="107"/>
      <c r="C215" s="849"/>
      <c r="D215" s="105"/>
      <c r="E215" s="105"/>
      <c r="F215" s="105"/>
      <c r="G215" s="105"/>
      <c r="H215" s="105"/>
      <c r="I215" s="482"/>
      <c r="J215" s="115"/>
      <c r="K215" s="115"/>
      <c r="L215" s="105"/>
      <c r="M215" s="959"/>
      <c r="N215" s="106"/>
      <c r="O215" s="106"/>
      <c r="P215" s="106"/>
      <c r="Q215" s="109"/>
      <c r="R215" s="106"/>
      <c r="S215" s="960"/>
      <c r="T215" s="323"/>
      <c r="U215" s="106"/>
      <c r="V215" s="284">
        <f>Table62689345[[#This Row],[Offer Value]]-Table62689345[[#This Row],[PO Value]]</f>
        <v>0</v>
      </c>
      <c r="W215" s="106"/>
      <c r="X215" s="106"/>
      <c r="Y215" s="200"/>
      <c r="Z215" s="257"/>
      <c r="AA215" s="7"/>
    </row>
    <row r="216" spans="1:27" ht="15.6">
      <c r="A216" s="106"/>
      <c r="B216" s="107"/>
      <c r="C216" s="849"/>
      <c r="D216" s="105"/>
      <c r="E216" s="105"/>
      <c r="F216" s="105"/>
      <c r="G216" s="105"/>
      <c r="H216" s="105"/>
      <c r="I216" s="482"/>
      <c r="J216" s="115"/>
      <c r="K216" s="115"/>
      <c r="L216" s="105"/>
      <c r="M216" s="959"/>
      <c r="N216" s="106"/>
      <c r="O216" s="106"/>
      <c r="P216" s="106"/>
      <c r="Q216" s="109"/>
      <c r="R216" s="106"/>
      <c r="S216" s="960"/>
      <c r="T216" s="323"/>
      <c r="U216" s="106"/>
      <c r="V216" s="284">
        <f>Table62689345[[#This Row],[Offer Value]]-Table62689345[[#This Row],[PO Value]]</f>
        <v>0</v>
      </c>
      <c r="W216" s="106"/>
      <c r="X216" s="106"/>
      <c r="Y216" s="200"/>
      <c r="Z216" s="257"/>
      <c r="AA216" s="7"/>
    </row>
    <row r="217" spans="1:27" ht="15.6">
      <c r="A217" s="106"/>
      <c r="B217" s="107"/>
      <c r="C217" s="849"/>
      <c r="D217" s="105"/>
      <c r="E217" s="105"/>
      <c r="F217" s="105"/>
      <c r="G217" s="105"/>
      <c r="H217" s="105"/>
      <c r="I217" s="482"/>
      <c r="J217" s="115"/>
      <c r="K217" s="115"/>
      <c r="L217" s="105"/>
      <c r="M217" s="959"/>
      <c r="N217" s="106"/>
      <c r="O217" s="106"/>
      <c r="P217" s="106"/>
      <c r="Q217" s="109"/>
      <c r="R217" s="107"/>
      <c r="S217" s="960"/>
      <c r="T217" s="323"/>
      <c r="U217" s="106"/>
      <c r="V217" s="284">
        <f>Table62689345[[#This Row],[Offer Value]]-Table62689345[[#This Row],[PO Value]]</f>
        <v>0</v>
      </c>
      <c r="W217" s="106"/>
      <c r="X217" s="106"/>
      <c r="Y217" s="486"/>
      <c r="Z217" s="257"/>
      <c r="AA217" s="7"/>
    </row>
    <row r="218" spans="1:27" ht="15.6">
      <c r="A218" s="106"/>
      <c r="B218" s="107"/>
      <c r="C218" s="849"/>
      <c r="D218" s="105"/>
      <c r="E218" s="105"/>
      <c r="F218" s="105"/>
      <c r="G218" s="105"/>
      <c r="H218" s="105"/>
      <c r="I218" s="482"/>
      <c r="J218" s="115"/>
      <c r="K218" s="115"/>
      <c r="L218" s="105"/>
      <c r="M218" s="959"/>
      <c r="N218" s="106"/>
      <c r="O218" s="106"/>
      <c r="P218" s="106"/>
      <c r="Q218" s="109"/>
      <c r="R218" s="106"/>
      <c r="S218" s="960"/>
      <c r="T218" s="323"/>
      <c r="U218" s="106"/>
      <c r="V218" s="284">
        <f>Table62689345[[#This Row],[Offer Value]]-Table62689345[[#This Row],[PO Value]]</f>
        <v>0</v>
      </c>
      <c r="W218" s="106"/>
      <c r="X218" s="106"/>
      <c r="Y218" s="200"/>
      <c r="Z218" s="257"/>
      <c r="AA218" s="7"/>
    </row>
    <row r="219" spans="1:27" ht="15.6">
      <c r="A219" s="106"/>
      <c r="B219" s="107"/>
      <c r="C219" s="849"/>
      <c r="D219" s="105"/>
      <c r="E219" s="105"/>
      <c r="F219" s="105"/>
      <c r="G219" s="105"/>
      <c r="H219" s="105"/>
      <c r="I219" s="482"/>
      <c r="J219" s="115"/>
      <c r="K219" s="115"/>
      <c r="L219" s="105"/>
      <c r="M219" s="959"/>
      <c r="N219" s="106"/>
      <c r="O219" s="106"/>
      <c r="P219" s="106"/>
      <c r="Q219" s="109"/>
      <c r="R219" s="106"/>
      <c r="S219" s="960"/>
      <c r="T219" s="323"/>
      <c r="U219" s="106"/>
      <c r="V219" s="284">
        <f>Table62689345[[#This Row],[Offer Value]]-Table62689345[[#This Row],[PO Value]]</f>
        <v>0</v>
      </c>
      <c r="W219" s="106"/>
      <c r="X219" s="106"/>
      <c r="Y219" s="200"/>
      <c r="Z219" s="257"/>
      <c r="AA219" s="7"/>
    </row>
    <row r="220" spans="1:27" ht="15.6">
      <c r="A220" s="106"/>
      <c r="B220" s="107"/>
      <c r="C220" s="849"/>
      <c r="D220" s="105"/>
      <c r="E220" s="105"/>
      <c r="F220" s="105"/>
      <c r="G220" s="105"/>
      <c r="H220" s="105"/>
      <c r="I220" s="482"/>
      <c r="J220" s="115"/>
      <c r="K220" s="115"/>
      <c r="L220" s="105"/>
      <c r="M220" s="959"/>
      <c r="N220" s="106"/>
      <c r="O220" s="106"/>
      <c r="P220" s="106"/>
      <c r="Q220" s="109"/>
      <c r="R220" s="107"/>
      <c r="S220" s="960"/>
      <c r="T220" s="323"/>
      <c r="U220" s="106"/>
      <c r="V220" s="284">
        <f>Table62689345[[#This Row],[Offer Value]]-Table62689345[[#This Row],[PO Value]]</f>
        <v>0</v>
      </c>
      <c r="W220" s="106"/>
      <c r="X220" s="106"/>
      <c r="Y220" s="486"/>
      <c r="Z220" s="257"/>
      <c r="AA220" s="7"/>
    </row>
    <row r="221" spans="1:27" ht="15.6">
      <c r="A221" s="106"/>
      <c r="B221" s="107"/>
      <c r="C221" s="849"/>
      <c r="D221" s="105"/>
      <c r="E221" s="105"/>
      <c r="F221" s="105"/>
      <c r="G221" s="105"/>
      <c r="H221" s="105"/>
      <c r="I221" s="482"/>
      <c r="J221" s="115"/>
      <c r="K221" s="115"/>
      <c r="L221" s="105"/>
      <c r="M221" s="959"/>
      <c r="N221" s="106"/>
      <c r="O221" s="106"/>
      <c r="P221" s="106"/>
      <c r="Q221" s="109"/>
      <c r="R221" s="107"/>
      <c r="S221" s="960"/>
      <c r="T221" s="323"/>
      <c r="U221" s="106"/>
      <c r="V221" s="284">
        <f>Table62689345[[#This Row],[Offer Value]]-Table62689345[[#This Row],[PO Value]]</f>
        <v>0</v>
      </c>
      <c r="W221" s="106"/>
      <c r="X221" s="106"/>
      <c r="Y221" s="486"/>
      <c r="Z221" s="257"/>
      <c r="AA221" s="7"/>
    </row>
    <row r="222" spans="1:27" ht="15.6">
      <c r="A222" s="106"/>
      <c r="B222" s="107"/>
      <c r="C222" s="849"/>
      <c r="D222" s="105"/>
      <c r="E222" s="105"/>
      <c r="F222" s="105"/>
      <c r="G222" s="105"/>
      <c r="H222" s="105"/>
      <c r="I222" s="482"/>
      <c r="J222" s="115"/>
      <c r="K222" s="115"/>
      <c r="L222" s="105"/>
      <c r="M222" s="959"/>
      <c r="N222" s="106"/>
      <c r="O222" s="106"/>
      <c r="P222" s="106"/>
      <c r="Q222" s="109"/>
      <c r="R222" s="106"/>
      <c r="S222" s="960"/>
      <c r="T222" s="323"/>
      <c r="U222" s="106"/>
      <c r="V222" s="284">
        <f>Table62689345[[#This Row],[Offer Value]]-Table62689345[[#This Row],[PO Value]]</f>
        <v>0</v>
      </c>
      <c r="W222" s="106"/>
      <c r="X222" s="106"/>
      <c r="Y222" s="200"/>
      <c r="Z222" s="257"/>
      <c r="AA222" s="7"/>
    </row>
    <row r="223" spans="1:27" ht="15.6">
      <c r="A223" s="106"/>
      <c r="B223" s="107"/>
      <c r="C223" s="849"/>
      <c r="D223" s="105"/>
      <c r="E223" s="105"/>
      <c r="F223" s="105"/>
      <c r="G223" s="105"/>
      <c r="H223" s="105"/>
      <c r="I223" s="482"/>
      <c r="J223" s="115"/>
      <c r="K223" s="115"/>
      <c r="L223" s="105"/>
      <c r="M223" s="959"/>
      <c r="N223" s="106"/>
      <c r="O223" s="106"/>
      <c r="P223" s="106"/>
      <c r="Q223" s="109"/>
      <c r="R223" s="107"/>
      <c r="S223" s="960"/>
      <c r="T223" s="323"/>
      <c r="U223" s="106"/>
      <c r="V223" s="284">
        <f>Table62689345[[#This Row],[Offer Value]]-Table62689345[[#This Row],[PO Value]]</f>
        <v>0</v>
      </c>
      <c r="W223" s="106"/>
      <c r="X223" s="106"/>
      <c r="Y223" s="486"/>
      <c r="Z223" s="257"/>
      <c r="AA223" s="7"/>
    </row>
    <row r="224" spans="1:27" ht="15.6">
      <c r="A224" s="106"/>
      <c r="B224" s="107"/>
      <c r="C224" s="849"/>
      <c r="D224" s="105"/>
      <c r="E224" s="105"/>
      <c r="F224" s="105"/>
      <c r="G224" s="105"/>
      <c r="H224" s="105"/>
      <c r="I224" s="482"/>
      <c r="J224" s="115"/>
      <c r="K224" s="115"/>
      <c r="L224" s="105"/>
      <c r="M224" s="959"/>
      <c r="N224" s="106"/>
      <c r="O224" s="106"/>
      <c r="P224" s="106"/>
      <c r="Q224" s="109"/>
      <c r="R224" s="107"/>
      <c r="S224" s="960"/>
      <c r="T224" s="323"/>
      <c r="U224" s="106"/>
      <c r="V224" s="284">
        <f>Table62689345[[#This Row],[Offer Value]]-Table62689345[[#This Row],[PO Value]]</f>
        <v>0</v>
      </c>
      <c r="W224" s="106"/>
      <c r="X224" s="106"/>
      <c r="Y224" s="486"/>
      <c r="Z224" s="257"/>
      <c r="AA224" s="7"/>
    </row>
    <row r="225" spans="1:27" ht="15.6">
      <c r="A225" s="106"/>
      <c r="B225" s="107"/>
      <c r="C225" s="849"/>
      <c r="D225" s="105"/>
      <c r="E225" s="105"/>
      <c r="F225" s="105"/>
      <c r="G225" s="105"/>
      <c r="H225" s="105"/>
      <c r="I225" s="482"/>
      <c r="J225" s="115"/>
      <c r="K225" s="115"/>
      <c r="L225" s="105"/>
      <c r="M225" s="959"/>
      <c r="N225" s="106"/>
      <c r="O225" s="106"/>
      <c r="P225" s="106"/>
      <c r="Q225" s="109"/>
      <c r="R225" s="107"/>
      <c r="S225" s="960"/>
      <c r="T225" s="323"/>
      <c r="U225" s="106"/>
      <c r="V225" s="284">
        <f>Table62689345[[#This Row],[Offer Value]]-Table62689345[[#This Row],[PO Value]]</f>
        <v>0</v>
      </c>
      <c r="W225" s="106"/>
      <c r="X225" s="106"/>
      <c r="Y225" s="486"/>
      <c r="Z225" s="257"/>
      <c r="AA225" s="7"/>
    </row>
    <row r="226" spans="1:27" ht="15.6">
      <c r="A226" s="106"/>
      <c r="B226" s="107"/>
      <c r="C226" s="849"/>
      <c r="D226" s="105"/>
      <c r="E226" s="105"/>
      <c r="F226" s="105"/>
      <c r="G226" s="105"/>
      <c r="H226" s="105"/>
      <c r="I226" s="482"/>
      <c r="J226" s="115"/>
      <c r="K226" s="115"/>
      <c r="L226" s="105"/>
      <c r="M226" s="959"/>
      <c r="N226" s="106"/>
      <c r="O226" s="106"/>
      <c r="P226" s="106"/>
      <c r="Q226" s="109"/>
      <c r="R226" s="106"/>
      <c r="S226" s="960"/>
      <c r="T226" s="323"/>
      <c r="U226" s="106"/>
      <c r="V226" s="284">
        <f>Table62689345[[#This Row],[Offer Value]]-Table62689345[[#This Row],[PO Value]]</f>
        <v>0</v>
      </c>
      <c r="W226" s="106"/>
      <c r="X226" s="106"/>
      <c r="Y226" s="200"/>
      <c r="Z226" s="257"/>
      <c r="AA226" s="7"/>
    </row>
    <row r="227" spans="1:27" ht="15.6">
      <c r="A227" s="106"/>
      <c r="B227" s="107"/>
      <c r="C227" s="849"/>
      <c r="D227" s="105"/>
      <c r="E227" s="105"/>
      <c r="F227" s="105"/>
      <c r="G227" s="105"/>
      <c r="H227" s="105"/>
      <c r="I227" s="482"/>
      <c r="J227" s="115"/>
      <c r="K227" s="115"/>
      <c r="L227" s="105"/>
      <c r="M227" s="959"/>
      <c r="N227" s="106"/>
      <c r="O227" s="106"/>
      <c r="P227" s="106"/>
      <c r="Q227" s="109"/>
      <c r="R227" s="106"/>
      <c r="S227" s="960"/>
      <c r="T227" s="323"/>
      <c r="U227" s="106"/>
      <c r="V227" s="284">
        <f>Table62689345[[#This Row],[Offer Value]]-Table62689345[[#This Row],[PO Value]]</f>
        <v>0</v>
      </c>
      <c r="W227" s="106"/>
      <c r="X227" s="106"/>
      <c r="Y227" s="200"/>
      <c r="Z227" s="257"/>
      <c r="AA227" s="7"/>
    </row>
    <row r="228" spans="1:27" ht="15.6">
      <c r="A228" s="106"/>
      <c r="B228" s="107"/>
      <c r="C228" s="849"/>
      <c r="D228" s="105"/>
      <c r="E228" s="105"/>
      <c r="F228" s="105"/>
      <c r="G228" s="105"/>
      <c r="H228" s="105"/>
      <c r="I228" s="482"/>
      <c r="J228" s="115"/>
      <c r="K228" s="115"/>
      <c r="L228" s="105"/>
      <c r="M228" s="959"/>
      <c r="N228" s="106"/>
      <c r="O228" s="106"/>
      <c r="P228" s="106"/>
      <c r="Q228" s="109"/>
      <c r="R228" s="106"/>
      <c r="S228" s="960"/>
      <c r="T228" s="323"/>
      <c r="U228" s="106"/>
      <c r="V228" s="284">
        <f>Table62689345[[#This Row],[Offer Value]]-Table62689345[[#This Row],[PO Value]]</f>
        <v>0</v>
      </c>
      <c r="W228" s="106"/>
      <c r="X228" s="106"/>
      <c r="Y228" s="200"/>
      <c r="Z228" s="257"/>
      <c r="AA228" s="7"/>
    </row>
    <row r="229" spans="1:27" ht="15.6">
      <c r="A229" s="106"/>
      <c r="B229" s="107"/>
      <c r="C229" s="849"/>
      <c r="D229" s="105"/>
      <c r="E229" s="105"/>
      <c r="F229" s="105"/>
      <c r="G229" s="105"/>
      <c r="H229" s="105"/>
      <c r="I229" s="482"/>
      <c r="J229" s="115"/>
      <c r="K229" s="115"/>
      <c r="L229" s="105"/>
      <c r="M229" s="959"/>
      <c r="N229" s="106"/>
      <c r="O229" s="106"/>
      <c r="P229" s="106"/>
      <c r="Q229" s="109"/>
      <c r="R229" s="106"/>
      <c r="S229" s="960"/>
      <c r="T229" s="323"/>
      <c r="U229" s="106"/>
      <c r="V229" s="284">
        <f>Table62689345[[#This Row],[Offer Value]]-Table62689345[[#This Row],[PO Value]]</f>
        <v>0</v>
      </c>
      <c r="W229" s="106"/>
      <c r="X229" s="106"/>
      <c r="Y229" s="200"/>
      <c r="Z229" s="257"/>
      <c r="AA229" s="7"/>
    </row>
    <row r="230" spans="1:27" ht="15.6">
      <c r="A230" s="106"/>
      <c r="B230" s="107"/>
      <c r="C230" s="849"/>
      <c r="D230" s="105"/>
      <c r="E230" s="105"/>
      <c r="F230" s="105"/>
      <c r="G230" s="105"/>
      <c r="H230" s="105"/>
      <c r="I230" s="482"/>
      <c r="J230" s="115"/>
      <c r="K230" s="115"/>
      <c r="L230" s="105"/>
      <c r="M230" s="959"/>
      <c r="N230" s="106"/>
      <c r="O230" s="106"/>
      <c r="P230" s="106"/>
      <c r="Q230" s="109"/>
      <c r="R230" s="106"/>
      <c r="S230" s="960"/>
      <c r="T230" s="323"/>
      <c r="U230" s="106"/>
      <c r="V230" s="284">
        <f>Table62689345[[#This Row],[Offer Value]]-Table62689345[[#This Row],[PO Value]]</f>
        <v>0</v>
      </c>
      <c r="W230" s="106"/>
      <c r="X230" s="106"/>
      <c r="Y230" s="200"/>
      <c r="Z230" s="257"/>
      <c r="AA230" s="7"/>
    </row>
    <row r="231" spans="1:27" ht="15.6">
      <c r="A231" s="106"/>
      <c r="B231" s="107"/>
      <c r="C231" s="849"/>
      <c r="D231" s="105"/>
      <c r="E231" s="105"/>
      <c r="F231" s="105"/>
      <c r="G231" s="105"/>
      <c r="H231" s="105"/>
      <c r="I231" s="482"/>
      <c r="J231" s="115"/>
      <c r="K231" s="115"/>
      <c r="L231" s="105"/>
      <c r="M231" s="959"/>
      <c r="N231" s="106"/>
      <c r="O231" s="106"/>
      <c r="P231" s="106"/>
      <c r="Q231" s="109"/>
      <c r="R231" s="107"/>
      <c r="S231" s="960"/>
      <c r="T231" s="323"/>
      <c r="U231" s="106"/>
      <c r="V231" s="284">
        <f>Table62689345[[#This Row],[Offer Value]]-Table62689345[[#This Row],[PO Value]]</f>
        <v>0</v>
      </c>
      <c r="W231" s="106"/>
      <c r="X231" s="106"/>
      <c r="Y231" s="486"/>
      <c r="Z231" s="257"/>
      <c r="AA231" s="7"/>
    </row>
    <row r="232" spans="1:27" ht="15.6">
      <c r="A232" s="106"/>
      <c r="B232" s="107"/>
      <c r="C232" s="849"/>
      <c r="D232" s="105"/>
      <c r="E232" s="105"/>
      <c r="F232" s="105"/>
      <c r="G232" s="105"/>
      <c r="H232" s="105"/>
      <c r="I232" s="482"/>
      <c r="J232" s="115"/>
      <c r="K232" s="115"/>
      <c r="L232" s="105"/>
      <c r="M232" s="959"/>
      <c r="N232" s="106"/>
      <c r="O232" s="106"/>
      <c r="P232" s="106"/>
      <c r="Q232" s="109"/>
      <c r="R232" s="107"/>
      <c r="S232" s="960"/>
      <c r="T232" s="323"/>
      <c r="U232" s="106"/>
      <c r="V232" s="284">
        <f>Table62689345[[#This Row],[Offer Value]]-Table62689345[[#This Row],[PO Value]]</f>
        <v>0</v>
      </c>
      <c r="W232" s="106"/>
      <c r="X232" s="106"/>
      <c r="Y232" s="486"/>
      <c r="Z232" s="257"/>
      <c r="AA232" s="7"/>
    </row>
    <row r="233" spans="1:27" ht="15.6">
      <c r="A233" s="106"/>
      <c r="B233" s="107"/>
      <c r="C233" s="849"/>
      <c r="D233" s="105"/>
      <c r="E233" s="105"/>
      <c r="F233" s="105"/>
      <c r="G233" s="105"/>
      <c r="H233" s="105"/>
      <c r="I233" s="482"/>
      <c r="J233" s="105"/>
      <c r="K233" s="105"/>
      <c r="L233" s="115"/>
      <c r="M233" s="959"/>
      <c r="N233" s="106"/>
      <c r="O233" s="106"/>
      <c r="P233" s="106"/>
      <c r="Q233" s="109"/>
      <c r="R233" s="106"/>
      <c r="S233" s="960"/>
      <c r="T233" s="323"/>
      <c r="U233" s="106"/>
      <c r="V233" s="284">
        <f>Table62689345[[#This Row],[Offer Value]]-Table62689345[[#This Row],[PO Value]]</f>
        <v>0</v>
      </c>
      <c r="W233" s="106"/>
      <c r="X233" s="106"/>
      <c r="Y233" s="200"/>
      <c r="Z233" s="257"/>
      <c r="AA233" s="7"/>
    </row>
    <row r="234" spans="1:27" ht="15.6">
      <c r="A234" s="106"/>
      <c r="B234" s="107"/>
      <c r="C234" s="849"/>
      <c r="D234" s="105"/>
      <c r="E234" s="105"/>
      <c r="F234" s="105"/>
      <c r="G234" s="105"/>
      <c r="H234" s="105"/>
      <c r="I234" s="482"/>
      <c r="J234" s="115"/>
      <c r="K234" s="115"/>
      <c r="L234" s="105"/>
      <c r="M234" s="959"/>
      <c r="N234" s="106"/>
      <c r="O234" s="106"/>
      <c r="P234" s="106"/>
      <c r="Q234" s="109"/>
      <c r="R234" s="106"/>
      <c r="S234" s="960"/>
      <c r="T234" s="323"/>
      <c r="U234" s="106"/>
      <c r="V234" s="284">
        <f>Table62689345[[#This Row],[Offer Value]]-Table62689345[[#This Row],[PO Value]]</f>
        <v>0</v>
      </c>
      <c r="W234" s="106"/>
      <c r="X234" s="106"/>
      <c r="Y234" s="200"/>
      <c r="Z234" s="257"/>
      <c r="AA234" s="7"/>
    </row>
    <row r="235" spans="1:27" ht="15.6">
      <c r="A235" s="106"/>
      <c r="B235" s="107"/>
      <c r="C235" s="849"/>
      <c r="D235" s="105"/>
      <c r="E235" s="105"/>
      <c r="F235" s="105"/>
      <c r="G235" s="105"/>
      <c r="H235" s="105"/>
      <c r="I235" s="482"/>
      <c r="J235" s="105"/>
      <c r="K235" s="105"/>
      <c r="L235" s="115"/>
      <c r="M235" s="959"/>
      <c r="N235" s="106"/>
      <c r="O235" s="106"/>
      <c r="P235" s="106"/>
      <c r="Q235" s="109"/>
      <c r="R235" s="107"/>
      <c r="S235" s="960"/>
      <c r="T235" s="323"/>
      <c r="U235" s="106"/>
      <c r="V235" s="284">
        <f>Table62689345[[#This Row],[Offer Value]]-Table62689345[[#This Row],[PO Value]]</f>
        <v>0</v>
      </c>
      <c r="W235" s="106"/>
      <c r="X235" s="106"/>
      <c r="Y235" s="486"/>
      <c r="Z235" s="257"/>
      <c r="AA235" s="7"/>
    </row>
    <row r="236" spans="1:27" ht="15.6">
      <c r="A236" s="106"/>
      <c r="B236" s="107"/>
      <c r="C236" s="849"/>
      <c r="D236" s="105"/>
      <c r="E236" s="105"/>
      <c r="F236" s="105"/>
      <c r="G236" s="105"/>
      <c r="H236" s="105"/>
      <c r="I236" s="482"/>
      <c r="J236" s="115"/>
      <c r="K236" s="115"/>
      <c r="L236" s="105"/>
      <c r="M236" s="959"/>
      <c r="N236" s="106"/>
      <c r="O236" s="106"/>
      <c r="P236" s="106"/>
      <c r="Q236" s="109"/>
      <c r="R236" s="106"/>
      <c r="S236" s="960"/>
      <c r="T236" s="323"/>
      <c r="U236" s="106"/>
      <c r="V236" s="284">
        <f>Table62689345[[#This Row],[Offer Value]]-Table62689345[[#This Row],[PO Value]]</f>
        <v>0</v>
      </c>
      <c r="W236" s="106"/>
      <c r="X236" s="106"/>
      <c r="Y236" s="200"/>
      <c r="Z236" s="257"/>
      <c r="AA236" s="7"/>
    </row>
    <row r="237" spans="1:27" ht="15.6">
      <c r="A237" s="106"/>
      <c r="B237" s="107"/>
      <c r="C237" s="849"/>
      <c r="D237" s="105"/>
      <c r="E237" s="105"/>
      <c r="F237" s="105"/>
      <c r="G237" s="105"/>
      <c r="H237" s="105"/>
      <c r="I237" s="482"/>
      <c r="J237" s="115"/>
      <c r="K237" s="115"/>
      <c r="L237" s="105"/>
      <c r="M237" s="959"/>
      <c r="N237" s="106"/>
      <c r="O237" s="106"/>
      <c r="P237" s="106"/>
      <c r="Q237" s="109"/>
      <c r="R237" s="106"/>
      <c r="S237" s="960"/>
      <c r="T237" s="323"/>
      <c r="U237" s="106"/>
      <c r="V237" s="284">
        <f>Table62689345[[#This Row],[Offer Value]]-Table62689345[[#This Row],[PO Value]]</f>
        <v>0</v>
      </c>
      <c r="W237" s="106"/>
      <c r="X237" s="106"/>
      <c r="Y237" s="200"/>
      <c r="Z237" s="257"/>
      <c r="AA237" s="7"/>
    </row>
    <row r="238" spans="1:27" ht="15.6">
      <c r="A238" s="106"/>
      <c r="B238" s="107"/>
      <c r="C238" s="849"/>
      <c r="D238" s="105"/>
      <c r="E238" s="105"/>
      <c r="F238" s="105"/>
      <c r="G238" s="105"/>
      <c r="H238" s="105"/>
      <c r="I238" s="482"/>
      <c r="J238" s="115"/>
      <c r="K238" s="115"/>
      <c r="L238" s="105"/>
      <c r="M238" s="959"/>
      <c r="N238" s="106"/>
      <c r="O238" s="106"/>
      <c r="P238" s="106"/>
      <c r="Q238" s="109"/>
      <c r="R238" s="106"/>
      <c r="S238" s="960"/>
      <c r="T238" s="323"/>
      <c r="U238" s="106"/>
      <c r="V238" s="284">
        <f>Table62689345[[#This Row],[Offer Value]]-Table62689345[[#This Row],[PO Value]]</f>
        <v>0</v>
      </c>
      <c r="W238" s="106"/>
      <c r="X238" s="106"/>
      <c r="Y238" s="200"/>
      <c r="Z238" s="257"/>
      <c r="AA238" s="7"/>
    </row>
    <row r="239" spans="1:27" ht="15.6">
      <c r="A239" s="106"/>
      <c r="B239" s="107"/>
      <c r="C239" s="849"/>
      <c r="D239" s="105"/>
      <c r="E239" s="105"/>
      <c r="F239" s="105"/>
      <c r="G239" s="105"/>
      <c r="H239" s="105"/>
      <c r="I239" s="482"/>
      <c r="J239" s="115"/>
      <c r="K239" s="115"/>
      <c r="L239" s="105"/>
      <c r="M239" s="959"/>
      <c r="N239" s="106"/>
      <c r="O239" s="106"/>
      <c r="P239" s="106"/>
      <c r="Q239" s="109"/>
      <c r="R239" s="106"/>
      <c r="S239" s="960"/>
      <c r="T239" s="323"/>
      <c r="U239" s="106"/>
      <c r="V239" s="284">
        <f>Table62689345[[#This Row],[Offer Value]]-Table62689345[[#This Row],[PO Value]]</f>
        <v>0</v>
      </c>
      <c r="W239" s="106"/>
      <c r="X239" s="106"/>
      <c r="Y239" s="200"/>
      <c r="Z239" s="257"/>
      <c r="AA239" s="7"/>
    </row>
    <row r="240" spans="1:27" ht="15.6">
      <c r="A240" s="106"/>
      <c r="B240" s="107"/>
      <c r="C240" s="849"/>
      <c r="D240" s="105"/>
      <c r="E240" s="105"/>
      <c r="F240" s="105"/>
      <c r="G240" s="105"/>
      <c r="H240" s="105"/>
      <c r="I240" s="482"/>
      <c r="J240" s="115"/>
      <c r="K240" s="115"/>
      <c r="L240" s="105"/>
      <c r="M240" s="959"/>
      <c r="N240" s="106"/>
      <c r="O240" s="106"/>
      <c r="P240" s="106"/>
      <c r="Q240" s="109"/>
      <c r="R240" s="107"/>
      <c r="S240" s="960"/>
      <c r="T240" s="323"/>
      <c r="U240" s="106"/>
      <c r="V240" s="284">
        <f>Table62689345[[#This Row],[Offer Value]]-Table62689345[[#This Row],[PO Value]]</f>
        <v>0</v>
      </c>
      <c r="W240" s="106"/>
      <c r="X240" s="106"/>
      <c r="Y240" s="486"/>
      <c r="Z240" s="257"/>
      <c r="AA240" s="7"/>
    </row>
    <row r="241" spans="1:27" ht="15.6">
      <c r="A241" s="106"/>
      <c r="B241" s="107"/>
      <c r="C241" s="849"/>
      <c r="D241" s="105"/>
      <c r="E241" s="105"/>
      <c r="F241" s="105"/>
      <c r="G241" s="105"/>
      <c r="H241" s="105"/>
      <c r="I241" s="482"/>
      <c r="J241" s="115"/>
      <c r="K241" s="115"/>
      <c r="L241" s="105"/>
      <c r="M241" s="959"/>
      <c r="N241" s="106"/>
      <c r="O241" s="106"/>
      <c r="P241" s="106"/>
      <c r="Q241" s="109"/>
      <c r="R241" s="106"/>
      <c r="S241" s="960"/>
      <c r="T241" s="323"/>
      <c r="U241" s="106"/>
      <c r="V241" s="284">
        <f>Table62689345[[#This Row],[Offer Value]]-Table62689345[[#This Row],[PO Value]]</f>
        <v>0</v>
      </c>
      <c r="W241" s="106"/>
      <c r="X241" s="106"/>
      <c r="Y241" s="200"/>
      <c r="Z241" s="257"/>
      <c r="AA241" s="7"/>
    </row>
    <row r="242" spans="1:27" ht="15.6">
      <c r="A242" s="106"/>
      <c r="B242" s="107"/>
      <c r="C242" s="849"/>
      <c r="D242" s="105"/>
      <c r="E242" s="105"/>
      <c r="F242" s="105"/>
      <c r="G242" s="105"/>
      <c r="H242" s="105"/>
      <c r="I242" s="482"/>
      <c r="J242" s="115"/>
      <c r="K242" s="115"/>
      <c r="L242" s="105"/>
      <c r="M242" s="959"/>
      <c r="N242" s="106"/>
      <c r="O242" s="106"/>
      <c r="P242" s="106"/>
      <c r="Q242" s="109"/>
      <c r="R242" s="107"/>
      <c r="S242" s="960"/>
      <c r="T242" s="323"/>
      <c r="U242" s="106"/>
      <c r="V242" s="284">
        <f>Table62689345[[#This Row],[Offer Value]]-Table62689345[[#This Row],[PO Value]]</f>
        <v>0</v>
      </c>
      <c r="W242" s="106"/>
      <c r="X242" s="106"/>
      <c r="Y242" s="486"/>
      <c r="Z242" s="257"/>
      <c r="AA242" s="7"/>
    </row>
    <row r="243" spans="1:27" ht="15.6">
      <c r="A243" s="106"/>
      <c r="B243" s="107"/>
      <c r="C243" s="849"/>
      <c r="D243" s="105"/>
      <c r="E243" s="105"/>
      <c r="F243" s="105"/>
      <c r="G243" s="105"/>
      <c r="H243" s="105"/>
      <c r="I243" s="482"/>
      <c r="J243" s="115"/>
      <c r="K243" s="115"/>
      <c r="L243" s="105"/>
      <c r="M243" s="959"/>
      <c r="N243" s="106"/>
      <c r="O243" s="106"/>
      <c r="P243" s="106"/>
      <c r="Q243" s="109"/>
      <c r="R243" s="107"/>
      <c r="S243" s="960"/>
      <c r="T243" s="323"/>
      <c r="U243" s="106"/>
      <c r="V243" s="284">
        <f>Table62689345[[#This Row],[Offer Value]]-Table62689345[[#This Row],[PO Value]]</f>
        <v>0</v>
      </c>
      <c r="W243" s="106"/>
      <c r="X243" s="106"/>
      <c r="Y243" s="486"/>
      <c r="Z243" s="257"/>
      <c r="AA243" s="7"/>
    </row>
    <row r="244" spans="1:27" ht="15.6">
      <c r="A244" s="106"/>
      <c r="B244" s="107"/>
      <c r="C244" s="849"/>
      <c r="D244" s="105"/>
      <c r="E244" s="105"/>
      <c r="F244" s="105"/>
      <c r="G244" s="105"/>
      <c r="H244" s="105"/>
      <c r="I244" s="482"/>
      <c r="J244" s="115"/>
      <c r="K244" s="115"/>
      <c r="L244" s="105"/>
      <c r="M244" s="959"/>
      <c r="N244" s="106"/>
      <c r="O244" s="106"/>
      <c r="P244" s="106"/>
      <c r="Q244" s="109"/>
      <c r="R244" s="106"/>
      <c r="S244" s="960"/>
      <c r="T244" s="323"/>
      <c r="U244" s="106"/>
      <c r="V244" s="284">
        <f>Table62689345[[#This Row],[Offer Value]]-Table62689345[[#This Row],[PO Value]]</f>
        <v>0</v>
      </c>
      <c r="W244" s="106"/>
      <c r="X244" s="106"/>
      <c r="Y244" s="200"/>
      <c r="Z244" s="257"/>
      <c r="AA244" s="7"/>
    </row>
    <row r="245" spans="1:27" ht="15.6">
      <c r="A245" s="106"/>
      <c r="B245" s="107"/>
      <c r="C245" s="849"/>
      <c r="D245" s="105"/>
      <c r="E245" s="105"/>
      <c r="F245" s="105"/>
      <c r="G245" s="105"/>
      <c r="H245" s="105"/>
      <c r="I245" s="482"/>
      <c r="J245" s="115"/>
      <c r="K245" s="115"/>
      <c r="L245" s="105"/>
      <c r="M245" s="959"/>
      <c r="N245" s="106"/>
      <c r="O245" s="106"/>
      <c r="P245" s="106"/>
      <c r="Q245" s="109"/>
      <c r="R245" s="106"/>
      <c r="S245" s="960"/>
      <c r="T245" s="323"/>
      <c r="U245" s="106"/>
      <c r="V245" s="284">
        <f>Table62689345[[#This Row],[Offer Value]]-Table62689345[[#This Row],[PO Value]]</f>
        <v>0</v>
      </c>
      <c r="W245" s="106"/>
      <c r="X245" s="106"/>
      <c r="Y245" s="200"/>
      <c r="Z245" s="257"/>
      <c r="AA245" s="7"/>
    </row>
    <row r="246" spans="1:27" ht="15.6">
      <c r="A246" s="106"/>
      <c r="B246" s="107"/>
      <c r="C246" s="849"/>
      <c r="D246" s="105"/>
      <c r="E246" s="105"/>
      <c r="F246" s="105"/>
      <c r="G246" s="105"/>
      <c r="H246" s="105"/>
      <c r="I246" s="482"/>
      <c r="J246" s="115"/>
      <c r="K246" s="115"/>
      <c r="L246" s="105"/>
      <c r="M246" s="959"/>
      <c r="N246" s="106"/>
      <c r="O246" s="106"/>
      <c r="P246" s="106"/>
      <c r="Q246" s="109"/>
      <c r="R246" s="107"/>
      <c r="S246" s="960"/>
      <c r="T246" s="323"/>
      <c r="U246" s="106"/>
      <c r="V246" s="284">
        <f>Table62689345[[#This Row],[Offer Value]]-Table62689345[[#This Row],[PO Value]]</f>
        <v>0</v>
      </c>
      <c r="W246" s="106"/>
      <c r="X246" s="106"/>
      <c r="Y246" s="486"/>
      <c r="Z246" s="257"/>
      <c r="AA246" s="7"/>
    </row>
    <row r="247" spans="1:27" ht="15.6">
      <c r="A247" s="106"/>
      <c r="B247" s="107"/>
      <c r="C247" s="849"/>
      <c r="D247" s="105"/>
      <c r="E247" s="105"/>
      <c r="F247" s="105"/>
      <c r="G247" s="105"/>
      <c r="H247" s="105"/>
      <c r="I247" s="482"/>
      <c r="J247" s="115"/>
      <c r="K247" s="115"/>
      <c r="L247" s="105"/>
      <c r="M247" s="959"/>
      <c r="N247" s="106"/>
      <c r="O247" s="106"/>
      <c r="P247" s="106"/>
      <c r="Q247" s="109"/>
      <c r="R247" s="107"/>
      <c r="S247" s="960"/>
      <c r="T247" s="323"/>
      <c r="U247" s="106"/>
      <c r="V247" s="284">
        <f>Table62689345[[#This Row],[Offer Value]]-Table62689345[[#This Row],[PO Value]]</f>
        <v>0</v>
      </c>
      <c r="W247" s="106"/>
      <c r="X247" s="106"/>
      <c r="Y247" s="486"/>
      <c r="Z247" s="257"/>
      <c r="AA247" s="7"/>
    </row>
    <row r="248" spans="1:27" ht="15.6">
      <c r="A248" s="106"/>
      <c r="B248" s="107"/>
      <c r="C248" s="849"/>
      <c r="D248" s="105"/>
      <c r="E248" s="105"/>
      <c r="F248" s="105"/>
      <c r="G248" s="105"/>
      <c r="H248" s="105"/>
      <c r="I248" s="482"/>
      <c r="J248" s="115"/>
      <c r="K248" s="115"/>
      <c r="L248" s="105"/>
      <c r="M248" s="959"/>
      <c r="N248" s="106"/>
      <c r="O248" s="106"/>
      <c r="P248" s="106"/>
      <c r="Q248" s="109"/>
      <c r="R248" s="106"/>
      <c r="S248" s="960"/>
      <c r="T248" s="323"/>
      <c r="U248" s="106"/>
      <c r="V248" s="284">
        <f>Table62689345[[#This Row],[Offer Value]]-Table62689345[[#This Row],[PO Value]]</f>
        <v>0</v>
      </c>
      <c r="W248" s="106"/>
      <c r="X248" s="106"/>
      <c r="Y248" s="200"/>
      <c r="Z248" s="257"/>
      <c r="AA248" s="7"/>
    </row>
    <row r="249" spans="1:27" ht="15.6">
      <c r="A249" s="106"/>
      <c r="B249" s="107"/>
      <c r="C249" s="849"/>
      <c r="D249" s="105"/>
      <c r="E249" s="105"/>
      <c r="F249" s="105"/>
      <c r="G249" s="105"/>
      <c r="H249" s="105"/>
      <c r="I249" s="482"/>
      <c r="J249" s="115"/>
      <c r="K249" s="115"/>
      <c r="L249" s="105"/>
      <c r="M249" s="959"/>
      <c r="N249" s="106"/>
      <c r="O249" s="106"/>
      <c r="P249" s="106"/>
      <c r="Q249" s="109"/>
      <c r="R249" s="106"/>
      <c r="S249" s="960"/>
      <c r="T249" s="323"/>
      <c r="U249" s="106"/>
      <c r="V249" s="284">
        <f>Table62689345[[#This Row],[Offer Value]]-Table62689345[[#This Row],[PO Value]]</f>
        <v>0</v>
      </c>
      <c r="W249" s="106"/>
      <c r="X249" s="106"/>
      <c r="Y249" s="200"/>
      <c r="Z249" s="257"/>
      <c r="AA249" s="7"/>
    </row>
    <row r="250" spans="1:27" ht="15.6">
      <c r="A250" s="106"/>
      <c r="B250" s="107"/>
      <c r="C250" s="889"/>
      <c r="D250" s="117"/>
      <c r="E250" s="117"/>
      <c r="F250" s="117"/>
      <c r="G250" s="117"/>
      <c r="H250" s="117"/>
      <c r="I250" s="482"/>
      <c r="J250" s="108"/>
      <c r="K250" s="108"/>
      <c r="L250" s="105"/>
      <c r="M250" s="959"/>
      <c r="N250" s="106"/>
      <c r="O250" s="106"/>
      <c r="P250" s="106"/>
      <c r="Q250" s="109"/>
      <c r="R250" s="106"/>
      <c r="S250" s="960"/>
      <c r="T250" s="323"/>
      <c r="U250" s="106"/>
      <c r="V250" s="284">
        <f>Table62689345[[#This Row],[Offer Value]]-Table62689345[[#This Row],[PO Value]]</f>
        <v>0</v>
      </c>
      <c r="W250" s="106"/>
      <c r="X250" s="106"/>
      <c r="Y250" s="200"/>
      <c r="Z250" s="257"/>
      <c r="AA250" s="7"/>
    </row>
    <row r="251" spans="1:27" ht="15.6">
      <c r="A251" s="106"/>
      <c r="B251" s="107"/>
      <c r="C251" s="849"/>
      <c r="D251" s="105"/>
      <c r="E251" s="105"/>
      <c r="F251" s="105"/>
      <c r="G251" s="105"/>
      <c r="H251" s="105"/>
      <c r="I251" s="482"/>
      <c r="J251" s="115"/>
      <c r="K251" s="115"/>
      <c r="L251" s="105"/>
      <c r="M251" s="959"/>
      <c r="N251" s="106"/>
      <c r="O251" s="106"/>
      <c r="P251" s="106"/>
      <c r="Q251" s="109"/>
      <c r="R251" s="106"/>
      <c r="S251" s="960"/>
      <c r="T251" s="323"/>
      <c r="U251" s="106"/>
      <c r="V251" s="284">
        <f>Table62689345[[#This Row],[Offer Value]]-Table62689345[[#This Row],[PO Value]]</f>
        <v>0</v>
      </c>
      <c r="W251" s="106"/>
      <c r="X251" s="106"/>
      <c r="Y251" s="200"/>
      <c r="Z251" s="257"/>
      <c r="AA251" s="7"/>
    </row>
    <row r="252" spans="1:27" ht="15.6">
      <c r="A252" s="106"/>
      <c r="B252" s="107"/>
      <c r="C252" s="849"/>
      <c r="D252" s="105"/>
      <c r="E252" s="105"/>
      <c r="F252" s="105"/>
      <c r="G252" s="105"/>
      <c r="H252" s="105"/>
      <c r="I252" s="482"/>
      <c r="J252" s="115"/>
      <c r="K252" s="115"/>
      <c r="L252" s="105"/>
      <c r="M252" s="959"/>
      <c r="N252" s="106"/>
      <c r="O252" s="106"/>
      <c r="P252" s="106"/>
      <c r="Q252" s="109"/>
      <c r="R252" s="106"/>
      <c r="S252" s="960"/>
      <c r="T252" s="323"/>
      <c r="U252" s="106"/>
      <c r="V252" s="284">
        <f>Table62689345[[#This Row],[Offer Value]]-Table62689345[[#This Row],[PO Value]]</f>
        <v>0</v>
      </c>
      <c r="W252" s="106"/>
      <c r="X252" s="106"/>
      <c r="Y252" s="200"/>
      <c r="Z252" s="257"/>
      <c r="AA252" s="7"/>
    </row>
    <row r="253" spans="1:27" ht="15.6">
      <c r="A253" s="106"/>
      <c r="B253" s="107"/>
      <c r="C253" s="849"/>
      <c r="D253" s="105"/>
      <c r="E253" s="105"/>
      <c r="F253" s="105"/>
      <c r="G253" s="105"/>
      <c r="H253" s="105"/>
      <c r="I253" s="482"/>
      <c r="J253" s="115"/>
      <c r="K253" s="115"/>
      <c r="L253" s="105"/>
      <c r="M253" s="959"/>
      <c r="N253" s="106"/>
      <c r="O253" s="106"/>
      <c r="P253" s="106"/>
      <c r="Q253" s="109"/>
      <c r="R253" s="106"/>
      <c r="S253" s="960"/>
      <c r="T253" s="323"/>
      <c r="U253" s="106"/>
      <c r="V253" s="284">
        <f>Table62689345[[#This Row],[Offer Value]]-Table62689345[[#This Row],[PO Value]]</f>
        <v>0</v>
      </c>
      <c r="W253" s="106"/>
      <c r="X253" s="106"/>
      <c r="Y253" s="200"/>
      <c r="Z253" s="257"/>
      <c r="AA253" s="7"/>
    </row>
    <row r="254" spans="1:27" ht="15.6">
      <c r="A254" s="106"/>
      <c r="B254" s="107"/>
      <c r="C254" s="849"/>
      <c r="D254" s="105"/>
      <c r="E254" s="105"/>
      <c r="F254" s="105"/>
      <c r="G254" s="105"/>
      <c r="H254" s="105"/>
      <c r="I254" s="482"/>
      <c r="J254" s="115"/>
      <c r="K254" s="115"/>
      <c r="L254" s="105"/>
      <c r="M254" s="959"/>
      <c r="N254" s="106"/>
      <c r="O254" s="106"/>
      <c r="P254" s="106"/>
      <c r="Q254" s="109"/>
      <c r="R254" s="106"/>
      <c r="S254" s="960"/>
      <c r="T254" s="323"/>
      <c r="U254" s="106"/>
      <c r="V254" s="284">
        <f>Table62689345[[#This Row],[Offer Value]]-Table62689345[[#This Row],[PO Value]]</f>
        <v>0</v>
      </c>
      <c r="W254" s="106"/>
      <c r="X254" s="106"/>
      <c r="Y254" s="200"/>
      <c r="Z254" s="257"/>
      <c r="AA254" s="7"/>
    </row>
    <row r="255" spans="1:27" ht="15.6">
      <c r="A255" s="106"/>
      <c r="B255" s="107"/>
      <c r="C255" s="849"/>
      <c r="D255" s="105"/>
      <c r="E255" s="105"/>
      <c r="F255" s="105"/>
      <c r="G255" s="105"/>
      <c r="H255" s="105"/>
      <c r="I255" s="482"/>
      <c r="J255" s="108"/>
      <c r="K255" s="108"/>
      <c r="L255" s="105"/>
      <c r="M255" s="959"/>
      <c r="N255" s="106"/>
      <c r="O255" s="106"/>
      <c r="P255" s="106"/>
      <c r="Q255" s="109"/>
      <c r="R255" s="106"/>
      <c r="S255" s="960"/>
      <c r="T255" s="323"/>
      <c r="U255" s="106"/>
      <c r="V255" s="284">
        <f>Table62689345[[#This Row],[Offer Value]]-Table62689345[[#This Row],[PO Value]]</f>
        <v>0</v>
      </c>
      <c r="W255" s="106"/>
      <c r="X255" s="106"/>
      <c r="Y255" s="200"/>
      <c r="Z255" s="257"/>
      <c r="AA255" s="7"/>
    </row>
    <row r="256" spans="1:27" ht="15.6">
      <c r="A256" s="106"/>
      <c r="B256" s="107"/>
      <c r="C256" s="849"/>
      <c r="D256" s="105"/>
      <c r="E256" s="105"/>
      <c r="F256" s="105"/>
      <c r="G256" s="105"/>
      <c r="H256" s="105"/>
      <c r="I256" s="482"/>
      <c r="J256" s="108"/>
      <c r="K256" s="108"/>
      <c r="L256" s="105"/>
      <c r="M256" s="959"/>
      <c r="N256" s="106"/>
      <c r="O256" s="106"/>
      <c r="P256" s="106"/>
      <c r="Q256" s="109"/>
      <c r="R256" s="106"/>
      <c r="S256" s="960"/>
      <c r="T256" s="323"/>
      <c r="U256" s="106"/>
      <c r="V256" s="284">
        <f>Table62689345[[#This Row],[Offer Value]]-Table62689345[[#This Row],[PO Value]]</f>
        <v>0</v>
      </c>
      <c r="W256" s="106"/>
      <c r="X256" s="106"/>
      <c r="Y256" s="200"/>
      <c r="Z256" s="257"/>
      <c r="AA256" s="7"/>
    </row>
    <row r="257" spans="1:27" ht="15.6">
      <c r="A257" s="106"/>
      <c r="B257" s="107"/>
      <c r="C257" s="849"/>
      <c r="D257" s="105"/>
      <c r="E257" s="105"/>
      <c r="F257" s="105"/>
      <c r="G257" s="105"/>
      <c r="H257" s="105"/>
      <c r="I257" s="482"/>
      <c r="J257" s="115"/>
      <c r="K257" s="115"/>
      <c r="L257" s="105"/>
      <c r="M257" s="959"/>
      <c r="N257" s="106"/>
      <c r="O257" s="106"/>
      <c r="P257" s="106"/>
      <c r="Q257" s="109"/>
      <c r="R257" s="106"/>
      <c r="S257" s="960"/>
      <c r="T257" s="323"/>
      <c r="U257" s="106"/>
      <c r="V257" s="284">
        <f>Table62689345[[#This Row],[Offer Value]]-Table62689345[[#This Row],[PO Value]]</f>
        <v>0</v>
      </c>
      <c r="W257" s="106"/>
      <c r="X257" s="106"/>
      <c r="Y257" s="200"/>
      <c r="Z257" s="257"/>
      <c r="AA257" s="7"/>
    </row>
    <row r="258" spans="1:27" ht="15.6">
      <c r="A258" s="106"/>
      <c r="B258" s="107"/>
      <c r="C258" s="849"/>
      <c r="D258" s="105"/>
      <c r="E258" s="105"/>
      <c r="F258" s="105"/>
      <c r="G258" s="105"/>
      <c r="H258" s="105"/>
      <c r="I258" s="482"/>
      <c r="J258" s="115"/>
      <c r="K258" s="115"/>
      <c r="L258" s="105"/>
      <c r="M258" s="959"/>
      <c r="N258" s="106"/>
      <c r="O258" s="106"/>
      <c r="P258" s="106"/>
      <c r="Q258" s="109"/>
      <c r="R258" s="106"/>
      <c r="S258" s="960"/>
      <c r="T258" s="323"/>
      <c r="U258" s="106"/>
      <c r="V258" s="284">
        <f>Table62689345[[#This Row],[Offer Value]]-Table62689345[[#This Row],[PO Value]]</f>
        <v>0</v>
      </c>
      <c r="W258" s="106"/>
      <c r="X258" s="106"/>
      <c r="Y258" s="200"/>
      <c r="Z258" s="257"/>
      <c r="AA258" s="7"/>
    </row>
    <row r="259" spans="1:27" ht="15.6">
      <c r="A259" s="106"/>
      <c r="B259" s="107"/>
      <c r="C259" s="849"/>
      <c r="D259" s="105"/>
      <c r="E259" s="105"/>
      <c r="F259" s="105"/>
      <c r="G259" s="105"/>
      <c r="H259" s="105"/>
      <c r="I259" s="482"/>
      <c r="J259" s="115"/>
      <c r="K259" s="115"/>
      <c r="L259" s="105"/>
      <c r="M259" s="959"/>
      <c r="N259" s="106"/>
      <c r="O259" s="106"/>
      <c r="P259" s="106"/>
      <c r="Q259" s="109"/>
      <c r="R259" s="106"/>
      <c r="S259" s="960"/>
      <c r="T259" s="323"/>
      <c r="U259" s="106"/>
      <c r="V259" s="284">
        <f>Table62689345[[#This Row],[Offer Value]]-Table62689345[[#This Row],[PO Value]]</f>
        <v>0</v>
      </c>
      <c r="W259" s="106"/>
      <c r="X259" s="106"/>
      <c r="Y259" s="200"/>
      <c r="Z259" s="257"/>
      <c r="AA259" s="7"/>
    </row>
    <row r="260" spans="1:27" ht="15.6">
      <c r="A260" s="106"/>
      <c r="B260" s="107"/>
      <c r="C260" s="849"/>
      <c r="D260" s="105"/>
      <c r="E260" s="105"/>
      <c r="F260" s="105"/>
      <c r="G260" s="105"/>
      <c r="H260" s="105"/>
      <c r="I260" s="482"/>
      <c r="J260" s="115"/>
      <c r="K260" s="115"/>
      <c r="L260" s="105"/>
      <c r="M260" s="959"/>
      <c r="N260" s="106"/>
      <c r="O260" s="106"/>
      <c r="P260" s="106"/>
      <c r="Q260" s="109"/>
      <c r="R260" s="107"/>
      <c r="S260" s="960"/>
      <c r="T260" s="323"/>
      <c r="U260" s="106"/>
      <c r="V260" s="284">
        <f>Table62689345[[#This Row],[Offer Value]]-Table62689345[[#This Row],[PO Value]]</f>
        <v>0</v>
      </c>
      <c r="W260" s="106"/>
      <c r="X260" s="106"/>
      <c r="Y260" s="486"/>
      <c r="Z260" s="257"/>
      <c r="AA260" s="7"/>
    </row>
    <row r="261" spans="1:27" ht="15.6">
      <c r="A261" s="106"/>
      <c r="B261" s="107"/>
      <c r="C261" s="849"/>
      <c r="D261" s="105"/>
      <c r="E261" s="105"/>
      <c r="F261" s="105"/>
      <c r="G261" s="105"/>
      <c r="H261" s="105"/>
      <c r="I261" s="482"/>
      <c r="J261" s="115"/>
      <c r="K261" s="115"/>
      <c r="L261" s="105"/>
      <c r="M261" s="959"/>
      <c r="N261" s="106"/>
      <c r="O261" s="106"/>
      <c r="P261" s="106"/>
      <c r="Q261" s="109"/>
      <c r="R261" s="106"/>
      <c r="S261" s="960"/>
      <c r="T261" s="323"/>
      <c r="U261" s="106"/>
      <c r="V261" s="284">
        <f>Table62689345[[#This Row],[Offer Value]]-Table62689345[[#This Row],[PO Value]]</f>
        <v>0</v>
      </c>
      <c r="W261" s="106"/>
      <c r="X261" s="106"/>
      <c r="Y261" s="200"/>
      <c r="Z261" s="257"/>
      <c r="AA261" s="7"/>
    </row>
    <row r="262" spans="1:27" ht="15.6">
      <c r="A262" s="106"/>
      <c r="B262" s="107"/>
      <c r="C262" s="849"/>
      <c r="D262" s="105"/>
      <c r="E262" s="105"/>
      <c r="F262" s="105"/>
      <c r="G262" s="105"/>
      <c r="H262" s="105"/>
      <c r="I262" s="482"/>
      <c r="J262" s="115"/>
      <c r="K262" s="115"/>
      <c r="L262" s="105"/>
      <c r="M262" s="959"/>
      <c r="N262" s="106"/>
      <c r="O262" s="106"/>
      <c r="P262" s="106"/>
      <c r="Q262" s="109"/>
      <c r="R262" s="106"/>
      <c r="S262" s="960"/>
      <c r="T262" s="323"/>
      <c r="U262" s="106"/>
      <c r="V262" s="284">
        <f>Table62689345[[#This Row],[Offer Value]]-Table62689345[[#This Row],[PO Value]]</f>
        <v>0</v>
      </c>
      <c r="W262" s="106"/>
      <c r="X262" s="106"/>
      <c r="Y262" s="200"/>
      <c r="Z262" s="257"/>
      <c r="AA262" s="7"/>
    </row>
    <row r="263" spans="1:27" ht="15.6">
      <c r="A263" s="106"/>
      <c r="B263" s="107"/>
      <c r="C263" s="849"/>
      <c r="D263" s="105"/>
      <c r="E263" s="105"/>
      <c r="F263" s="105"/>
      <c r="G263" s="105"/>
      <c r="H263" s="105"/>
      <c r="I263" s="482"/>
      <c r="J263" s="115"/>
      <c r="K263" s="115"/>
      <c r="L263" s="105"/>
      <c r="M263" s="959"/>
      <c r="N263" s="106"/>
      <c r="O263" s="106"/>
      <c r="P263" s="106"/>
      <c r="Q263" s="109"/>
      <c r="R263" s="106"/>
      <c r="S263" s="960"/>
      <c r="T263" s="323"/>
      <c r="U263" s="106"/>
      <c r="V263" s="284">
        <f>Table62689345[[#This Row],[Offer Value]]-Table62689345[[#This Row],[PO Value]]</f>
        <v>0</v>
      </c>
      <c r="W263" s="106"/>
      <c r="X263" s="106"/>
      <c r="Y263" s="200"/>
      <c r="Z263" s="257"/>
      <c r="AA263" s="7"/>
    </row>
    <row r="264" spans="1:27" ht="15.6">
      <c r="A264" s="106"/>
      <c r="B264" s="107"/>
      <c r="C264" s="849"/>
      <c r="D264" s="105"/>
      <c r="E264" s="105"/>
      <c r="F264" s="105"/>
      <c r="G264" s="105"/>
      <c r="H264" s="105"/>
      <c r="I264" s="482"/>
      <c r="J264" s="115"/>
      <c r="K264" s="115"/>
      <c r="L264" s="105"/>
      <c r="M264" s="959"/>
      <c r="N264" s="106"/>
      <c r="O264" s="106"/>
      <c r="P264" s="106"/>
      <c r="Q264" s="109"/>
      <c r="R264" s="106"/>
      <c r="S264" s="960"/>
      <c r="T264" s="323"/>
      <c r="U264" s="106"/>
      <c r="V264" s="284">
        <f>Table62689345[[#This Row],[Offer Value]]-Table62689345[[#This Row],[PO Value]]</f>
        <v>0</v>
      </c>
      <c r="W264" s="106"/>
      <c r="X264" s="106"/>
      <c r="Y264" s="200"/>
      <c r="Z264" s="257"/>
      <c r="AA264" s="7"/>
    </row>
    <row r="265" spans="1:27" ht="15.6">
      <c r="A265" s="106"/>
      <c r="B265" s="107"/>
      <c r="C265" s="849"/>
      <c r="D265" s="105"/>
      <c r="E265" s="105"/>
      <c r="F265" s="105"/>
      <c r="G265" s="105"/>
      <c r="H265" s="105"/>
      <c r="I265" s="482"/>
      <c r="J265" s="115"/>
      <c r="K265" s="115"/>
      <c r="L265" s="105"/>
      <c r="M265" s="959"/>
      <c r="N265" s="106"/>
      <c r="O265" s="106"/>
      <c r="P265" s="106"/>
      <c r="Q265" s="109"/>
      <c r="R265" s="107"/>
      <c r="S265" s="960"/>
      <c r="T265" s="323"/>
      <c r="U265" s="106"/>
      <c r="V265" s="284">
        <f>Table62689345[[#This Row],[Offer Value]]-Table62689345[[#This Row],[PO Value]]</f>
        <v>0</v>
      </c>
      <c r="W265" s="106"/>
      <c r="X265" s="106"/>
      <c r="Y265" s="486"/>
      <c r="Z265" s="257"/>
      <c r="AA265" s="7"/>
    </row>
    <row r="266" spans="1:27" ht="15.6">
      <c r="A266" s="106"/>
      <c r="B266" s="107"/>
      <c r="C266" s="849"/>
      <c r="D266" s="105"/>
      <c r="E266" s="105"/>
      <c r="F266" s="105"/>
      <c r="G266" s="105"/>
      <c r="H266" s="105"/>
      <c r="I266" s="482"/>
      <c r="J266" s="115"/>
      <c r="K266" s="115"/>
      <c r="L266" s="105"/>
      <c r="M266" s="959"/>
      <c r="N266" s="106"/>
      <c r="O266" s="106"/>
      <c r="P266" s="106"/>
      <c r="Q266" s="109"/>
      <c r="R266" s="106"/>
      <c r="S266" s="960"/>
      <c r="T266" s="323"/>
      <c r="U266" s="106"/>
      <c r="V266" s="284">
        <f>Table62689345[[#This Row],[Offer Value]]-Table62689345[[#This Row],[PO Value]]</f>
        <v>0</v>
      </c>
      <c r="W266" s="106"/>
      <c r="X266" s="106"/>
      <c r="Y266" s="200"/>
      <c r="Z266" s="257"/>
      <c r="AA266" s="7"/>
    </row>
    <row r="267" spans="1:27" ht="15.6">
      <c r="A267" s="106"/>
      <c r="B267" s="107"/>
      <c r="C267" s="849"/>
      <c r="D267" s="105"/>
      <c r="E267" s="105"/>
      <c r="F267" s="105"/>
      <c r="G267" s="105"/>
      <c r="H267" s="105"/>
      <c r="I267" s="482"/>
      <c r="J267" s="115"/>
      <c r="K267" s="115"/>
      <c r="L267" s="105"/>
      <c r="M267" s="959"/>
      <c r="N267" s="106"/>
      <c r="O267" s="106"/>
      <c r="P267" s="106"/>
      <c r="Q267" s="109"/>
      <c r="R267" s="106"/>
      <c r="S267" s="960"/>
      <c r="T267" s="323"/>
      <c r="U267" s="106"/>
      <c r="V267" s="284">
        <f>Table62689345[[#This Row],[Offer Value]]-Table62689345[[#This Row],[PO Value]]</f>
        <v>0</v>
      </c>
      <c r="W267" s="106"/>
      <c r="X267" s="106"/>
      <c r="Y267" s="200"/>
      <c r="Z267" s="257"/>
      <c r="AA267" s="7"/>
    </row>
    <row r="268" spans="1:27" ht="15.6">
      <c r="A268" s="106"/>
      <c r="B268" s="107"/>
      <c r="C268" s="849"/>
      <c r="D268" s="105"/>
      <c r="E268" s="105"/>
      <c r="F268" s="105"/>
      <c r="G268" s="105"/>
      <c r="H268" s="105"/>
      <c r="I268" s="482"/>
      <c r="J268" s="115"/>
      <c r="K268" s="115"/>
      <c r="L268" s="105"/>
      <c r="M268" s="959"/>
      <c r="N268" s="106"/>
      <c r="O268" s="106"/>
      <c r="P268" s="106"/>
      <c r="Q268" s="109"/>
      <c r="R268" s="106"/>
      <c r="S268" s="960"/>
      <c r="T268" s="323"/>
      <c r="U268" s="106"/>
      <c r="V268" s="284">
        <f>Table62689345[[#This Row],[Offer Value]]-Table62689345[[#This Row],[PO Value]]</f>
        <v>0</v>
      </c>
      <c r="W268" s="106"/>
      <c r="X268" s="106"/>
      <c r="Y268" s="200"/>
      <c r="Z268" s="257"/>
      <c r="AA268" s="7"/>
    </row>
    <row r="269" spans="1:27" ht="15.6">
      <c r="A269" s="106"/>
      <c r="B269" s="107"/>
      <c r="C269" s="849"/>
      <c r="D269" s="105"/>
      <c r="E269" s="105"/>
      <c r="F269" s="105"/>
      <c r="G269" s="105"/>
      <c r="H269" s="105"/>
      <c r="I269" s="482"/>
      <c r="J269" s="115"/>
      <c r="K269" s="115"/>
      <c r="L269" s="105"/>
      <c r="M269" s="959"/>
      <c r="N269" s="106"/>
      <c r="O269" s="106"/>
      <c r="P269" s="106"/>
      <c r="Q269" s="109"/>
      <c r="R269" s="106"/>
      <c r="S269" s="960"/>
      <c r="T269" s="323"/>
      <c r="U269" s="106"/>
      <c r="V269" s="284">
        <f>Table62689345[[#This Row],[Offer Value]]-Table62689345[[#This Row],[PO Value]]</f>
        <v>0</v>
      </c>
      <c r="W269" s="106"/>
      <c r="X269" s="106"/>
      <c r="Y269" s="200"/>
      <c r="Z269" s="257"/>
      <c r="AA269" s="7"/>
    </row>
    <row r="270" spans="1:27" ht="15.6">
      <c r="A270" s="106"/>
      <c r="B270" s="107"/>
      <c r="C270" s="849"/>
      <c r="D270" s="105"/>
      <c r="E270" s="105"/>
      <c r="F270" s="105"/>
      <c r="G270" s="105"/>
      <c r="H270" s="105"/>
      <c r="I270" s="482"/>
      <c r="J270" s="115"/>
      <c r="K270" s="115"/>
      <c r="L270" s="105"/>
      <c r="M270" s="959"/>
      <c r="N270" s="106"/>
      <c r="O270" s="106"/>
      <c r="P270" s="106"/>
      <c r="Q270" s="109"/>
      <c r="R270" s="106"/>
      <c r="S270" s="960"/>
      <c r="T270" s="323"/>
      <c r="U270" s="106"/>
      <c r="V270" s="284">
        <f>Table62689345[[#This Row],[Offer Value]]-Table62689345[[#This Row],[PO Value]]</f>
        <v>0</v>
      </c>
      <c r="W270" s="106"/>
      <c r="X270" s="106"/>
      <c r="Y270" s="200"/>
      <c r="Z270" s="257"/>
      <c r="AA270" s="7"/>
    </row>
    <row r="271" spans="1:27" ht="15.6">
      <c r="A271" s="106"/>
      <c r="B271" s="107"/>
      <c r="C271" s="849"/>
      <c r="D271" s="105"/>
      <c r="E271" s="105"/>
      <c r="F271" s="105"/>
      <c r="G271" s="105"/>
      <c r="H271" s="105"/>
      <c r="I271" s="482"/>
      <c r="J271" s="115"/>
      <c r="K271" s="115"/>
      <c r="L271" s="105"/>
      <c r="M271" s="959"/>
      <c r="N271" s="106"/>
      <c r="O271" s="106"/>
      <c r="P271" s="106"/>
      <c r="Q271" s="109"/>
      <c r="R271" s="107"/>
      <c r="S271" s="960"/>
      <c r="T271" s="323"/>
      <c r="U271" s="106"/>
      <c r="V271" s="284">
        <f>Table62689345[[#This Row],[Offer Value]]-Table62689345[[#This Row],[PO Value]]</f>
        <v>0</v>
      </c>
      <c r="W271" s="106"/>
      <c r="X271" s="106"/>
      <c r="Y271" s="486"/>
      <c r="Z271" s="257"/>
      <c r="AA271" s="7"/>
    </row>
    <row r="272" spans="1:27" ht="15.6">
      <c r="A272" s="106"/>
      <c r="B272" s="107"/>
      <c r="C272" s="849"/>
      <c r="D272" s="105"/>
      <c r="E272" s="105"/>
      <c r="F272" s="105"/>
      <c r="G272" s="105"/>
      <c r="H272" s="105"/>
      <c r="I272" s="482"/>
      <c r="J272" s="115"/>
      <c r="K272" s="115"/>
      <c r="L272" s="105"/>
      <c r="M272" s="959"/>
      <c r="N272" s="106"/>
      <c r="O272" s="106"/>
      <c r="P272" s="106"/>
      <c r="Q272" s="109"/>
      <c r="R272" s="106"/>
      <c r="S272" s="960"/>
      <c r="T272" s="323"/>
      <c r="U272" s="106"/>
      <c r="V272" s="284">
        <f>Table62689345[[#This Row],[Offer Value]]-Table62689345[[#This Row],[PO Value]]</f>
        <v>0</v>
      </c>
      <c r="W272" s="106"/>
      <c r="X272" s="106"/>
      <c r="Y272" s="200"/>
      <c r="Z272" s="257"/>
      <c r="AA272" s="7"/>
    </row>
    <row r="273" spans="1:27" ht="15.6">
      <c r="A273" s="106"/>
      <c r="B273" s="107"/>
      <c r="C273" s="849"/>
      <c r="D273" s="105"/>
      <c r="E273" s="105"/>
      <c r="F273" s="105"/>
      <c r="G273" s="105"/>
      <c r="H273" s="105"/>
      <c r="I273" s="482"/>
      <c r="J273" s="115"/>
      <c r="K273" s="115"/>
      <c r="L273" s="105"/>
      <c r="M273" s="959"/>
      <c r="N273" s="106"/>
      <c r="O273" s="106"/>
      <c r="P273" s="106"/>
      <c r="Q273" s="109"/>
      <c r="R273" s="106"/>
      <c r="S273" s="960"/>
      <c r="T273" s="323"/>
      <c r="U273" s="106"/>
      <c r="V273" s="284">
        <f>Table62689345[[#This Row],[Offer Value]]-Table62689345[[#This Row],[PO Value]]</f>
        <v>0</v>
      </c>
      <c r="W273" s="106"/>
      <c r="X273" s="106"/>
      <c r="Y273" s="200"/>
      <c r="Z273" s="257"/>
      <c r="AA273" s="7"/>
    </row>
    <row r="274" spans="1:27" ht="15.6">
      <c r="A274" s="106"/>
      <c r="B274" s="107"/>
      <c r="C274" s="849"/>
      <c r="D274" s="105"/>
      <c r="E274" s="105"/>
      <c r="F274" s="105"/>
      <c r="G274" s="105"/>
      <c r="H274" s="105"/>
      <c r="I274" s="482"/>
      <c r="J274" s="115"/>
      <c r="K274" s="115"/>
      <c r="L274" s="105"/>
      <c r="M274" s="959"/>
      <c r="N274" s="106"/>
      <c r="O274" s="106"/>
      <c r="P274" s="106"/>
      <c r="Q274" s="109"/>
      <c r="R274" s="107"/>
      <c r="S274" s="960"/>
      <c r="T274" s="323"/>
      <c r="U274" s="106"/>
      <c r="V274" s="284">
        <f>Table62689345[[#This Row],[Offer Value]]-Table62689345[[#This Row],[PO Value]]</f>
        <v>0</v>
      </c>
      <c r="W274" s="106"/>
      <c r="X274" s="106"/>
      <c r="Y274" s="486"/>
      <c r="Z274" s="257"/>
      <c r="AA274" s="7"/>
    </row>
    <row r="275" spans="1:27" ht="15.6">
      <c r="A275" s="106"/>
      <c r="B275" s="107"/>
      <c r="C275" s="849"/>
      <c r="D275" s="105"/>
      <c r="E275" s="105"/>
      <c r="F275" s="105"/>
      <c r="G275" s="105"/>
      <c r="H275" s="105"/>
      <c r="I275" s="482"/>
      <c r="J275" s="115"/>
      <c r="K275" s="115"/>
      <c r="L275" s="105"/>
      <c r="M275" s="959"/>
      <c r="N275" s="106"/>
      <c r="O275" s="106"/>
      <c r="P275" s="106"/>
      <c r="Q275" s="109"/>
      <c r="R275" s="107"/>
      <c r="S275" s="960"/>
      <c r="T275" s="323"/>
      <c r="U275" s="106"/>
      <c r="V275" s="284">
        <f>Table62689345[[#This Row],[Offer Value]]-Table62689345[[#This Row],[PO Value]]</f>
        <v>0</v>
      </c>
      <c r="W275" s="106"/>
      <c r="X275" s="106"/>
      <c r="Y275" s="486"/>
      <c r="Z275" s="257"/>
      <c r="AA275" s="7"/>
    </row>
    <row r="276" spans="1:27" ht="15.6">
      <c r="A276" s="106"/>
      <c r="B276" s="107"/>
      <c r="C276" s="849"/>
      <c r="D276" s="105"/>
      <c r="E276" s="105"/>
      <c r="F276" s="105"/>
      <c r="G276" s="105"/>
      <c r="H276" s="105"/>
      <c r="I276" s="482"/>
      <c r="J276" s="115"/>
      <c r="K276" s="115"/>
      <c r="L276" s="105"/>
      <c r="M276" s="959"/>
      <c r="N276" s="106"/>
      <c r="O276" s="106"/>
      <c r="P276" s="106"/>
      <c r="Q276" s="109"/>
      <c r="R276" s="106"/>
      <c r="S276" s="960"/>
      <c r="T276" s="323"/>
      <c r="U276" s="106"/>
      <c r="V276" s="284">
        <f>Table62689345[[#This Row],[Offer Value]]-Table62689345[[#This Row],[PO Value]]</f>
        <v>0</v>
      </c>
      <c r="W276" s="106"/>
      <c r="X276" s="106"/>
      <c r="Y276" s="200"/>
      <c r="Z276" s="257"/>
      <c r="AA276" s="7"/>
    </row>
    <row r="277" spans="1:27" ht="15.6">
      <c r="A277" s="106"/>
      <c r="B277" s="107"/>
      <c r="C277" s="849"/>
      <c r="D277" s="105"/>
      <c r="E277" s="105"/>
      <c r="F277" s="105"/>
      <c r="G277" s="105"/>
      <c r="H277" s="105"/>
      <c r="I277" s="482"/>
      <c r="J277" s="115"/>
      <c r="K277" s="115"/>
      <c r="L277" s="105"/>
      <c r="M277" s="959"/>
      <c r="N277" s="106"/>
      <c r="O277" s="106"/>
      <c r="P277" s="106"/>
      <c r="Q277" s="109"/>
      <c r="R277" s="107"/>
      <c r="S277" s="960"/>
      <c r="T277" s="323"/>
      <c r="U277" s="106"/>
      <c r="V277" s="284">
        <f>Table62689345[[#This Row],[Offer Value]]-Table62689345[[#This Row],[PO Value]]</f>
        <v>0</v>
      </c>
      <c r="W277" s="106"/>
      <c r="X277" s="106"/>
      <c r="Y277" s="486"/>
      <c r="Z277" s="257"/>
      <c r="AA277" s="7"/>
    </row>
    <row r="278" spans="1:27" ht="15.6">
      <c r="A278" s="106"/>
      <c r="B278" s="107"/>
      <c r="C278" s="849"/>
      <c r="D278" s="105"/>
      <c r="E278" s="105"/>
      <c r="F278" s="105"/>
      <c r="G278" s="105"/>
      <c r="H278" s="105"/>
      <c r="I278" s="482"/>
      <c r="J278" s="108"/>
      <c r="K278" s="108"/>
      <c r="L278" s="105"/>
      <c r="M278" s="959"/>
      <c r="N278" s="106"/>
      <c r="O278" s="106"/>
      <c r="P278" s="106"/>
      <c r="Q278" s="109"/>
      <c r="R278" s="106"/>
      <c r="S278" s="960"/>
      <c r="T278" s="323"/>
      <c r="U278" s="106"/>
      <c r="V278" s="284">
        <f>Table62689345[[#This Row],[Offer Value]]-Table62689345[[#This Row],[PO Value]]</f>
        <v>0</v>
      </c>
      <c r="W278" s="106"/>
      <c r="X278" s="106"/>
      <c r="Y278" s="200"/>
      <c r="Z278" s="257"/>
      <c r="AA278" s="7"/>
    </row>
    <row r="279" spans="1:27" ht="15.6">
      <c r="A279" s="106"/>
      <c r="B279" s="107"/>
      <c r="C279" s="849"/>
      <c r="D279" s="105"/>
      <c r="E279" s="105"/>
      <c r="F279" s="105"/>
      <c r="G279" s="105"/>
      <c r="H279" s="105"/>
      <c r="I279" s="482"/>
      <c r="J279" s="108"/>
      <c r="K279" s="108"/>
      <c r="L279" s="105"/>
      <c r="M279" s="959"/>
      <c r="N279" s="106"/>
      <c r="O279" s="106"/>
      <c r="P279" s="106"/>
      <c r="Q279" s="109"/>
      <c r="R279" s="106"/>
      <c r="S279" s="960"/>
      <c r="T279" s="323"/>
      <c r="U279" s="106"/>
      <c r="V279" s="284">
        <f>Table62689345[[#This Row],[Offer Value]]-Table62689345[[#This Row],[PO Value]]</f>
        <v>0</v>
      </c>
      <c r="W279" s="106"/>
      <c r="X279" s="106"/>
      <c r="Y279" s="200"/>
      <c r="Z279" s="257"/>
      <c r="AA279" s="7"/>
    </row>
    <row r="280" spans="1:27" ht="15.6">
      <c r="A280" s="106"/>
      <c r="B280" s="107"/>
      <c r="C280" s="849"/>
      <c r="D280" s="105"/>
      <c r="E280" s="105"/>
      <c r="F280" s="105"/>
      <c r="G280" s="105"/>
      <c r="H280" s="105"/>
      <c r="I280" s="482"/>
      <c r="J280" s="108"/>
      <c r="K280" s="108"/>
      <c r="L280" s="105"/>
      <c r="M280" s="959"/>
      <c r="N280" s="106"/>
      <c r="O280" s="106"/>
      <c r="P280" s="106"/>
      <c r="Q280" s="109"/>
      <c r="R280" s="106"/>
      <c r="S280" s="960"/>
      <c r="T280" s="323"/>
      <c r="U280" s="106"/>
      <c r="V280" s="284">
        <f>Table62689345[[#This Row],[Offer Value]]-Table62689345[[#This Row],[PO Value]]</f>
        <v>0</v>
      </c>
      <c r="W280" s="106"/>
      <c r="X280" s="106"/>
      <c r="Y280" s="200"/>
      <c r="Z280" s="257"/>
      <c r="AA280" s="7"/>
    </row>
    <row r="281" spans="1:27" ht="15.6">
      <c r="A281" s="106"/>
      <c r="B281" s="107"/>
      <c r="C281" s="849"/>
      <c r="D281" s="105"/>
      <c r="E281" s="105"/>
      <c r="F281" s="105"/>
      <c r="G281" s="105"/>
      <c r="H281" s="105"/>
      <c r="I281" s="482"/>
      <c r="J281" s="108"/>
      <c r="K281" s="108"/>
      <c r="L281" s="105"/>
      <c r="M281" s="959"/>
      <c r="N281" s="106"/>
      <c r="O281" s="106"/>
      <c r="P281" s="106"/>
      <c r="Q281" s="109"/>
      <c r="R281" s="106"/>
      <c r="S281" s="960"/>
      <c r="T281" s="323"/>
      <c r="U281" s="106"/>
      <c r="V281" s="284">
        <f>Table62689345[[#This Row],[Offer Value]]-Table62689345[[#This Row],[PO Value]]</f>
        <v>0</v>
      </c>
      <c r="W281" s="106"/>
      <c r="X281" s="106"/>
      <c r="Y281" s="200"/>
      <c r="Z281" s="257"/>
      <c r="AA281" s="7"/>
    </row>
    <row r="282" spans="1:27" ht="15.6">
      <c r="A282" s="106"/>
      <c r="B282" s="107"/>
      <c r="C282" s="849"/>
      <c r="D282" s="105"/>
      <c r="E282" s="105"/>
      <c r="F282" s="105"/>
      <c r="G282" s="105"/>
      <c r="H282" s="105"/>
      <c r="I282" s="482"/>
      <c r="J282" s="108"/>
      <c r="K282" s="108"/>
      <c r="L282" s="105"/>
      <c r="M282" s="959"/>
      <c r="N282" s="106"/>
      <c r="O282" s="106"/>
      <c r="P282" s="106"/>
      <c r="Q282" s="109"/>
      <c r="R282" s="106"/>
      <c r="S282" s="960"/>
      <c r="T282" s="323"/>
      <c r="U282" s="106"/>
      <c r="V282" s="284">
        <f>Table62689345[[#This Row],[Offer Value]]-Table62689345[[#This Row],[PO Value]]</f>
        <v>0</v>
      </c>
      <c r="W282" s="106"/>
      <c r="X282" s="106"/>
      <c r="Y282" s="200"/>
      <c r="Z282" s="257"/>
      <c r="AA282" s="7"/>
    </row>
    <row r="283" spans="1:27" ht="15.6">
      <c r="A283" s="106"/>
      <c r="B283" s="107"/>
      <c r="C283" s="890"/>
      <c r="D283" s="113"/>
      <c r="E283" s="113"/>
      <c r="F283" s="113"/>
      <c r="G283" s="113"/>
      <c r="H283" s="113"/>
      <c r="I283" s="482"/>
      <c r="J283" s="108"/>
      <c r="K283" s="108"/>
      <c r="L283" s="105"/>
      <c r="M283" s="959"/>
      <c r="N283" s="106"/>
      <c r="O283" s="106"/>
      <c r="P283" s="106"/>
      <c r="Q283" s="109"/>
      <c r="R283" s="106"/>
      <c r="S283" s="960"/>
      <c r="T283" s="323"/>
      <c r="U283" s="106"/>
      <c r="V283" s="284">
        <f>Table62689345[[#This Row],[Offer Value]]-Table62689345[[#This Row],[PO Value]]</f>
        <v>0</v>
      </c>
      <c r="W283" s="106"/>
      <c r="X283" s="106"/>
      <c r="Y283" s="200"/>
      <c r="Z283" s="257"/>
      <c r="AA283" s="7"/>
    </row>
    <row r="284" spans="1:27" ht="15.6">
      <c r="A284" s="106"/>
      <c r="B284" s="107"/>
      <c r="C284" s="849"/>
      <c r="D284" s="105"/>
      <c r="E284" s="105"/>
      <c r="F284" s="105"/>
      <c r="G284" s="105"/>
      <c r="H284" s="105"/>
      <c r="I284" s="482"/>
      <c r="J284" s="115"/>
      <c r="K284" s="115"/>
      <c r="L284" s="105"/>
      <c r="M284" s="959"/>
      <c r="N284" s="106"/>
      <c r="O284" s="106"/>
      <c r="P284" s="106"/>
      <c r="Q284" s="109"/>
      <c r="R284" s="106"/>
      <c r="S284" s="960"/>
      <c r="T284" s="323"/>
      <c r="U284" s="106"/>
      <c r="V284" s="284">
        <f>Table62689345[[#This Row],[Offer Value]]-Table62689345[[#This Row],[PO Value]]</f>
        <v>0</v>
      </c>
      <c r="W284" s="106"/>
      <c r="X284" s="106"/>
      <c r="Y284" s="200"/>
      <c r="Z284" s="257"/>
      <c r="AA284" s="7"/>
    </row>
    <row r="285" spans="1:27" ht="15.6">
      <c r="A285" s="106"/>
      <c r="B285" s="107"/>
      <c r="C285" s="849"/>
      <c r="D285" s="105"/>
      <c r="E285" s="105"/>
      <c r="F285" s="105"/>
      <c r="G285" s="105"/>
      <c r="H285" s="105"/>
      <c r="I285" s="482"/>
      <c r="J285" s="115"/>
      <c r="K285" s="115"/>
      <c r="L285" s="105"/>
      <c r="M285" s="959"/>
      <c r="N285" s="106"/>
      <c r="O285" s="106"/>
      <c r="P285" s="106"/>
      <c r="Q285" s="109"/>
      <c r="R285" s="106"/>
      <c r="S285" s="960"/>
      <c r="T285" s="323"/>
      <c r="U285" s="106"/>
      <c r="V285" s="284">
        <f>Table62689345[[#This Row],[Offer Value]]-Table62689345[[#This Row],[PO Value]]</f>
        <v>0</v>
      </c>
      <c r="W285" s="106"/>
      <c r="X285" s="106"/>
      <c r="Y285" s="200"/>
      <c r="Z285" s="257"/>
      <c r="AA285" s="7"/>
    </row>
    <row r="286" spans="1:27" ht="15.6">
      <c r="A286" s="106"/>
      <c r="B286" s="107"/>
      <c r="C286" s="849"/>
      <c r="D286" s="105"/>
      <c r="E286" s="105"/>
      <c r="F286" s="105"/>
      <c r="G286" s="105"/>
      <c r="H286" s="105"/>
      <c r="I286" s="482"/>
      <c r="J286" s="115"/>
      <c r="K286" s="115"/>
      <c r="L286" s="105"/>
      <c r="M286" s="959"/>
      <c r="N286" s="106"/>
      <c r="O286" s="106"/>
      <c r="P286" s="106"/>
      <c r="Q286" s="109"/>
      <c r="R286" s="106"/>
      <c r="S286" s="960"/>
      <c r="T286" s="323"/>
      <c r="U286" s="106"/>
      <c r="V286" s="284">
        <f>Table62689345[[#This Row],[Offer Value]]-Table62689345[[#This Row],[PO Value]]</f>
        <v>0</v>
      </c>
      <c r="W286" s="106"/>
      <c r="X286" s="106"/>
      <c r="Y286" s="200"/>
      <c r="Z286" s="257"/>
      <c r="AA286" s="7"/>
    </row>
    <row r="287" spans="1:27" ht="15.6">
      <c r="A287" s="106"/>
      <c r="B287" s="107"/>
      <c r="C287" s="849"/>
      <c r="D287" s="105"/>
      <c r="E287" s="105"/>
      <c r="F287" s="105"/>
      <c r="G287" s="105"/>
      <c r="H287" s="105"/>
      <c r="I287" s="482"/>
      <c r="J287" s="115"/>
      <c r="K287" s="115"/>
      <c r="L287" s="105"/>
      <c r="M287" s="959"/>
      <c r="N287" s="106"/>
      <c r="O287" s="106"/>
      <c r="P287" s="106"/>
      <c r="Q287" s="109"/>
      <c r="R287" s="106"/>
      <c r="S287" s="960"/>
      <c r="T287" s="323"/>
      <c r="U287" s="106"/>
      <c r="V287" s="284">
        <f>Table62689345[[#This Row],[Offer Value]]-Table62689345[[#This Row],[PO Value]]</f>
        <v>0</v>
      </c>
      <c r="W287" s="106"/>
      <c r="X287" s="106"/>
      <c r="Y287" s="200"/>
      <c r="Z287" s="257"/>
      <c r="AA287" s="7"/>
    </row>
    <row r="288" spans="1:27" ht="15.6">
      <c r="A288" s="106"/>
      <c r="B288" s="107"/>
      <c r="C288" s="849"/>
      <c r="D288" s="105"/>
      <c r="E288" s="105"/>
      <c r="F288" s="105"/>
      <c r="G288" s="105"/>
      <c r="H288" s="105"/>
      <c r="I288" s="482"/>
      <c r="J288" s="115"/>
      <c r="K288" s="115"/>
      <c r="L288" s="105"/>
      <c r="M288" s="959"/>
      <c r="N288" s="106"/>
      <c r="O288" s="106"/>
      <c r="P288" s="106"/>
      <c r="Q288" s="109"/>
      <c r="R288" s="106"/>
      <c r="S288" s="960"/>
      <c r="T288" s="323"/>
      <c r="U288" s="106"/>
      <c r="V288" s="284">
        <f>Table62689345[[#This Row],[Offer Value]]-Table62689345[[#This Row],[PO Value]]</f>
        <v>0</v>
      </c>
      <c r="W288" s="106"/>
      <c r="X288" s="106"/>
      <c r="Y288" s="200"/>
      <c r="Z288" s="257"/>
      <c r="AA288" s="7"/>
    </row>
    <row r="289" spans="1:27" ht="15.6">
      <c r="A289" s="106"/>
      <c r="B289" s="107"/>
      <c r="C289" s="849"/>
      <c r="D289" s="105"/>
      <c r="E289" s="105"/>
      <c r="F289" s="105"/>
      <c r="G289" s="105"/>
      <c r="H289" s="105"/>
      <c r="I289" s="482"/>
      <c r="J289" s="115"/>
      <c r="K289" s="115"/>
      <c r="L289" s="105"/>
      <c r="M289" s="959"/>
      <c r="N289" s="106"/>
      <c r="O289" s="106"/>
      <c r="P289" s="106"/>
      <c r="Q289" s="109"/>
      <c r="R289" s="106"/>
      <c r="S289" s="960"/>
      <c r="T289" s="106"/>
      <c r="U289" s="106"/>
      <c r="V289" s="284">
        <f>Table62689345[[#This Row],[Offer Value]]-Table62689345[[#This Row],[PO Value]]</f>
        <v>0</v>
      </c>
      <c r="W289" s="106"/>
      <c r="X289" s="106"/>
      <c r="Y289" s="200"/>
      <c r="Z289" s="641"/>
      <c r="AA289" s="7"/>
    </row>
    <row r="290" spans="1:27" ht="15.6">
      <c r="A290" s="106"/>
      <c r="B290" s="107"/>
      <c r="C290" s="849"/>
      <c r="D290" s="105"/>
      <c r="E290" s="105"/>
      <c r="F290" s="105"/>
      <c r="G290" s="105"/>
      <c r="H290" s="105"/>
      <c r="I290" s="482"/>
      <c r="J290" s="115"/>
      <c r="K290" s="115"/>
      <c r="L290" s="105"/>
      <c r="M290" s="959"/>
      <c r="N290" s="106"/>
      <c r="O290" s="106"/>
      <c r="P290" s="106"/>
      <c r="Q290" s="109"/>
      <c r="R290" s="107"/>
      <c r="S290" s="960"/>
      <c r="T290" s="106"/>
      <c r="U290" s="106"/>
      <c r="V290" s="284">
        <f>Table62689345[[#This Row],[Offer Value]]-Table62689345[[#This Row],[PO Value]]</f>
        <v>0</v>
      </c>
      <c r="W290" s="106"/>
      <c r="X290" s="106"/>
      <c r="Y290" s="486"/>
      <c r="Z290" s="641"/>
      <c r="AA290" s="7"/>
    </row>
    <row r="291" spans="1:27" ht="15.6">
      <c r="A291" s="106"/>
      <c r="B291" s="107"/>
      <c r="C291" s="849"/>
      <c r="D291" s="105"/>
      <c r="E291" s="105"/>
      <c r="F291" s="105"/>
      <c r="G291" s="105"/>
      <c r="H291" s="105"/>
      <c r="I291" s="482"/>
      <c r="J291" s="115"/>
      <c r="K291" s="115"/>
      <c r="L291" s="105"/>
      <c r="M291" s="959"/>
      <c r="N291" s="106"/>
      <c r="O291" s="106"/>
      <c r="P291" s="106"/>
      <c r="Q291" s="109"/>
      <c r="R291" s="107"/>
      <c r="S291" s="960"/>
      <c r="T291" s="106"/>
      <c r="U291" s="106"/>
      <c r="V291" s="284">
        <f>Table62689345[[#This Row],[Offer Value]]-Table62689345[[#This Row],[PO Value]]</f>
        <v>0</v>
      </c>
      <c r="W291" s="106"/>
      <c r="X291" s="106"/>
      <c r="Y291" s="486"/>
      <c r="Z291" s="641"/>
      <c r="AA291" s="7"/>
    </row>
    <row r="292" spans="1:27" ht="15.6">
      <c r="A292" s="106"/>
      <c r="B292" s="107"/>
      <c r="C292" s="849"/>
      <c r="D292" s="105"/>
      <c r="E292" s="105"/>
      <c r="F292" s="105"/>
      <c r="G292" s="105"/>
      <c r="H292" s="105"/>
      <c r="I292" s="482"/>
      <c r="J292" s="108"/>
      <c r="K292" s="108"/>
      <c r="L292" s="106"/>
      <c r="M292" s="960"/>
      <c r="N292" s="106"/>
      <c r="O292" s="106"/>
      <c r="P292" s="106"/>
      <c r="Q292" s="109"/>
      <c r="R292" s="106"/>
      <c r="S292" s="960"/>
      <c r="T292" s="106"/>
      <c r="U292" s="106"/>
      <c r="V292" s="284">
        <f>Table62689345[[#This Row],[Offer Value]]-Table62689345[[#This Row],[PO Value]]</f>
        <v>0</v>
      </c>
      <c r="W292" s="106"/>
      <c r="X292" s="106"/>
      <c r="Y292" s="200"/>
      <c r="Z292" s="641"/>
      <c r="AA292" s="7"/>
    </row>
    <row r="293" spans="1:27" ht="15.6">
      <c r="A293" s="106"/>
      <c r="B293" s="107"/>
      <c r="C293" s="849"/>
      <c r="D293" s="105"/>
      <c r="E293" s="105"/>
      <c r="F293" s="105"/>
      <c r="G293" s="105"/>
      <c r="H293" s="105"/>
      <c r="I293" s="482"/>
      <c r="J293" s="108"/>
      <c r="K293" s="108"/>
      <c r="L293" s="106"/>
      <c r="M293" s="960"/>
      <c r="N293" s="106"/>
      <c r="O293" s="106"/>
      <c r="P293" s="106"/>
      <c r="Q293" s="109"/>
      <c r="R293" s="106"/>
      <c r="S293" s="960"/>
      <c r="T293" s="106"/>
      <c r="U293" s="106"/>
      <c r="V293" s="284">
        <f>Table62689345[[#This Row],[Offer Value]]-Table62689345[[#This Row],[PO Value]]</f>
        <v>0</v>
      </c>
      <c r="W293" s="106"/>
      <c r="X293" s="106"/>
      <c r="Y293" s="200"/>
      <c r="Z293" s="641"/>
      <c r="AA293" s="7"/>
    </row>
    <row r="294" spans="1:27" ht="15.6">
      <c r="A294" s="106"/>
      <c r="B294" s="107"/>
      <c r="C294" s="849"/>
      <c r="D294" s="105"/>
      <c r="E294" s="105"/>
      <c r="F294" s="105"/>
      <c r="G294" s="105"/>
      <c r="H294" s="105"/>
      <c r="I294" s="482"/>
      <c r="J294" s="108"/>
      <c r="K294" s="108"/>
      <c r="L294" s="106"/>
      <c r="M294" s="960"/>
      <c r="N294" s="106"/>
      <c r="O294" s="106"/>
      <c r="P294" s="106"/>
      <c r="Q294" s="109"/>
      <c r="R294" s="106"/>
      <c r="S294" s="960"/>
      <c r="T294" s="106"/>
      <c r="U294" s="106"/>
      <c r="V294" s="284">
        <f>Table62689345[[#This Row],[Offer Value]]-Table62689345[[#This Row],[PO Value]]</f>
        <v>0</v>
      </c>
      <c r="W294" s="106"/>
      <c r="X294" s="106"/>
      <c r="Y294" s="200"/>
      <c r="Z294" s="641"/>
      <c r="AA294" s="7"/>
    </row>
    <row r="295" spans="1:27" ht="15.6">
      <c r="A295" s="106"/>
      <c r="B295" s="107"/>
      <c r="C295" s="849"/>
      <c r="D295" s="105"/>
      <c r="E295" s="105"/>
      <c r="F295" s="105"/>
      <c r="G295" s="105"/>
      <c r="H295" s="105"/>
      <c r="I295" s="482"/>
      <c r="J295" s="108"/>
      <c r="K295" s="108"/>
      <c r="L295" s="106"/>
      <c r="M295" s="960"/>
      <c r="N295" s="106"/>
      <c r="O295" s="106"/>
      <c r="P295" s="106"/>
      <c r="Q295" s="109"/>
      <c r="R295" s="106"/>
      <c r="S295" s="960"/>
      <c r="T295" s="106"/>
      <c r="U295" s="106"/>
      <c r="V295" s="284">
        <f>Table62689345[[#This Row],[Offer Value]]-Table62689345[[#This Row],[PO Value]]</f>
        <v>0</v>
      </c>
      <c r="W295" s="106"/>
      <c r="X295" s="106"/>
      <c r="Y295" s="200"/>
      <c r="Z295" s="641"/>
      <c r="AA295" s="7"/>
    </row>
    <row r="296" spans="1:27" ht="15.6">
      <c r="A296" s="106"/>
      <c r="B296" s="107"/>
      <c r="C296" s="849"/>
      <c r="D296" s="105"/>
      <c r="E296" s="105"/>
      <c r="F296" s="105"/>
      <c r="G296" s="105"/>
      <c r="H296" s="105"/>
      <c r="I296" s="482"/>
      <c r="J296" s="108"/>
      <c r="K296" s="108"/>
      <c r="L296" s="106"/>
      <c r="M296" s="960"/>
      <c r="N296" s="106"/>
      <c r="O296" s="106"/>
      <c r="P296" s="106"/>
      <c r="Q296" s="109"/>
      <c r="R296" s="107"/>
      <c r="S296" s="960"/>
      <c r="T296" s="106"/>
      <c r="U296" s="106"/>
      <c r="V296" s="284">
        <f>Table62689345[[#This Row],[Offer Value]]-Table62689345[[#This Row],[PO Value]]</f>
        <v>0</v>
      </c>
      <c r="W296" s="106"/>
      <c r="X296" s="106"/>
      <c r="Y296" s="486"/>
      <c r="Z296" s="641"/>
      <c r="AA296" s="7"/>
    </row>
    <row r="297" spans="1:27" ht="15.6">
      <c r="A297" s="106"/>
      <c r="B297" s="107"/>
      <c r="C297" s="849"/>
      <c r="D297" s="105"/>
      <c r="E297" s="105"/>
      <c r="F297" s="105"/>
      <c r="G297" s="105"/>
      <c r="H297" s="105"/>
      <c r="I297" s="482"/>
      <c r="J297" s="108"/>
      <c r="K297" s="108"/>
      <c r="L297" s="106"/>
      <c r="M297" s="960"/>
      <c r="N297" s="106"/>
      <c r="O297" s="106"/>
      <c r="P297" s="106"/>
      <c r="Q297" s="109"/>
      <c r="R297" s="107"/>
      <c r="S297" s="960"/>
      <c r="T297" s="106"/>
      <c r="U297" s="106"/>
      <c r="V297" s="284">
        <f>Table62689345[[#This Row],[Offer Value]]-Table62689345[[#This Row],[PO Value]]</f>
        <v>0</v>
      </c>
      <c r="W297" s="106"/>
      <c r="X297" s="106"/>
      <c r="Y297" s="486"/>
      <c r="Z297" s="641"/>
      <c r="AA297" s="7"/>
    </row>
    <row r="298" spans="1:27" ht="15.6">
      <c r="A298" s="106"/>
      <c r="B298" s="107"/>
      <c r="C298" s="849"/>
      <c r="D298" s="105"/>
      <c r="E298" s="105"/>
      <c r="F298" s="105"/>
      <c r="G298" s="105"/>
      <c r="H298" s="105"/>
      <c r="I298" s="482"/>
      <c r="J298" s="108"/>
      <c r="K298" s="108"/>
      <c r="L298" s="106"/>
      <c r="M298" s="960"/>
      <c r="N298" s="106"/>
      <c r="O298" s="106"/>
      <c r="P298" s="106"/>
      <c r="Q298" s="109"/>
      <c r="R298" s="106"/>
      <c r="S298" s="960"/>
      <c r="T298" s="106"/>
      <c r="U298" s="106"/>
      <c r="V298" s="284">
        <f>Table62689345[[#This Row],[Offer Value]]-Table62689345[[#This Row],[PO Value]]</f>
        <v>0</v>
      </c>
      <c r="W298" s="106"/>
      <c r="X298" s="106"/>
      <c r="Y298" s="200"/>
      <c r="Z298" s="641"/>
      <c r="AA298" s="7"/>
    </row>
    <row r="299" spans="1:27" ht="15.6">
      <c r="A299" s="106"/>
      <c r="B299" s="107"/>
      <c r="C299" s="849"/>
      <c r="D299" s="105"/>
      <c r="E299" s="105"/>
      <c r="F299" s="105"/>
      <c r="G299" s="105"/>
      <c r="H299" s="105"/>
      <c r="I299" s="482"/>
      <c r="J299" s="108"/>
      <c r="K299" s="108"/>
      <c r="L299" s="106"/>
      <c r="M299" s="960"/>
      <c r="N299" s="106"/>
      <c r="O299" s="106"/>
      <c r="P299" s="106"/>
      <c r="Q299" s="109"/>
      <c r="R299" s="106"/>
      <c r="S299" s="960"/>
      <c r="T299" s="106"/>
      <c r="U299" s="106"/>
      <c r="V299" s="284">
        <f>Table62689345[[#This Row],[Offer Value]]-Table62689345[[#This Row],[PO Value]]</f>
        <v>0</v>
      </c>
      <c r="W299" s="106"/>
      <c r="X299" s="106"/>
      <c r="Y299" s="200"/>
      <c r="Z299" s="641"/>
      <c r="AA299" s="7"/>
    </row>
    <row r="300" spans="1:27" ht="15.6">
      <c r="A300" s="106"/>
      <c r="B300" s="107"/>
      <c r="C300" s="849"/>
      <c r="D300" s="105"/>
      <c r="E300" s="105"/>
      <c r="F300" s="105"/>
      <c r="G300" s="105"/>
      <c r="H300" s="105"/>
      <c r="I300" s="482"/>
      <c r="J300" s="108"/>
      <c r="K300" s="108"/>
      <c r="L300" s="106"/>
      <c r="M300" s="960"/>
      <c r="N300" s="106"/>
      <c r="O300" s="106"/>
      <c r="P300" s="106"/>
      <c r="Q300" s="109"/>
      <c r="R300" s="106"/>
      <c r="S300" s="960"/>
      <c r="T300" s="106"/>
      <c r="U300" s="106"/>
      <c r="V300" s="284">
        <f>Table62689345[[#This Row],[Offer Value]]-Table62689345[[#This Row],[PO Value]]</f>
        <v>0</v>
      </c>
      <c r="W300" s="106"/>
      <c r="X300" s="106"/>
      <c r="Y300" s="200"/>
      <c r="Z300" s="641"/>
      <c r="AA300" s="7"/>
    </row>
    <row r="301" spans="1:27" ht="15.6">
      <c r="A301" s="106"/>
      <c r="B301" s="107"/>
      <c r="C301" s="849"/>
      <c r="D301" s="105"/>
      <c r="E301" s="105"/>
      <c r="F301" s="105"/>
      <c r="G301" s="105"/>
      <c r="H301" s="105"/>
      <c r="I301" s="482"/>
      <c r="J301" s="108"/>
      <c r="K301" s="108"/>
      <c r="L301" s="106"/>
      <c r="M301" s="960"/>
      <c r="N301" s="106"/>
      <c r="O301" s="106"/>
      <c r="P301" s="106"/>
      <c r="Q301" s="109"/>
      <c r="R301" s="106"/>
      <c r="S301" s="960"/>
      <c r="T301" s="106"/>
      <c r="U301" s="106"/>
      <c r="V301" s="284">
        <f>Table62689345[[#This Row],[Offer Value]]-Table62689345[[#This Row],[PO Value]]</f>
        <v>0</v>
      </c>
      <c r="W301" s="106"/>
      <c r="X301" s="106"/>
      <c r="Y301" s="200"/>
      <c r="Z301" s="641"/>
      <c r="AA301" s="7"/>
    </row>
    <row r="302" spans="1:27" ht="15.6">
      <c r="A302" s="106"/>
      <c r="B302" s="107"/>
      <c r="C302" s="849"/>
      <c r="D302" s="105"/>
      <c r="E302" s="105"/>
      <c r="F302" s="105"/>
      <c r="G302" s="105"/>
      <c r="H302" s="105"/>
      <c r="I302" s="482"/>
      <c r="J302" s="108"/>
      <c r="K302" s="108"/>
      <c r="L302" s="106"/>
      <c r="M302" s="960"/>
      <c r="N302" s="106"/>
      <c r="O302" s="106"/>
      <c r="P302" s="106"/>
      <c r="Q302" s="109"/>
      <c r="R302" s="106"/>
      <c r="S302" s="960"/>
      <c r="T302" s="106"/>
      <c r="U302" s="106"/>
      <c r="V302" s="284">
        <f>Table62689345[[#This Row],[Offer Value]]-Table62689345[[#This Row],[PO Value]]</f>
        <v>0</v>
      </c>
      <c r="W302" s="106"/>
      <c r="X302" s="106"/>
      <c r="Y302" s="200"/>
      <c r="Z302" s="641"/>
      <c r="AA302" s="7"/>
    </row>
    <row r="303" spans="1:27" ht="15.6">
      <c r="A303" s="106"/>
      <c r="B303" s="107"/>
      <c r="C303" s="849"/>
      <c r="D303" s="105"/>
      <c r="E303" s="105"/>
      <c r="F303" s="105"/>
      <c r="G303" s="105"/>
      <c r="H303" s="105"/>
      <c r="I303" s="482"/>
      <c r="J303" s="108"/>
      <c r="K303" s="108"/>
      <c r="L303" s="106"/>
      <c r="M303" s="960"/>
      <c r="N303" s="106"/>
      <c r="O303" s="106"/>
      <c r="P303" s="106"/>
      <c r="Q303" s="109"/>
      <c r="R303" s="107"/>
      <c r="S303" s="960"/>
      <c r="T303" s="106"/>
      <c r="U303" s="106"/>
      <c r="V303" s="284">
        <f>Table62689345[[#This Row],[Offer Value]]-Table62689345[[#This Row],[PO Value]]</f>
        <v>0</v>
      </c>
      <c r="W303" s="106"/>
      <c r="X303" s="106"/>
      <c r="Y303" s="486"/>
      <c r="Z303" s="641"/>
      <c r="AA303" s="7"/>
    </row>
    <row r="304" spans="1:27" ht="15.6">
      <c r="A304" s="106"/>
      <c r="B304" s="107"/>
      <c r="C304" s="849"/>
      <c r="D304" s="105"/>
      <c r="E304" s="105"/>
      <c r="F304" s="105"/>
      <c r="G304" s="105"/>
      <c r="H304" s="105"/>
      <c r="I304" s="482"/>
      <c r="J304" s="108"/>
      <c r="K304" s="108"/>
      <c r="L304" s="106"/>
      <c r="M304" s="960"/>
      <c r="N304" s="106"/>
      <c r="O304" s="106"/>
      <c r="P304" s="106"/>
      <c r="Q304" s="109"/>
      <c r="R304" s="106"/>
      <c r="S304" s="960"/>
      <c r="T304" s="106"/>
      <c r="U304" s="106"/>
      <c r="V304" s="284">
        <f>Table62689345[[#This Row],[Offer Value]]-Table62689345[[#This Row],[PO Value]]</f>
        <v>0</v>
      </c>
      <c r="W304" s="106"/>
      <c r="X304" s="106"/>
      <c r="Y304" s="200"/>
      <c r="Z304" s="641"/>
      <c r="AA304" s="7"/>
    </row>
    <row r="305" spans="1:27" ht="15.6">
      <c r="A305" s="106"/>
      <c r="B305" s="107"/>
      <c r="C305" s="849"/>
      <c r="D305" s="105"/>
      <c r="E305" s="105"/>
      <c r="F305" s="105"/>
      <c r="G305" s="105"/>
      <c r="H305" s="105"/>
      <c r="I305" s="482"/>
      <c r="J305" s="108"/>
      <c r="K305" s="108"/>
      <c r="L305" s="106"/>
      <c r="M305" s="960"/>
      <c r="N305" s="106"/>
      <c r="O305" s="106"/>
      <c r="P305" s="106"/>
      <c r="Q305" s="109"/>
      <c r="R305" s="106"/>
      <c r="S305" s="960"/>
      <c r="T305" s="106"/>
      <c r="U305" s="106"/>
      <c r="V305" s="284">
        <f>Table62689345[[#This Row],[Offer Value]]-Table62689345[[#This Row],[PO Value]]</f>
        <v>0</v>
      </c>
      <c r="W305" s="106"/>
      <c r="X305" s="106"/>
      <c r="Y305" s="200"/>
      <c r="Z305" s="641"/>
      <c r="AA305" s="7"/>
    </row>
    <row r="306" spans="1:27" ht="15.6">
      <c r="A306" s="106"/>
      <c r="B306" s="107"/>
      <c r="C306" s="849"/>
      <c r="D306" s="105"/>
      <c r="E306" s="105"/>
      <c r="F306" s="105"/>
      <c r="G306" s="105"/>
      <c r="H306" s="105"/>
      <c r="I306" s="482"/>
      <c r="J306" s="108"/>
      <c r="K306" s="108"/>
      <c r="L306" s="106"/>
      <c r="M306" s="960"/>
      <c r="N306" s="106"/>
      <c r="O306" s="106"/>
      <c r="P306" s="106"/>
      <c r="Q306" s="109"/>
      <c r="R306" s="106"/>
      <c r="S306" s="960"/>
      <c r="T306" s="106"/>
      <c r="U306" s="106"/>
      <c r="V306" s="284">
        <f>Table62689345[[#This Row],[Offer Value]]-Table62689345[[#This Row],[PO Value]]</f>
        <v>0</v>
      </c>
      <c r="W306" s="106"/>
      <c r="X306" s="106"/>
      <c r="Y306" s="200"/>
      <c r="Z306" s="641"/>
      <c r="AA306" s="7"/>
    </row>
    <row r="307" spans="1:27" ht="15.6">
      <c r="A307" s="106"/>
      <c r="B307" s="107"/>
      <c r="C307" s="849"/>
      <c r="D307" s="105"/>
      <c r="E307" s="105"/>
      <c r="F307" s="105"/>
      <c r="G307" s="105"/>
      <c r="H307" s="105"/>
      <c r="I307" s="482"/>
      <c r="J307" s="108"/>
      <c r="K307" s="108"/>
      <c r="L307" s="106"/>
      <c r="M307" s="960"/>
      <c r="N307" s="106"/>
      <c r="O307" s="106"/>
      <c r="P307" s="106"/>
      <c r="Q307" s="109"/>
      <c r="R307" s="106"/>
      <c r="S307" s="960"/>
      <c r="T307" s="106"/>
      <c r="U307" s="106"/>
      <c r="V307" s="284">
        <f>Table62689345[[#This Row],[Offer Value]]-Table62689345[[#This Row],[PO Value]]</f>
        <v>0</v>
      </c>
      <c r="W307" s="106"/>
      <c r="X307" s="106"/>
      <c r="Y307" s="200"/>
      <c r="Z307" s="641"/>
      <c r="AA307" s="7"/>
    </row>
    <row r="308" spans="1:27" ht="15.6">
      <c r="A308" s="106"/>
      <c r="B308" s="107"/>
      <c r="C308" s="849"/>
      <c r="D308" s="105"/>
      <c r="E308" s="105"/>
      <c r="F308" s="105"/>
      <c r="G308" s="105"/>
      <c r="H308" s="105"/>
      <c r="I308" s="482"/>
      <c r="J308" s="108"/>
      <c r="K308" s="108"/>
      <c r="L308" s="106"/>
      <c r="M308" s="960"/>
      <c r="N308" s="106"/>
      <c r="O308" s="106"/>
      <c r="P308" s="106"/>
      <c r="Q308" s="109"/>
      <c r="R308" s="107"/>
      <c r="S308" s="960"/>
      <c r="T308" s="106"/>
      <c r="U308" s="106"/>
      <c r="V308" s="284">
        <f>Table62689345[[#This Row],[Offer Value]]-Table62689345[[#This Row],[PO Value]]</f>
        <v>0</v>
      </c>
      <c r="W308" s="106"/>
      <c r="X308" s="106"/>
      <c r="Y308" s="486"/>
      <c r="Z308" s="641"/>
      <c r="AA308" s="7"/>
    </row>
    <row r="309" spans="1:27" ht="15.6">
      <c r="A309" s="106"/>
      <c r="B309" s="107"/>
      <c r="C309" s="849"/>
      <c r="D309" s="105"/>
      <c r="E309" s="105"/>
      <c r="F309" s="105"/>
      <c r="G309" s="105"/>
      <c r="H309" s="105"/>
      <c r="I309" s="482"/>
      <c r="J309" s="108"/>
      <c r="K309" s="108"/>
      <c r="L309" s="106"/>
      <c r="M309" s="960"/>
      <c r="N309" s="106"/>
      <c r="O309" s="106"/>
      <c r="P309" s="106"/>
      <c r="Q309" s="109"/>
      <c r="R309" s="106"/>
      <c r="S309" s="960"/>
      <c r="T309" s="106"/>
      <c r="U309" s="106"/>
      <c r="V309" s="284">
        <f>Table62689345[[#This Row],[Offer Value]]-Table62689345[[#This Row],[PO Value]]</f>
        <v>0</v>
      </c>
      <c r="W309" s="106"/>
      <c r="X309" s="106"/>
      <c r="Y309" s="200"/>
      <c r="Z309" s="641"/>
      <c r="AA309" s="7"/>
    </row>
    <row r="310" spans="1:27" ht="15.6">
      <c r="A310" s="106"/>
      <c r="B310" s="107"/>
      <c r="C310" s="849"/>
      <c r="D310" s="105"/>
      <c r="E310" s="105"/>
      <c r="F310" s="105"/>
      <c r="G310" s="105"/>
      <c r="H310" s="105"/>
      <c r="I310" s="482"/>
      <c r="J310" s="108"/>
      <c r="K310" s="108"/>
      <c r="L310" s="106"/>
      <c r="M310" s="960"/>
      <c r="N310" s="106"/>
      <c r="O310" s="106"/>
      <c r="P310" s="106"/>
      <c r="Q310" s="109"/>
      <c r="R310" s="106"/>
      <c r="S310" s="960"/>
      <c r="T310" s="106"/>
      <c r="U310" s="106"/>
      <c r="V310" s="284">
        <f>Table62689345[[#This Row],[Offer Value]]-Table62689345[[#This Row],[PO Value]]</f>
        <v>0</v>
      </c>
      <c r="W310" s="106"/>
      <c r="X310" s="106"/>
      <c r="Y310" s="200"/>
      <c r="Z310" s="641"/>
      <c r="AA310" s="7"/>
    </row>
    <row r="311" spans="1:27" ht="15.6">
      <c r="A311" s="106"/>
      <c r="B311" s="107"/>
      <c r="C311" s="849"/>
      <c r="D311" s="105"/>
      <c r="E311" s="105"/>
      <c r="F311" s="105"/>
      <c r="G311" s="105"/>
      <c r="H311" s="105"/>
      <c r="I311" s="482"/>
      <c r="J311" s="108"/>
      <c r="K311" s="108"/>
      <c r="L311" s="106"/>
      <c r="M311" s="960"/>
      <c r="N311" s="106"/>
      <c r="O311" s="106"/>
      <c r="P311" s="106"/>
      <c r="Q311" s="109"/>
      <c r="R311" s="106"/>
      <c r="S311" s="960"/>
      <c r="T311" s="106"/>
      <c r="U311" s="106"/>
      <c r="V311" s="284">
        <f>Table62689345[[#This Row],[Offer Value]]-Table62689345[[#This Row],[PO Value]]</f>
        <v>0</v>
      </c>
      <c r="W311" s="106"/>
      <c r="X311" s="106"/>
      <c r="Y311" s="200"/>
      <c r="Z311" s="641"/>
      <c r="AA311" s="7"/>
    </row>
    <row r="312" spans="1:27" ht="15.6">
      <c r="A312" s="106"/>
      <c r="B312" s="107"/>
      <c r="C312" s="849"/>
      <c r="D312" s="105"/>
      <c r="E312" s="105"/>
      <c r="F312" s="105"/>
      <c r="G312" s="105"/>
      <c r="H312" s="105"/>
      <c r="I312" s="482"/>
      <c r="J312" s="108"/>
      <c r="K312" s="108"/>
      <c r="L312" s="106"/>
      <c r="M312" s="960"/>
      <c r="N312" s="106"/>
      <c r="O312" s="106"/>
      <c r="P312" s="106"/>
      <c r="Q312" s="109"/>
      <c r="R312" s="106"/>
      <c r="S312" s="960"/>
      <c r="T312" s="106"/>
      <c r="U312" s="106"/>
      <c r="V312" s="284">
        <f>Table62689345[[#This Row],[Offer Value]]-Table62689345[[#This Row],[PO Value]]</f>
        <v>0</v>
      </c>
      <c r="W312" s="106"/>
      <c r="X312" s="106"/>
      <c r="Y312" s="200"/>
      <c r="Z312" s="641"/>
      <c r="AA312" s="7"/>
    </row>
    <row r="313" spans="1:27" ht="15.6">
      <c r="A313" s="106"/>
      <c r="B313" s="107"/>
      <c r="C313" s="849"/>
      <c r="D313" s="105"/>
      <c r="E313" s="105"/>
      <c r="F313" s="105"/>
      <c r="G313" s="105"/>
      <c r="H313" s="105"/>
      <c r="I313" s="482"/>
      <c r="J313" s="108"/>
      <c r="K313" s="108"/>
      <c r="L313" s="106"/>
      <c r="M313" s="960"/>
      <c r="N313" s="106"/>
      <c r="O313" s="106"/>
      <c r="P313" s="106"/>
      <c r="Q313" s="109"/>
      <c r="R313" s="106"/>
      <c r="S313" s="960"/>
      <c r="T313" s="106"/>
      <c r="U313" s="106"/>
      <c r="V313" s="284">
        <f>Table62689345[[#This Row],[Offer Value]]-Table62689345[[#This Row],[PO Value]]</f>
        <v>0</v>
      </c>
      <c r="W313" s="106"/>
      <c r="X313" s="106"/>
      <c r="Y313" s="200"/>
      <c r="Z313" s="641"/>
      <c r="AA313" s="7"/>
    </row>
    <row r="314" spans="1:27" ht="15.6">
      <c r="A314" s="106"/>
      <c r="B314" s="107"/>
      <c r="C314" s="849"/>
      <c r="D314" s="105"/>
      <c r="E314" s="105"/>
      <c r="F314" s="105"/>
      <c r="G314" s="105"/>
      <c r="H314" s="105"/>
      <c r="I314" s="482"/>
      <c r="J314" s="108"/>
      <c r="K314" s="108"/>
      <c r="L314" s="106"/>
      <c r="M314" s="960"/>
      <c r="N314" s="106"/>
      <c r="O314" s="106"/>
      <c r="P314" s="106"/>
      <c r="Q314" s="109"/>
      <c r="R314" s="106"/>
      <c r="S314" s="960"/>
      <c r="T314" s="106"/>
      <c r="U314" s="106"/>
      <c r="V314" s="284">
        <f>Table62689345[[#This Row],[Offer Value]]-Table62689345[[#This Row],[PO Value]]</f>
        <v>0</v>
      </c>
      <c r="W314" s="106"/>
      <c r="X314" s="106"/>
      <c r="Y314" s="200"/>
      <c r="Z314" s="641"/>
      <c r="AA314" s="7"/>
    </row>
    <row r="315" spans="1:27" ht="15.6">
      <c r="A315" s="106"/>
      <c r="B315" s="107"/>
      <c r="C315" s="849"/>
      <c r="D315" s="105"/>
      <c r="E315" s="105"/>
      <c r="F315" s="105"/>
      <c r="G315" s="105"/>
      <c r="H315" s="105"/>
      <c r="I315" s="482"/>
      <c r="J315" s="108"/>
      <c r="K315" s="108"/>
      <c r="L315" s="106"/>
      <c r="M315" s="960"/>
      <c r="N315" s="106"/>
      <c r="O315" s="106"/>
      <c r="P315" s="106"/>
      <c r="Q315" s="109"/>
      <c r="R315" s="106"/>
      <c r="S315" s="960"/>
      <c r="T315" s="106"/>
      <c r="U315" s="106"/>
      <c r="V315" s="284">
        <f>Table62689345[[#This Row],[Offer Value]]-Table62689345[[#This Row],[PO Value]]</f>
        <v>0</v>
      </c>
      <c r="W315" s="106"/>
      <c r="X315" s="106"/>
      <c r="Y315" s="200"/>
      <c r="Z315" s="641"/>
      <c r="AA315" s="7"/>
    </row>
    <row r="316" spans="1:27" ht="15.6">
      <c r="A316" s="106"/>
      <c r="B316" s="107"/>
      <c r="C316" s="849"/>
      <c r="D316" s="105"/>
      <c r="E316" s="105"/>
      <c r="F316" s="105"/>
      <c r="G316" s="105"/>
      <c r="H316" s="105"/>
      <c r="I316" s="482"/>
      <c r="J316" s="108"/>
      <c r="K316" s="108"/>
      <c r="L316" s="106"/>
      <c r="M316" s="960"/>
      <c r="N316" s="106"/>
      <c r="O316" s="106"/>
      <c r="P316" s="106"/>
      <c r="Q316" s="109"/>
      <c r="R316" s="106"/>
      <c r="S316" s="960"/>
      <c r="T316" s="106"/>
      <c r="U316" s="106"/>
      <c r="V316" s="284">
        <f>Table62689345[[#This Row],[Offer Value]]-Table62689345[[#This Row],[PO Value]]</f>
        <v>0</v>
      </c>
      <c r="W316" s="106"/>
      <c r="X316" s="106"/>
      <c r="Y316" s="200"/>
      <c r="Z316" s="641"/>
      <c r="AA316" s="7"/>
    </row>
    <row r="317" spans="1:27" ht="15.6">
      <c r="A317" s="106"/>
      <c r="B317" s="107"/>
      <c r="C317" s="849"/>
      <c r="D317" s="105"/>
      <c r="E317" s="105"/>
      <c r="F317" s="105"/>
      <c r="G317" s="105"/>
      <c r="H317" s="105"/>
      <c r="I317" s="482"/>
      <c r="J317" s="108"/>
      <c r="K317" s="108"/>
      <c r="L317" s="106"/>
      <c r="M317" s="960"/>
      <c r="N317" s="106"/>
      <c r="O317" s="106"/>
      <c r="P317" s="106"/>
      <c r="Q317" s="109"/>
      <c r="R317" s="106"/>
      <c r="S317" s="960"/>
      <c r="T317" s="106"/>
      <c r="U317" s="106"/>
      <c r="V317" s="284">
        <f>Table62689345[[#This Row],[Offer Value]]-Table62689345[[#This Row],[PO Value]]</f>
        <v>0</v>
      </c>
      <c r="W317" s="106"/>
      <c r="X317" s="106"/>
      <c r="Y317" s="200"/>
      <c r="Z317" s="641"/>
      <c r="AA317" s="7"/>
    </row>
    <row r="318" spans="1:27" ht="15.6">
      <c r="A318" s="106"/>
      <c r="B318" s="107"/>
      <c r="C318" s="849"/>
      <c r="D318" s="105"/>
      <c r="E318" s="105"/>
      <c r="F318" s="105"/>
      <c r="G318" s="105"/>
      <c r="H318" s="105"/>
      <c r="I318" s="482"/>
      <c r="J318" s="108"/>
      <c r="K318" s="108"/>
      <c r="L318" s="106"/>
      <c r="M318" s="960"/>
      <c r="N318" s="106"/>
      <c r="O318" s="106"/>
      <c r="P318" s="106"/>
      <c r="Q318" s="109"/>
      <c r="R318" s="106"/>
      <c r="S318" s="960"/>
      <c r="T318" s="106"/>
      <c r="U318" s="106"/>
      <c r="V318" s="284">
        <f>Table62689345[[#This Row],[Offer Value]]-Table62689345[[#This Row],[PO Value]]</f>
        <v>0</v>
      </c>
      <c r="W318" s="106"/>
      <c r="X318" s="106"/>
      <c r="Y318" s="200"/>
      <c r="Z318" s="641"/>
      <c r="AA318" s="7"/>
    </row>
    <row r="319" spans="1:27" ht="15.6">
      <c r="A319" s="106"/>
      <c r="B319" s="107"/>
      <c r="C319" s="849"/>
      <c r="D319" s="105"/>
      <c r="E319" s="105"/>
      <c r="F319" s="105"/>
      <c r="G319" s="105"/>
      <c r="H319" s="105"/>
      <c r="I319" s="482"/>
      <c r="J319" s="108"/>
      <c r="K319" s="108"/>
      <c r="L319" s="106"/>
      <c r="M319" s="960"/>
      <c r="N319" s="106"/>
      <c r="O319" s="106"/>
      <c r="P319" s="106"/>
      <c r="Q319" s="109"/>
      <c r="R319" s="106"/>
      <c r="S319" s="960"/>
      <c r="T319" s="106"/>
      <c r="U319" s="106"/>
      <c r="V319" s="284">
        <f>Table62689345[[#This Row],[Offer Value]]-Table62689345[[#This Row],[PO Value]]</f>
        <v>0</v>
      </c>
      <c r="W319" s="106"/>
      <c r="X319" s="106"/>
      <c r="Y319" s="200"/>
      <c r="Z319" s="641"/>
      <c r="AA319" s="7"/>
    </row>
    <row r="320" spans="1:27" ht="15.6">
      <c r="A320" s="106"/>
      <c r="B320" s="107"/>
      <c r="C320" s="849"/>
      <c r="D320" s="105"/>
      <c r="E320" s="105"/>
      <c r="F320" s="105"/>
      <c r="G320" s="105"/>
      <c r="H320" s="105"/>
      <c r="I320" s="482"/>
      <c r="J320" s="108"/>
      <c r="K320" s="108"/>
      <c r="L320" s="106"/>
      <c r="M320" s="960"/>
      <c r="N320" s="106"/>
      <c r="O320" s="106"/>
      <c r="P320" s="106"/>
      <c r="Q320" s="109"/>
      <c r="R320" s="106"/>
      <c r="S320" s="960"/>
      <c r="T320" s="106"/>
      <c r="U320" s="106"/>
      <c r="V320" s="284">
        <f>Table62689345[[#This Row],[Offer Value]]-Table62689345[[#This Row],[PO Value]]</f>
        <v>0</v>
      </c>
      <c r="W320" s="106"/>
      <c r="X320" s="106"/>
      <c r="Y320" s="200"/>
      <c r="Z320" s="641"/>
      <c r="AA320" s="7"/>
    </row>
    <row r="321" spans="1:27" ht="15.6">
      <c r="A321" s="106"/>
      <c r="B321" s="107"/>
      <c r="C321" s="849"/>
      <c r="D321" s="105"/>
      <c r="E321" s="105"/>
      <c r="F321" s="105"/>
      <c r="G321" s="105"/>
      <c r="H321" s="105"/>
      <c r="I321" s="482"/>
      <c r="J321" s="108"/>
      <c r="K321" s="108"/>
      <c r="L321" s="106"/>
      <c r="M321" s="960"/>
      <c r="N321" s="106"/>
      <c r="O321" s="106"/>
      <c r="P321" s="106"/>
      <c r="Q321" s="109"/>
      <c r="R321" s="106"/>
      <c r="S321" s="960"/>
      <c r="T321" s="106"/>
      <c r="U321" s="106"/>
      <c r="V321" s="284">
        <f>Table62689345[[#This Row],[Offer Value]]-Table62689345[[#This Row],[PO Value]]</f>
        <v>0</v>
      </c>
      <c r="W321" s="106"/>
      <c r="X321" s="106"/>
      <c r="Y321" s="200"/>
      <c r="Z321" s="641"/>
      <c r="AA321" s="7"/>
    </row>
    <row r="322" spans="1:27" ht="15.6">
      <c r="A322" s="106"/>
      <c r="B322" s="107"/>
      <c r="C322" s="849"/>
      <c r="D322" s="105"/>
      <c r="E322" s="105"/>
      <c r="F322" s="105"/>
      <c r="G322" s="105"/>
      <c r="H322" s="105"/>
      <c r="I322" s="482"/>
      <c r="J322" s="108"/>
      <c r="K322" s="108"/>
      <c r="L322" s="106"/>
      <c r="M322" s="960"/>
      <c r="N322" s="106"/>
      <c r="O322" s="106"/>
      <c r="P322" s="106"/>
      <c r="Q322" s="109"/>
      <c r="R322" s="106"/>
      <c r="S322" s="960"/>
      <c r="T322" s="106"/>
      <c r="U322" s="106"/>
      <c r="V322" s="284">
        <f>Table62689345[[#This Row],[Offer Value]]-Table62689345[[#This Row],[PO Value]]</f>
        <v>0</v>
      </c>
      <c r="W322" s="106"/>
      <c r="X322" s="106"/>
      <c r="Y322" s="200"/>
      <c r="Z322" s="641"/>
      <c r="AA322" s="7"/>
    </row>
    <row r="323" spans="1:27" ht="15.6">
      <c r="A323" s="106"/>
      <c r="B323" s="107"/>
      <c r="C323" s="849"/>
      <c r="D323" s="105"/>
      <c r="E323" s="105"/>
      <c r="F323" s="105"/>
      <c r="G323" s="105"/>
      <c r="H323" s="105"/>
      <c r="I323" s="482"/>
      <c r="J323" s="108"/>
      <c r="K323" s="108"/>
      <c r="L323" s="106"/>
      <c r="M323" s="960"/>
      <c r="N323" s="106"/>
      <c r="O323" s="106"/>
      <c r="P323" s="106"/>
      <c r="Q323" s="109"/>
      <c r="R323" s="106"/>
      <c r="S323" s="960"/>
      <c r="T323" s="106"/>
      <c r="U323" s="106"/>
      <c r="V323" s="284">
        <f>Table62689345[[#This Row],[Offer Value]]-Table62689345[[#This Row],[PO Value]]</f>
        <v>0</v>
      </c>
      <c r="W323" s="106"/>
      <c r="X323" s="106"/>
      <c r="Y323" s="200"/>
      <c r="Z323" s="641"/>
      <c r="AA323" s="7"/>
    </row>
    <row r="324" spans="1:27" ht="15.6">
      <c r="A324" s="106"/>
      <c r="B324" s="107"/>
      <c r="C324" s="849"/>
      <c r="D324" s="105"/>
      <c r="E324" s="105"/>
      <c r="F324" s="105"/>
      <c r="G324" s="105"/>
      <c r="H324" s="105"/>
      <c r="I324" s="482"/>
      <c r="J324" s="108"/>
      <c r="K324" s="108"/>
      <c r="L324" s="106"/>
      <c r="M324" s="960"/>
      <c r="N324" s="106"/>
      <c r="O324" s="106"/>
      <c r="P324" s="106"/>
      <c r="Q324" s="109"/>
      <c r="R324" s="106"/>
      <c r="S324" s="960"/>
      <c r="T324" s="106"/>
      <c r="U324" s="106"/>
      <c r="V324" s="284">
        <f>Table62689345[[#This Row],[Offer Value]]-Table62689345[[#This Row],[PO Value]]</f>
        <v>0</v>
      </c>
      <c r="W324" s="106"/>
      <c r="X324" s="106"/>
      <c r="Y324" s="200"/>
      <c r="Z324" s="641"/>
      <c r="AA324" s="7"/>
    </row>
    <row r="325" spans="1:27" ht="15.6">
      <c r="A325" s="106"/>
      <c r="B325" s="107"/>
      <c r="C325" s="849"/>
      <c r="D325" s="105"/>
      <c r="E325" s="105"/>
      <c r="F325" s="105"/>
      <c r="G325" s="105"/>
      <c r="H325" s="105"/>
      <c r="I325" s="482"/>
      <c r="J325" s="108"/>
      <c r="K325" s="108"/>
      <c r="L325" s="106"/>
      <c r="M325" s="960"/>
      <c r="N325" s="106"/>
      <c r="O325" s="106"/>
      <c r="P325" s="106"/>
      <c r="Q325" s="109"/>
      <c r="R325" s="106"/>
      <c r="S325" s="960"/>
      <c r="T325" s="106"/>
      <c r="U325" s="106"/>
      <c r="V325" s="284">
        <f>Table62689345[[#This Row],[Offer Value]]-Table62689345[[#This Row],[PO Value]]</f>
        <v>0</v>
      </c>
      <c r="W325" s="106"/>
      <c r="X325" s="106"/>
      <c r="Y325" s="200"/>
      <c r="Z325" s="641"/>
      <c r="AA325" s="7"/>
    </row>
    <row r="326" spans="1:27" ht="15.6">
      <c r="A326" s="106"/>
      <c r="B326" s="107"/>
      <c r="C326" s="849"/>
      <c r="D326" s="105"/>
      <c r="E326" s="105"/>
      <c r="F326" s="105"/>
      <c r="G326" s="105"/>
      <c r="H326" s="105"/>
      <c r="I326" s="482"/>
      <c r="J326" s="108"/>
      <c r="K326" s="108"/>
      <c r="L326" s="106"/>
      <c r="M326" s="960"/>
      <c r="N326" s="106"/>
      <c r="O326" s="106"/>
      <c r="P326" s="106"/>
      <c r="Q326" s="109"/>
      <c r="R326" s="106"/>
      <c r="S326" s="960"/>
      <c r="T326" s="106"/>
      <c r="U326" s="106"/>
      <c r="V326" s="284">
        <f>Table62689345[[#This Row],[Offer Value]]-Table62689345[[#This Row],[PO Value]]</f>
        <v>0</v>
      </c>
      <c r="W326" s="106"/>
      <c r="X326" s="106"/>
      <c r="Y326" s="200"/>
      <c r="Z326" s="641"/>
      <c r="AA326" s="7"/>
    </row>
    <row r="327" spans="1:27" ht="15.6">
      <c r="A327" s="106"/>
      <c r="B327" s="107"/>
      <c r="C327" s="849"/>
      <c r="D327" s="105"/>
      <c r="E327" s="105"/>
      <c r="F327" s="105"/>
      <c r="G327" s="105"/>
      <c r="H327" s="105"/>
      <c r="I327" s="482"/>
      <c r="J327" s="108"/>
      <c r="K327" s="108"/>
      <c r="L327" s="106"/>
      <c r="M327" s="960"/>
      <c r="N327" s="106"/>
      <c r="O327" s="106"/>
      <c r="P327" s="106"/>
      <c r="Q327" s="109"/>
      <c r="R327" s="106"/>
      <c r="S327" s="960"/>
      <c r="T327" s="106"/>
      <c r="U327" s="106"/>
      <c r="V327" s="284">
        <f>Table62689345[[#This Row],[Offer Value]]-Table62689345[[#This Row],[PO Value]]</f>
        <v>0</v>
      </c>
      <c r="W327" s="106"/>
      <c r="X327" s="106"/>
      <c r="Y327" s="200"/>
      <c r="Z327" s="641"/>
      <c r="AA327" s="7"/>
    </row>
    <row r="328" spans="1:27" ht="15.6">
      <c r="A328" s="106"/>
      <c r="B328" s="107"/>
      <c r="C328" s="849"/>
      <c r="D328" s="105"/>
      <c r="E328" s="105"/>
      <c r="F328" s="105"/>
      <c r="G328" s="105"/>
      <c r="H328" s="105"/>
      <c r="I328" s="482"/>
      <c r="J328" s="108"/>
      <c r="K328" s="108"/>
      <c r="L328" s="106"/>
      <c r="M328" s="960"/>
      <c r="N328" s="106"/>
      <c r="O328" s="106"/>
      <c r="P328" s="106"/>
      <c r="Q328" s="109"/>
      <c r="R328" s="107"/>
      <c r="S328" s="960"/>
      <c r="T328" s="106"/>
      <c r="U328" s="106"/>
      <c r="V328" s="284">
        <f>Table62689345[[#This Row],[Offer Value]]-Table62689345[[#This Row],[PO Value]]</f>
        <v>0</v>
      </c>
      <c r="W328" s="106"/>
      <c r="X328" s="106"/>
      <c r="Y328" s="486"/>
      <c r="Z328" s="641"/>
      <c r="AA328" s="7"/>
    </row>
    <row r="329" spans="1:27" ht="15.6">
      <c r="A329" s="106"/>
      <c r="B329" s="107"/>
      <c r="C329" s="849"/>
      <c r="D329" s="105"/>
      <c r="E329" s="105"/>
      <c r="F329" s="105"/>
      <c r="G329" s="105"/>
      <c r="H329" s="105"/>
      <c r="I329" s="482"/>
      <c r="J329" s="108"/>
      <c r="K329" s="108"/>
      <c r="L329" s="106"/>
      <c r="M329" s="960"/>
      <c r="N329" s="106"/>
      <c r="O329" s="106"/>
      <c r="P329" s="106"/>
      <c r="Q329" s="109"/>
      <c r="R329" s="106"/>
      <c r="S329" s="960"/>
      <c r="T329" s="106"/>
      <c r="U329" s="106"/>
      <c r="V329" s="284">
        <f>Table62689345[[#This Row],[Offer Value]]-Table62689345[[#This Row],[PO Value]]</f>
        <v>0</v>
      </c>
      <c r="W329" s="106"/>
      <c r="X329" s="106"/>
      <c r="Y329" s="200"/>
      <c r="Z329" s="641"/>
      <c r="AA329" s="7"/>
    </row>
    <row r="330" spans="1:27" ht="15.6">
      <c r="A330" s="106"/>
      <c r="B330" s="107"/>
      <c r="C330" s="849"/>
      <c r="D330" s="105"/>
      <c r="E330" s="105"/>
      <c r="F330" s="105"/>
      <c r="G330" s="105"/>
      <c r="H330" s="105"/>
      <c r="I330" s="482"/>
      <c r="J330" s="108"/>
      <c r="K330" s="108"/>
      <c r="L330" s="106"/>
      <c r="M330" s="960"/>
      <c r="N330" s="106"/>
      <c r="O330" s="106"/>
      <c r="P330" s="106"/>
      <c r="Q330" s="109"/>
      <c r="R330" s="106"/>
      <c r="S330" s="960"/>
      <c r="T330" s="106"/>
      <c r="U330" s="106"/>
      <c r="V330" s="284">
        <f>Table62689345[[#This Row],[Offer Value]]-Table62689345[[#This Row],[PO Value]]</f>
        <v>0</v>
      </c>
      <c r="W330" s="106"/>
      <c r="X330" s="106"/>
      <c r="Y330" s="200"/>
      <c r="Z330" s="641"/>
      <c r="AA330" s="7"/>
    </row>
    <row r="331" spans="1:27" ht="15.6">
      <c r="A331" s="106"/>
      <c r="B331" s="107"/>
      <c r="C331" s="849"/>
      <c r="D331" s="105"/>
      <c r="E331" s="105"/>
      <c r="F331" s="105"/>
      <c r="G331" s="105"/>
      <c r="H331" s="105"/>
      <c r="I331" s="482"/>
      <c r="J331" s="108"/>
      <c r="K331" s="108"/>
      <c r="L331" s="106"/>
      <c r="M331" s="960"/>
      <c r="N331" s="106"/>
      <c r="O331" s="106"/>
      <c r="P331" s="106"/>
      <c r="Q331" s="109"/>
      <c r="R331" s="106"/>
      <c r="S331" s="960"/>
      <c r="T331" s="106"/>
      <c r="U331" s="106"/>
      <c r="V331" s="284">
        <f>Table62689345[[#This Row],[Offer Value]]-Table62689345[[#This Row],[PO Value]]</f>
        <v>0</v>
      </c>
      <c r="W331" s="106"/>
      <c r="X331" s="106"/>
      <c r="Y331" s="200"/>
      <c r="Z331" s="641"/>
      <c r="AA331" s="7"/>
    </row>
    <row r="332" spans="1:27" ht="15.6">
      <c r="A332" s="106"/>
      <c r="B332" s="107"/>
      <c r="C332" s="849"/>
      <c r="D332" s="105"/>
      <c r="E332" s="105"/>
      <c r="F332" s="105"/>
      <c r="G332" s="105"/>
      <c r="H332" s="105"/>
      <c r="I332" s="482"/>
      <c r="J332" s="108"/>
      <c r="K332" s="108"/>
      <c r="L332" s="106"/>
      <c r="M332" s="960"/>
      <c r="N332" s="106"/>
      <c r="O332" s="106"/>
      <c r="P332" s="106"/>
      <c r="Q332" s="109"/>
      <c r="R332" s="106"/>
      <c r="S332" s="960"/>
      <c r="T332" s="106"/>
      <c r="U332" s="106"/>
      <c r="V332" s="284">
        <f>Table62689345[[#This Row],[Offer Value]]-Table62689345[[#This Row],[PO Value]]</f>
        <v>0</v>
      </c>
      <c r="W332" s="106"/>
      <c r="X332" s="106"/>
      <c r="Y332" s="200"/>
      <c r="Z332" s="641"/>
      <c r="AA332" s="7"/>
    </row>
    <row r="333" spans="1:27" ht="15.6">
      <c r="A333" s="106"/>
      <c r="B333" s="107"/>
      <c r="C333" s="849"/>
      <c r="D333" s="105"/>
      <c r="E333" s="105"/>
      <c r="F333" s="105"/>
      <c r="G333" s="105"/>
      <c r="H333" s="105"/>
      <c r="I333" s="482"/>
      <c r="J333" s="108"/>
      <c r="K333" s="108"/>
      <c r="L333" s="106"/>
      <c r="M333" s="960"/>
      <c r="N333" s="106"/>
      <c r="O333" s="106"/>
      <c r="P333" s="106"/>
      <c r="Q333" s="109"/>
      <c r="R333" s="106"/>
      <c r="S333" s="960"/>
      <c r="T333" s="106"/>
      <c r="U333" s="106"/>
      <c r="V333" s="284">
        <f>Table62689345[[#This Row],[Offer Value]]-Table62689345[[#This Row],[PO Value]]</f>
        <v>0</v>
      </c>
      <c r="W333" s="106"/>
      <c r="X333" s="106"/>
      <c r="Y333" s="200"/>
      <c r="Z333" s="641"/>
      <c r="AA333" s="7"/>
    </row>
    <row r="334" spans="1:27" ht="15.6">
      <c r="A334" s="106"/>
      <c r="B334" s="107"/>
      <c r="C334" s="849"/>
      <c r="D334" s="105"/>
      <c r="E334" s="105"/>
      <c r="F334" s="105"/>
      <c r="G334" s="105"/>
      <c r="H334" s="105"/>
      <c r="I334" s="482"/>
      <c r="J334" s="108"/>
      <c r="K334" s="108"/>
      <c r="L334" s="106"/>
      <c r="M334" s="960"/>
      <c r="N334" s="106"/>
      <c r="O334" s="106"/>
      <c r="P334" s="106"/>
      <c r="Q334" s="109"/>
      <c r="R334" s="106"/>
      <c r="S334" s="960"/>
      <c r="T334" s="106"/>
      <c r="U334" s="106"/>
      <c r="V334" s="284">
        <f>Table62689345[[#This Row],[Offer Value]]-Table62689345[[#This Row],[PO Value]]</f>
        <v>0</v>
      </c>
      <c r="W334" s="106"/>
      <c r="X334" s="106"/>
      <c r="Y334" s="200"/>
      <c r="Z334" s="641"/>
      <c r="AA334" s="7"/>
    </row>
    <row r="335" spans="1:27" ht="15.6">
      <c r="A335" s="106"/>
      <c r="B335" s="107"/>
      <c r="C335" s="849"/>
      <c r="D335" s="105"/>
      <c r="E335" s="105"/>
      <c r="F335" s="105"/>
      <c r="G335" s="105"/>
      <c r="H335" s="105"/>
      <c r="I335" s="482"/>
      <c r="J335" s="108"/>
      <c r="K335" s="108"/>
      <c r="L335" s="106"/>
      <c r="M335" s="960"/>
      <c r="N335" s="106"/>
      <c r="O335" s="106"/>
      <c r="P335" s="106"/>
      <c r="Q335" s="109"/>
      <c r="R335" s="106"/>
      <c r="S335" s="960"/>
      <c r="T335" s="106"/>
      <c r="U335" s="106"/>
      <c r="V335" s="284">
        <f>Table62689345[[#This Row],[Offer Value]]-Table62689345[[#This Row],[PO Value]]</f>
        <v>0</v>
      </c>
      <c r="W335" s="106"/>
      <c r="X335" s="106"/>
      <c r="Y335" s="200"/>
      <c r="Z335" s="641"/>
      <c r="AA335" s="7"/>
    </row>
    <row r="336" spans="1:27" ht="15.6">
      <c r="A336" s="106"/>
      <c r="B336" s="107"/>
      <c r="C336" s="849"/>
      <c r="D336" s="105"/>
      <c r="E336" s="105"/>
      <c r="F336" s="105"/>
      <c r="G336" s="105"/>
      <c r="H336" s="105"/>
      <c r="I336" s="482"/>
      <c r="J336" s="108"/>
      <c r="K336" s="108"/>
      <c r="L336" s="106"/>
      <c r="M336" s="960"/>
      <c r="N336" s="106"/>
      <c r="O336" s="106"/>
      <c r="P336" s="106"/>
      <c r="Q336" s="109"/>
      <c r="R336" s="107"/>
      <c r="S336" s="960"/>
      <c r="T336" s="106"/>
      <c r="U336" s="106"/>
      <c r="V336" s="284">
        <f>Table62689345[[#This Row],[Offer Value]]-Table62689345[[#This Row],[PO Value]]</f>
        <v>0</v>
      </c>
      <c r="W336" s="106"/>
      <c r="X336" s="106"/>
      <c r="Y336" s="486"/>
      <c r="Z336" s="641"/>
      <c r="AA336" s="7"/>
    </row>
    <row r="337" spans="1:27" ht="15.6">
      <c r="A337" s="106"/>
      <c r="B337" s="107"/>
      <c r="C337" s="851"/>
      <c r="D337" s="106"/>
      <c r="E337" s="106"/>
      <c r="F337" s="106"/>
      <c r="G337" s="106"/>
      <c r="H337" s="106"/>
      <c r="I337" s="482"/>
      <c r="J337" s="108"/>
      <c r="K337" s="108"/>
      <c r="L337" s="106"/>
      <c r="M337" s="960"/>
      <c r="N337" s="106"/>
      <c r="O337" s="106"/>
      <c r="P337" s="106"/>
      <c r="Q337" s="109"/>
      <c r="R337" s="106"/>
      <c r="S337" s="960"/>
      <c r="T337" s="106"/>
      <c r="U337" s="106"/>
      <c r="V337" s="284">
        <f>Table62689345[[#This Row],[Offer Value]]-Table62689345[[#This Row],[PO Value]]</f>
        <v>0</v>
      </c>
      <c r="W337" s="106"/>
      <c r="X337" s="106"/>
      <c r="Y337" s="200"/>
      <c r="Z337" s="641"/>
      <c r="AA337" s="7"/>
    </row>
    <row r="338" spans="1:27" ht="15.6">
      <c r="A338" s="106"/>
      <c r="B338" s="107"/>
      <c r="C338" s="851"/>
      <c r="D338" s="106"/>
      <c r="E338" s="106"/>
      <c r="F338" s="106"/>
      <c r="G338" s="106"/>
      <c r="H338" s="106"/>
      <c r="I338" s="482"/>
      <c r="J338" s="108"/>
      <c r="K338" s="108"/>
      <c r="L338" s="106"/>
      <c r="M338" s="960"/>
      <c r="N338" s="106"/>
      <c r="O338" s="106"/>
      <c r="P338" s="106"/>
      <c r="Q338" s="109"/>
      <c r="R338" s="106"/>
      <c r="S338" s="960"/>
      <c r="T338" s="106"/>
      <c r="U338" s="106"/>
      <c r="V338" s="284">
        <f>Table62689345[[#This Row],[Offer Value]]-Table62689345[[#This Row],[PO Value]]</f>
        <v>0</v>
      </c>
      <c r="W338" s="106"/>
      <c r="X338" s="106"/>
      <c r="Y338" s="200"/>
      <c r="Z338" s="641"/>
      <c r="AA338" s="7"/>
    </row>
    <row r="339" spans="1:27" ht="15.6">
      <c r="A339" s="106"/>
      <c r="B339" s="107"/>
      <c r="C339" s="851"/>
      <c r="D339" s="106"/>
      <c r="E339" s="106"/>
      <c r="F339" s="106"/>
      <c r="G339" s="106"/>
      <c r="H339" s="106"/>
      <c r="I339" s="482"/>
      <c r="J339" s="108"/>
      <c r="K339" s="108"/>
      <c r="L339" s="106"/>
      <c r="M339" s="960"/>
      <c r="N339" s="106"/>
      <c r="O339" s="106"/>
      <c r="P339" s="106"/>
      <c r="Q339" s="109"/>
      <c r="R339" s="106"/>
      <c r="S339" s="960"/>
      <c r="T339" s="106"/>
      <c r="U339" s="106"/>
      <c r="V339" s="284">
        <f>Table62689345[[#This Row],[Offer Value]]-Table62689345[[#This Row],[PO Value]]</f>
        <v>0</v>
      </c>
      <c r="W339" s="106"/>
      <c r="X339" s="106"/>
      <c r="Y339" s="200"/>
      <c r="Z339" s="641"/>
      <c r="AA339" s="7"/>
    </row>
    <row r="340" spans="1:27" ht="15.6">
      <c r="A340" s="106"/>
      <c r="B340" s="107"/>
      <c r="C340" s="851"/>
      <c r="D340" s="106"/>
      <c r="E340" s="106"/>
      <c r="F340" s="106"/>
      <c r="G340" s="106"/>
      <c r="H340" s="106"/>
      <c r="I340" s="482"/>
      <c r="J340" s="108"/>
      <c r="K340" s="108"/>
      <c r="L340" s="106"/>
      <c r="M340" s="960"/>
      <c r="N340" s="106"/>
      <c r="O340" s="106"/>
      <c r="P340" s="106"/>
      <c r="Q340" s="109"/>
      <c r="R340" s="106"/>
      <c r="S340" s="960"/>
      <c r="T340" s="106"/>
      <c r="U340" s="106"/>
      <c r="V340" s="284">
        <f>Table62689345[[#This Row],[Offer Value]]-Table62689345[[#This Row],[PO Value]]</f>
        <v>0</v>
      </c>
      <c r="W340" s="106"/>
      <c r="X340" s="106"/>
      <c r="Y340" s="200"/>
      <c r="Z340" s="641"/>
      <c r="AA340" s="7"/>
    </row>
    <row r="341" spans="1:27" ht="15.6">
      <c r="A341" s="106"/>
      <c r="B341" s="107"/>
      <c r="C341" s="851"/>
      <c r="D341" s="106"/>
      <c r="E341" s="106"/>
      <c r="F341" s="106"/>
      <c r="G341" s="106"/>
      <c r="H341" s="106"/>
      <c r="I341" s="482"/>
      <c r="J341" s="108"/>
      <c r="K341" s="108"/>
      <c r="L341" s="106"/>
      <c r="M341" s="960"/>
      <c r="N341" s="106"/>
      <c r="O341" s="106"/>
      <c r="P341" s="106"/>
      <c r="Q341" s="109"/>
      <c r="R341" s="106"/>
      <c r="S341" s="960"/>
      <c r="T341" s="106"/>
      <c r="U341" s="106"/>
      <c r="V341" s="284">
        <f>Table62689345[[#This Row],[Offer Value]]-Table62689345[[#This Row],[PO Value]]</f>
        <v>0</v>
      </c>
      <c r="W341" s="106"/>
      <c r="X341" s="106"/>
      <c r="Y341" s="200"/>
      <c r="Z341" s="641"/>
      <c r="AA341" s="7"/>
    </row>
    <row r="342" spans="1:27" ht="15.6">
      <c r="A342" s="106"/>
      <c r="B342" s="107"/>
      <c r="C342" s="851"/>
      <c r="D342" s="106"/>
      <c r="E342" s="106"/>
      <c r="F342" s="106"/>
      <c r="G342" s="106"/>
      <c r="H342" s="106"/>
      <c r="I342" s="482"/>
      <c r="J342" s="108"/>
      <c r="K342" s="108"/>
      <c r="L342" s="106"/>
      <c r="M342" s="960"/>
      <c r="N342" s="106"/>
      <c r="O342" s="106"/>
      <c r="P342" s="106"/>
      <c r="Q342" s="109"/>
      <c r="R342" s="106"/>
      <c r="S342" s="960"/>
      <c r="T342" s="106"/>
      <c r="U342" s="106"/>
      <c r="V342" s="284">
        <f>Table62689345[[#This Row],[Offer Value]]-Table62689345[[#This Row],[PO Value]]</f>
        <v>0</v>
      </c>
      <c r="W342" s="106"/>
      <c r="X342" s="106"/>
      <c r="Y342" s="200"/>
      <c r="Z342" s="641"/>
      <c r="AA342" s="7"/>
    </row>
    <row r="343" spans="1:27" ht="15.6">
      <c r="A343" s="106"/>
      <c r="B343" s="107"/>
      <c r="C343" s="851"/>
      <c r="D343" s="106"/>
      <c r="E343" s="106"/>
      <c r="F343" s="106"/>
      <c r="G343" s="106"/>
      <c r="H343" s="106"/>
      <c r="I343" s="482"/>
      <c r="J343" s="108"/>
      <c r="K343" s="108"/>
      <c r="L343" s="106"/>
      <c r="M343" s="960"/>
      <c r="N343" s="106"/>
      <c r="O343" s="106"/>
      <c r="P343" s="106"/>
      <c r="Q343" s="109"/>
      <c r="R343" s="106"/>
      <c r="S343" s="960"/>
      <c r="T343" s="106"/>
      <c r="U343" s="106"/>
      <c r="V343" s="284">
        <f>Table62689345[[#This Row],[Offer Value]]-Table62689345[[#This Row],[PO Value]]</f>
        <v>0</v>
      </c>
      <c r="W343" s="106"/>
      <c r="X343" s="106"/>
      <c r="Y343" s="200"/>
      <c r="Z343" s="641"/>
      <c r="AA343" s="7"/>
    </row>
    <row r="344" spans="1:27" ht="15.6">
      <c r="A344" s="106"/>
      <c r="B344" s="107"/>
      <c r="C344" s="851"/>
      <c r="D344" s="106"/>
      <c r="E344" s="106"/>
      <c r="F344" s="106"/>
      <c r="G344" s="106"/>
      <c r="H344" s="106"/>
      <c r="I344" s="482"/>
      <c r="J344" s="108"/>
      <c r="K344" s="108"/>
      <c r="L344" s="106"/>
      <c r="M344" s="960"/>
      <c r="N344" s="106"/>
      <c r="O344" s="106"/>
      <c r="P344" s="106"/>
      <c r="Q344" s="109"/>
      <c r="R344" s="106"/>
      <c r="S344" s="960"/>
      <c r="T344" s="106"/>
      <c r="U344" s="106"/>
      <c r="V344" s="284">
        <f>Table62689345[[#This Row],[Offer Value]]-Table62689345[[#This Row],[PO Value]]</f>
        <v>0</v>
      </c>
      <c r="W344" s="106"/>
      <c r="X344" s="106"/>
      <c r="Y344" s="200"/>
      <c r="Z344" s="641"/>
      <c r="AA344" s="7"/>
    </row>
    <row r="345" spans="1:27" ht="15.6">
      <c r="A345" s="106"/>
      <c r="B345" s="107"/>
      <c r="C345" s="851"/>
      <c r="D345" s="106"/>
      <c r="E345" s="106"/>
      <c r="F345" s="106"/>
      <c r="G345" s="106"/>
      <c r="H345" s="106"/>
      <c r="I345" s="482"/>
      <c r="J345" s="108"/>
      <c r="K345" s="108"/>
      <c r="L345" s="106"/>
      <c r="M345" s="960"/>
      <c r="N345" s="106"/>
      <c r="O345" s="106"/>
      <c r="P345" s="106"/>
      <c r="Q345" s="109"/>
      <c r="R345" s="106"/>
      <c r="S345" s="960"/>
      <c r="T345" s="106"/>
      <c r="U345" s="106"/>
      <c r="V345" s="284">
        <f>Table62689345[[#This Row],[Offer Value]]-Table62689345[[#This Row],[PO Value]]</f>
        <v>0</v>
      </c>
      <c r="W345" s="106"/>
      <c r="X345" s="106"/>
      <c r="Y345" s="200"/>
      <c r="Z345" s="641"/>
      <c r="AA345" s="7"/>
    </row>
    <row r="346" spans="1:27" ht="15.6">
      <c r="A346" s="106"/>
      <c r="B346" s="107"/>
      <c r="C346" s="851"/>
      <c r="D346" s="106"/>
      <c r="E346" s="106"/>
      <c r="F346" s="106"/>
      <c r="G346" s="106"/>
      <c r="H346" s="106"/>
      <c r="I346" s="482"/>
      <c r="J346" s="108"/>
      <c r="K346" s="108"/>
      <c r="L346" s="106"/>
      <c r="M346" s="960"/>
      <c r="N346" s="106"/>
      <c r="O346" s="106"/>
      <c r="P346" s="106"/>
      <c r="Q346" s="109"/>
      <c r="R346" s="106"/>
      <c r="S346" s="960"/>
      <c r="T346" s="106"/>
      <c r="U346" s="106"/>
      <c r="V346" s="284">
        <f>Table62689345[[#This Row],[Offer Value]]-Table62689345[[#This Row],[PO Value]]</f>
        <v>0</v>
      </c>
      <c r="W346" s="106"/>
      <c r="X346" s="106"/>
      <c r="Y346" s="200"/>
      <c r="Z346" s="641"/>
      <c r="AA346" s="7"/>
    </row>
    <row r="347" spans="1:27" ht="15.6">
      <c r="A347" s="106"/>
      <c r="B347" s="107"/>
      <c r="C347" s="851"/>
      <c r="D347" s="106"/>
      <c r="E347" s="106"/>
      <c r="F347" s="106"/>
      <c r="G347" s="106"/>
      <c r="H347" s="106"/>
      <c r="I347" s="482"/>
      <c r="J347" s="108"/>
      <c r="K347" s="108"/>
      <c r="L347" s="106"/>
      <c r="M347" s="960"/>
      <c r="N347" s="106"/>
      <c r="O347" s="106"/>
      <c r="P347" s="106"/>
      <c r="Q347" s="109"/>
      <c r="R347" s="106"/>
      <c r="S347" s="960"/>
      <c r="T347" s="106"/>
      <c r="U347" s="106"/>
      <c r="V347" s="284">
        <f>Table62689345[[#This Row],[Offer Value]]-Table62689345[[#This Row],[PO Value]]</f>
        <v>0</v>
      </c>
      <c r="W347" s="106"/>
      <c r="X347" s="106"/>
      <c r="Y347" s="200"/>
      <c r="Z347" s="641"/>
      <c r="AA347" s="7"/>
    </row>
    <row r="348" spans="1:27" ht="15.6">
      <c r="A348" s="106"/>
      <c r="B348" s="107"/>
      <c r="C348" s="851"/>
      <c r="D348" s="106"/>
      <c r="E348" s="106"/>
      <c r="F348" s="106"/>
      <c r="G348" s="106"/>
      <c r="H348" s="106"/>
      <c r="I348" s="482"/>
      <c r="J348" s="108"/>
      <c r="K348" s="108"/>
      <c r="L348" s="106"/>
      <c r="M348" s="960"/>
      <c r="N348" s="106"/>
      <c r="O348" s="106"/>
      <c r="P348" s="106"/>
      <c r="Q348" s="109"/>
      <c r="R348" s="106"/>
      <c r="S348" s="960"/>
      <c r="T348" s="106"/>
      <c r="U348" s="106"/>
      <c r="V348" s="284">
        <f>Table62689345[[#This Row],[Offer Value]]-Table62689345[[#This Row],[PO Value]]</f>
        <v>0</v>
      </c>
      <c r="W348" s="106"/>
      <c r="X348" s="106"/>
      <c r="Y348" s="200"/>
      <c r="Z348" s="641"/>
      <c r="AA348" s="7"/>
    </row>
    <row r="349" spans="1:27" ht="15.6">
      <c r="A349" s="106"/>
      <c r="B349" s="107"/>
      <c r="C349" s="851"/>
      <c r="D349" s="106"/>
      <c r="E349" s="106"/>
      <c r="F349" s="106"/>
      <c r="G349" s="106"/>
      <c r="H349" s="106"/>
      <c r="I349" s="482"/>
      <c r="J349" s="108"/>
      <c r="K349" s="108"/>
      <c r="L349" s="106"/>
      <c r="M349" s="960"/>
      <c r="N349" s="106"/>
      <c r="O349" s="106"/>
      <c r="P349" s="106"/>
      <c r="Q349" s="109"/>
      <c r="R349" s="106"/>
      <c r="S349" s="960"/>
      <c r="T349" s="106"/>
      <c r="U349" s="106"/>
      <c r="V349" s="284">
        <f>Table62689345[[#This Row],[Offer Value]]-Table62689345[[#This Row],[PO Value]]</f>
        <v>0</v>
      </c>
      <c r="W349" s="106"/>
      <c r="X349" s="106"/>
      <c r="Y349" s="200"/>
      <c r="Z349" s="641"/>
      <c r="AA349" s="7"/>
    </row>
    <row r="350" spans="1:27" ht="15.6">
      <c r="A350" s="106"/>
      <c r="B350" s="107"/>
      <c r="C350" s="851"/>
      <c r="D350" s="106"/>
      <c r="E350" s="106"/>
      <c r="F350" s="106"/>
      <c r="G350" s="106"/>
      <c r="H350" s="106"/>
      <c r="I350" s="482"/>
      <c r="J350" s="108"/>
      <c r="K350" s="108"/>
      <c r="L350" s="106"/>
      <c r="M350" s="960"/>
      <c r="N350" s="106"/>
      <c r="O350" s="106"/>
      <c r="P350" s="106"/>
      <c r="Q350" s="109"/>
      <c r="R350" s="106"/>
      <c r="S350" s="960"/>
      <c r="T350" s="106"/>
      <c r="U350" s="106"/>
      <c r="V350" s="284">
        <f>Table62689345[[#This Row],[Offer Value]]-Table62689345[[#This Row],[PO Value]]</f>
        <v>0</v>
      </c>
      <c r="W350" s="106"/>
      <c r="X350" s="106"/>
      <c r="Y350" s="200"/>
      <c r="Z350" s="641"/>
      <c r="AA350" s="7"/>
    </row>
    <row r="351" spans="1:27" ht="15.6">
      <c r="A351" s="106"/>
      <c r="B351" s="107"/>
      <c r="C351" s="851"/>
      <c r="D351" s="106"/>
      <c r="E351" s="106"/>
      <c r="F351" s="106"/>
      <c r="G351" s="106"/>
      <c r="H351" s="106"/>
      <c r="I351" s="106"/>
      <c r="J351" s="108"/>
      <c r="K351" s="108"/>
      <c r="L351" s="106"/>
      <c r="M351" s="960"/>
      <c r="N351" s="106"/>
      <c r="O351" s="106"/>
      <c r="P351" s="106"/>
      <c r="Q351" s="109"/>
      <c r="R351" s="106"/>
      <c r="S351" s="960"/>
      <c r="T351" s="106"/>
      <c r="U351" s="106"/>
      <c r="V351" s="284">
        <f>Table62689345[[#This Row],[Offer Value]]-Table62689345[[#This Row],[PO Value]]</f>
        <v>0</v>
      </c>
      <c r="W351" s="106"/>
      <c r="X351" s="106"/>
      <c r="Y351" s="200"/>
      <c r="Z351" s="641"/>
      <c r="AA351" s="7"/>
    </row>
    <row r="352" spans="1:27" ht="15.6">
      <c r="A352" s="106"/>
      <c r="B352" s="107"/>
      <c r="C352" s="851"/>
      <c r="D352" s="106"/>
      <c r="E352" s="106"/>
      <c r="F352" s="106"/>
      <c r="G352" s="106"/>
      <c r="H352" s="106"/>
      <c r="I352" s="106"/>
      <c r="J352" s="108"/>
      <c r="K352" s="108"/>
      <c r="L352" s="106"/>
      <c r="M352" s="960"/>
      <c r="N352" s="106"/>
      <c r="O352" s="106"/>
      <c r="P352" s="106"/>
      <c r="Q352" s="109"/>
      <c r="R352" s="106"/>
      <c r="S352" s="960"/>
      <c r="T352" s="106"/>
      <c r="U352" s="106"/>
      <c r="V352" s="284">
        <f>Table62689345[[#This Row],[Offer Value]]-Table62689345[[#This Row],[PO Value]]</f>
        <v>0</v>
      </c>
      <c r="W352" s="106"/>
      <c r="X352" s="106"/>
      <c r="Y352" s="200"/>
      <c r="Z352" s="641"/>
      <c r="AA352" s="7"/>
    </row>
    <row r="353" spans="1:27" ht="15.6">
      <c r="A353" s="106"/>
      <c r="B353" s="107"/>
      <c r="C353" s="851"/>
      <c r="D353" s="106"/>
      <c r="E353" s="106"/>
      <c r="F353" s="106"/>
      <c r="G353" s="106"/>
      <c r="H353" s="106"/>
      <c r="I353" s="106"/>
      <c r="J353" s="108"/>
      <c r="K353" s="108"/>
      <c r="L353" s="106"/>
      <c r="M353" s="960"/>
      <c r="N353" s="106"/>
      <c r="O353" s="106"/>
      <c r="P353" s="106"/>
      <c r="Q353" s="109"/>
      <c r="R353" s="106"/>
      <c r="S353" s="960"/>
      <c r="T353" s="106"/>
      <c r="U353" s="106"/>
      <c r="V353" s="284">
        <f>Table62689345[[#This Row],[Offer Value]]-Table62689345[[#This Row],[PO Value]]</f>
        <v>0</v>
      </c>
      <c r="W353" s="106"/>
      <c r="X353" s="106"/>
      <c r="Y353" s="200"/>
      <c r="Z353" s="641"/>
      <c r="AA353" s="7"/>
    </row>
    <row r="354" spans="1:27" ht="15.6">
      <c r="A354" s="106"/>
      <c r="B354" s="107"/>
      <c r="C354" s="851"/>
      <c r="D354" s="106"/>
      <c r="E354" s="106"/>
      <c r="F354" s="106"/>
      <c r="G354" s="106"/>
      <c r="H354" s="106"/>
      <c r="I354" s="106"/>
      <c r="J354" s="108"/>
      <c r="K354" s="108"/>
      <c r="L354" s="106"/>
      <c r="M354" s="960"/>
      <c r="N354" s="106"/>
      <c r="O354" s="106"/>
      <c r="P354" s="106"/>
      <c r="Q354" s="109"/>
      <c r="R354" s="106"/>
      <c r="S354" s="960"/>
      <c r="T354" s="106"/>
      <c r="U354" s="106"/>
      <c r="V354" s="284">
        <f>Table62689345[[#This Row],[Offer Value]]-Table62689345[[#This Row],[PO Value]]</f>
        <v>0</v>
      </c>
      <c r="W354" s="106"/>
      <c r="X354" s="106"/>
      <c r="Y354" s="200"/>
      <c r="Z354" s="641"/>
      <c r="AA354" s="7"/>
    </row>
    <row r="355" spans="1:27" ht="15.6">
      <c r="A355" s="106"/>
      <c r="B355" s="107"/>
      <c r="C355" s="851"/>
      <c r="D355" s="106"/>
      <c r="E355" s="106"/>
      <c r="F355" s="106"/>
      <c r="G355" s="106"/>
      <c r="H355" s="106"/>
      <c r="I355" s="106"/>
      <c r="J355" s="108"/>
      <c r="K355" s="108"/>
      <c r="L355" s="106"/>
      <c r="M355" s="960"/>
      <c r="N355" s="106"/>
      <c r="O355" s="106"/>
      <c r="P355" s="106"/>
      <c r="Q355" s="109"/>
      <c r="R355" s="106"/>
      <c r="S355" s="960"/>
      <c r="T355" s="106"/>
      <c r="U355" s="106"/>
      <c r="V355" s="284">
        <f>Table62689345[[#This Row],[Offer Value]]-Table62689345[[#This Row],[PO Value]]</f>
        <v>0</v>
      </c>
      <c r="W355" s="106"/>
      <c r="X355" s="106"/>
      <c r="Y355" s="200"/>
      <c r="Z355" s="641"/>
      <c r="AA355" s="7"/>
    </row>
    <row r="356" spans="1:27" ht="15.6">
      <c r="A356" s="106"/>
      <c r="B356" s="107"/>
      <c r="C356" s="851"/>
      <c r="D356" s="106"/>
      <c r="E356" s="106"/>
      <c r="F356" s="106"/>
      <c r="G356" s="106"/>
      <c r="H356" s="106"/>
      <c r="I356" s="106"/>
      <c r="J356" s="108"/>
      <c r="K356" s="108"/>
      <c r="L356" s="106"/>
      <c r="M356" s="960"/>
      <c r="N356" s="106"/>
      <c r="O356" s="106"/>
      <c r="P356" s="106"/>
      <c r="Q356" s="109"/>
      <c r="R356" s="106"/>
      <c r="S356" s="960"/>
      <c r="T356" s="106"/>
      <c r="U356" s="106"/>
      <c r="V356" s="284">
        <f>Table62689345[[#This Row],[Offer Value]]-Table62689345[[#This Row],[PO Value]]</f>
        <v>0</v>
      </c>
      <c r="W356" s="106"/>
      <c r="X356" s="106"/>
      <c r="Y356" s="200"/>
      <c r="Z356" s="641"/>
      <c r="AA356" s="7"/>
    </row>
    <row r="357" spans="1:27" ht="15.6">
      <c r="A357" s="106"/>
      <c r="B357" s="107"/>
      <c r="C357" s="851"/>
      <c r="D357" s="106"/>
      <c r="E357" s="106"/>
      <c r="F357" s="106"/>
      <c r="G357" s="106"/>
      <c r="H357" s="106"/>
      <c r="I357" s="106"/>
      <c r="J357" s="108"/>
      <c r="K357" s="108"/>
      <c r="L357" s="106"/>
      <c r="M357" s="960"/>
      <c r="N357" s="106"/>
      <c r="O357" s="106"/>
      <c r="P357" s="106"/>
      <c r="Q357" s="109"/>
      <c r="R357" s="106"/>
      <c r="S357" s="960"/>
      <c r="T357" s="106"/>
      <c r="U357" s="106"/>
      <c r="V357" s="284">
        <f>Table62689345[[#This Row],[Offer Value]]-Table62689345[[#This Row],[PO Value]]</f>
        <v>0</v>
      </c>
      <c r="W357" s="106"/>
      <c r="X357" s="106"/>
      <c r="Y357" s="200"/>
      <c r="Z357" s="641"/>
      <c r="AA357" s="7"/>
    </row>
    <row r="358" spans="1:27" ht="15.6">
      <c r="A358" s="106"/>
      <c r="B358" s="107"/>
      <c r="C358" s="851"/>
      <c r="D358" s="106"/>
      <c r="E358" s="106"/>
      <c r="F358" s="106"/>
      <c r="G358" s="106"/>
      <c r="H358" s="106"/>
      <c r="I358" s="106"/>
      <c r="J358" s="108"/>
      <c r="K358" s="108"/>
      <c r="L358" s="106"/>
      <c r="M358" s="960"/>
      <c r="N358" s="106"/>
      <c r="O358" s="106"/>
      <c r="P358" s="106"/>
      <c r="Q358" s="109"/>
      <c r="R358" s="106"/>
      <c r="S358" s="960"/>
      <c r="T358" s="106"/>
      <c r="U358" s="106"/>
      <c r="V358" s="284">
        <f>Table62689345[[#This Row],[Offer Value]]-Table62689345[[#This Row],[PO Value]]</f>
        <v>0</v>
      </c>
      <c r="W358" s="106"/>
      <c r="X358" s="106"/>
      <c r="Y358" s="200"/>
      <c r="Z358" s="641"/>
      <c r="AA358" s="7"/>
    </row>
    <row r="359" spans="1:27" ht="15.6">
      <c r="A359" s="106"/>
      <c r="B359" s="107"/>
      <c r="C359" s="851"/>
      <c r="D359" s="106"/>
      <c r="E359" s="106"/>
      <c r="F359" s="106"/>
      <c r="G359" s="106"/>
      <c r="H359" s="106"/>
      <c r="I359" s="106"/>
      <c r="J359" s="108"/>
      <c r="K359" s="108"/>
      <c r="L359" s="106"/>
      <c r="M359" s="960"/>
      <c r="N359" s="106"/>
      <c r="O359" s="106"/>
      <c r="P359" s="106"/>
      <c r="Q359" s="109"/>
      <c r="R359" s="106"/>
      <c r="S359" s="960"/>
      <c r="T359" s="106"/>
      <c r="U359" s="106"/>
      <c r="V359" s="284">
        <f>Table62689345[[#This Row],[Offer Value]]-Table62689345[[#This Row],[PO Value]]</f>
        <v>0</v>
      </c>
      <c r="W359" s="106"/>
      <c r="X359" s="106"/>
      <c r="Y359" s="200"/>
      <c r="Z359" s="641"/>
      <c r="AA359" s="7"/>
    </row>
    <row r="360" spans="1:27" ht="15.6">
      <c r="A360" s="106"/>
      <c r="B360" s="107"/>
      <c r="C360" s="851"/>
      <c r="D360" s="106"/>
      <c r="E360" s="106"/>
      <c r="F360" s="106"/>
      <c r="G360" s="106"/>
      <c r="H360" s="106"/>
      <c r="I360" s="106"/>
      <c r="J360" s="108"/>
      <c r="K360" s="108"/>
      <c r="L360" s="106"/>
      <c r="M360" s="960"/>
      <c r="N360" s="106"/>
      <c r="O360" s="106"/>
      <c r="P360" s="106"/>
      <c r="Q360" s="109"/>
      <c r="R360" s="106"/>
      <c r="S360" s="960"/>
      <c r="T360" s="106"/>
      <c r="U360" s="106"/>
      <c r="V360" s="284">
        <f>Table62689345[[#This Row],[Offer Value]]-Table62689345[[#This Row],[PO Value]]</f>
        <v>0</v>
      </c>
      <c r="W360" s="106"/>
      <c r="X360" s="106"/>
      <c r="Y360" s="200"/>
      <c r="Z360" s="641"/>
      <c r="AA360" s="7"/>
    </row>
    <row r="361" spans="1:27" ht="15.6">
      <c r="A361" s="106"/>
      <c r="B361" s="107"/>
      <c r="C361" s="851"/>
      <c r="D361" s="106"/>
      <c r="E361" s="106"/>
      <c r="F361" s="106"/>
      <c r="G361" s="106"/>
      <c r="H361" s="106"/>
      <c r="I361" s="106"/>
      <c r="J361" s="108"/>
      <c r="K361" s="108"/>
      <c r="L361" s="106"/>
      <c r="M361" s="960"/>
      <c r="N361" s="106"/>
      <c r="O361" s="106"/>
      <c r="P361" s="106"/>
      <c r="Q361" s="109"/>
      <c r="R361" s="106"/>
      <c r="S361" s="960"/>
      <c r="T361" s="106"/>
      <c r="U361" s="106"/>
      <c r="V361" s="284">
        <f>Table62689345[[#This Row],[Offer Value]]-Table62689345[[#This Row],[PO Value]]</f>
        <v>0</v>
      </c>
      <c r="W361" s="106"/>
      <c r="X361" s="106"/>
      <c r="Y361" s="200"/>
      <c r="Z361" s="641"/>
      <c r="AA361" s="7"/>
    </row>
    <row r="362" spans="1:27" ht="15.6">
      <c r="A362" s="106"/>
      <c r="B362" s="107"/>
      <c r="C362" s="851"/>
      <c r="D362" s="106"/>
      <c r="E362" s="106"/>
      <c r="F362" s="106"/>
      <c r="G362" s="106"/>
      <c r="H362" s="106"/>
      <c r="I362" s="106"/>
      <c r="J362" s="108"/>
      <c r="K362" s="108"/>
      <c r="L362" s="106"/>
      <c r="M362" s="960"/>
      <c r="N362" s="106"/>
      <c r="O362" s="106"/>
      <c r="P362" s="106"/>
      <c r="Q362" s="109"/>
      <c r="R362" s="106"/>
      <c r="S362" s="960"/>
      <c r="T362" s="106"/>
      <c r="U362" s="106"/>
      <c r="V362" s="284">
        <f>Table62689345[[#This Row],[Offer Value]]-Table62689345[[#This Row],[PO Value]]</f>
        <v>0</v>
      </c>
      <c r="W362" s="106"/>
      <c r="X362" s="106"/>
      <c r="Y362" s="200"/>
      <c r="Z362" s="641"/>
      <c r="AA362" s="7"/>
    </row>
    <row r="363" spans="1:27" ht="15.6">
      <c r="A363" s="106"/>
      <c r="B363" s="107"/>
      <c r="C363" s="851"/>
      <c r="D363" s="106"/>
      <c r="E363" s="106"/>
      <c r="F363" s="106"/>
      <c r="G363" s="106"/>
      <c r="H363" s="106"/>
      <c r="I363" s="106"/>
      <c r="J363" s="108"/>
      <c r="K363" s="108"/>
      <c r="L363" s="106"/>
      <c r="M363" s="960"/>
      <c r="N363" s="106"/>
      <c r="O363" s="106"/>
      <c r="P363" s="106"/>
      <c r="Q363" s="109"/>
      <c r="R363" s="106"/>
      <c r="S363" s="960"/>
      <c r="T363" s="106"/>
      <c r="U363" s="106"/>
      <c r="V363" s="284">
        <f>Table62689345[[#This Row],[Offer Value]]-Table62689345[[#This Row],[PO Value]]</f>
        <v>0</v>
      </c>
      <c r="W363" s="106"/>
      <c r="X363" s="106"/>
      <c r="Y363" s="200"/>
      <c r="Z363" s="641"/>
      <c r="AA363" s="7"/>
    </row>
    <row r="364" spans="1:27" ht="15.6">
      <c r="A364" s="106"/>
      <c r="B364" s="107"/>
      <c r="C364" s="851"/>
      <c r="D364" s="106"/>
      <c r="E364" s="106"/>
      <c r="F364" s="106"/>
      <c r="G364" s="106"/>
      <c r="H364" s="106"/>
      <c r="I364" s="106"/>
      <c r="J364" s="108"/>
      <c r="K364" s="108"/>
      <c r="L364" s="106"/>
      <c r="M364" s="960"/>
      <c r="N364" s="106"/>
      <c r="O364" s="106"/>
      <c r="P364" s="106"/>
      <c r="Q364" s="109"/>
      <c r="R364" s="106"/>
      <c r="S364" s="960"/>
      <c r="T364" s="106"/>
      <c r="U364" s="106"/>
      <c r="V364" s="284">
        <f>Table62689345[[#This Row],[Offer Value]]-Table62689345[[#This Row],[PO Value]]</f>
        <v>0</v>
      </c>
      <c r="W364" s="106"/>
      <c r="X364" s="106"/>
      <c r="Y364" s="200"/>
      <c r="Z364" s="641"/>
      <c r="AA364" s="7"/>
    </row>
    <row r="365" spans="1:27" ht="15.6">
      <c r="A365" s="106"/>
      <c r="B365" s="107"/>
      <c r="C365" s="851"/>
      <c r="D365" s="106"/>
      <c r="E365" s="106"/>
      <c r="F365" s="106"/>
      <c r="G365" s="106"/>
      <c r="H365" s="106"/>
      <c r="I365" s="106"/>
      <c r="J365" s="108"/>
      <c r="K365" s="108"/>
      <c r="L365" s="106"/>
      <c r="M365" s="960"/>
      <c r="N365" s="106"/>
      <c r="O365" s="106"/>
      <c r="P365" s="106"/>
      <c r="Q365" s="109"/>
      <c r="R365" s="106"/>
      <c r="S365" s="960"/>
      <c r="T365" s="106"/>
      <c r="U365" s="106"/>
      <c r="V365" s="284">
        <f>Table62689345[[#This Row],[Offer Value]]-Table62689345[[#This Row],[PO Value]]</f>
        <v>0</v>
      </c>
      <c r="W365" s="106"/>
      <c r="X365" s="106"/>
      <c r="Y365" s="200"/>
      <c r="Z365" s="641"/>
      <c r="AA365" s="7"/>
    </row>
    <row r="366" spans="1:27" ht="15.6">
      <c r="A366" s="106"/>
      <c r="B366" s="107"/>
      <c r="C366" s="851"/>
      <c r="D366" s="106"/>
      <c r="E366" s="106"/>
      <c r="F366" s="106"/>
      <c r="G366" s="106"/>
      <c r="H366" s="106"/>
      <c r="I366" s="106"/>
      <c r="J366" s="108"/>
      <c r="K366" s="108"/>
      <c r="L366" s="106"/>
      <c r="M366" s="960"/>
      <c r="N366" s="106"/>
      <c r="O366" s="106"/>
      <c r="P366" s="106"/>
      <c r="Q366" s="109"/>
      <c r="R366" s="106"/>
      <c r="S366" s="960"/>
      <c r="T366" s="106"/>
      <c r="U366" s="106"/>
      <c r="V366" s="284">
        <f>Table62689345[[#This Row],[Offer Value]]-Table62689345[[#This Row],[PO Value]]</f>
        <v>0</v>
      </c>
      <c r="W366" s="106"/>
      <c r="X366" s="106"/>
      <c r="Y366" s="200"/>
      <c r="Z366" s="641"/>
      <c r="AA366" s="7"/>
    </row>
    <row r="367" spans="1:27" ht="15.6">
      <c r="A367" s="106"/>
      <c r="B367" s="107"/>
      <c r="C367" s="851"/>
      <c r="D367" s="106"/>
      <c r="E367" s="106"/>
      <c r="F367" s="106"/>
      <c r="G367" s="106"/>
      <c r="H367" s="106"/>
      <c r="I367" s="106"/>
      <c r="J367" s="108"/>
      <c r="K367" s="108"/>
      <c r="L367" s="106"/>
      <c r="M367" s="960"/>
      <c r="N367" s="106"/>
      <c r="O367" s="106"/>
      <c r="P367" s="106"/>
      <c r="Q367" s="109"/>
      <c r="R367" s="106"/>
      <c r="S367" s="960"/>
      <c r="T367" s="106"/>
      <c r="U367" s="106"/>
      <c r="V367" s="284">
        <f>Table62689345[[#This Row],[Offer Value]]-Table62689345[[#This Row],[PO Value]]</f>
        <v>0</v>
      </c>
      <c r="W367" s="106"/>
      <c r="X367" s="106"/>
      <c r="Y367" s="200"/>
      <c r="Z367" s="641"/>
      <c r="AA367" s="7"/>
    </row>
    <row r="368" spans="1:27" ht="15.6">
      <c r="A368" s="106"/>
      <c r="B368" s="107"/>
      <c r="C368" s="851"/>
      <c r="D368" s="106"/>
      <c r="E368" s="106"/>
      <c r="F368" s="106"/>
      <c r="G368" s="106"/>
      <c r="H368" s="106"/>
      <c r="I368" s="106"/>
      <c r="J368" s="108"/>
      <c r="K368" s="108"/>
      <c r="L368" s="106"/>
      <c r="M368" s="960"/>
      <c r="N368" s="106"/>
      <c r="O368" s="106"/>
      <c r="P368" s="106"/>
      <c r="Q368" s="109"/>
      <c r="R368" s="106"/>
      <c r="S368" s="960"/>
      <c r="T368" s="106"/>
      <c r="U368" s="106"/>
      <c r="V368" s="284">
        <f>Table62689345[[#This Row],[Offer Value]]-Table62689345[[#This Row],[PO Value]]</f>
        <v>0</v>
      </c>
      <c r="W368" s="106"/>
      <c r="X368" s="106"/>
      <c r="Y368" s="200"/>
      <c r="Z368" s="641"/>
      <c r="AA368" s="7"/>
    </row>
    <row r="369" spans="1:27" ht="15.6">
      <c r="A369" s="106"/>
      <c r="B369" s="107"/>
      <c r="C369" s="891"/>
      <c r="D369" s="110"/>
      <c r="E369" s="110"/>
      <c r="F369" s="110"/>
      <c r="G369" s="110"/>
      <c r="H369" s="110"/>
      <c r="I369" s="110"/>
      <c r="J369" s="108"/>
      <c r="K369" s="108"/>
      <c r="L369" s="106"/>
      <c r="M369" s="960"/>
      <c r="N369" s="106"/>
      <c r="O369" s="106"/>
      <c r="P369" s="106"/>
      <c r="Q369" s="109"/>
      <c r="R369" s="106"/>
      <c r="S369" s="960"/>
      <c r="T369" s="106"/>
      <c r="U369" s="106"/>
      <c r="V369" s="284">
        <f>Table62689345[[#This Row],[Offer Value]]-Table62689345[[#This Row],[PO Value]]</f>
        <v>0</v>
      </c>
      <c r="W369" s="106"/>
      <c r="X369" s="106"/>
      <c r="Y369" s="200"/>
      <c r="Z369" s="641"/>
      <c r="AA369" s="7"/>
    </row>
    <row r="370" spans="1:27" ht="15.6">
      <c r="A370" s="106"/>
      <c r="B370" s="107"/>
      <c r="C370" s="851"/>
      <c r="D370" s="106"/>
      <c r="E370" s="106"/>
      <c r="F370" s="106"/>
      <c r="G370" s="106"/>
      <c r="H370" s="106"/>
      <c r="I370" s="106"/>
      <c r="J370" s="108"/>
      <c r="K370" s="108"/>
      <c r="L370" s="106"/>
      <c r="M370" s="960"/>
      <c r="N370" s="106"/>
      <c r="O370" s="106"/>
      <c r="P370" s="106"/>
      <c r="Q370" s="109"/>
      <c r="R370" s="106"/>
      <c r="S370" s="960"/>
      <c r="T370" s="106"/>
      <c r="U370" s="106"/>
      <c r="V370" s="284">
        <f>Table62689345[[#This Row],[Offer Value]]-Table62689345[[#This Row],[PO Value]]</f>
        <v>0</v>
      </c>
      <c r="W370" s="106"/>
      <c r="X370" s="106"/>
      <c r="Y370" s="200"/>
      <c r="Z370" s="641"/>
      <c r="AA370" s="7"/>
    </row>
    <row r="371" spans="1:27" ht="15.6">
      <c r="A371" s="106"/>
      <c r="B371" s="107"/>
      <c r="C371" s="851"/>
      <c r="D371" s="106"/>
      <c r="E371" s="106"/>
      <c r="F371" s="106"/>
      <c r="G371" s="106"/>
      <c r="H371" s="106"/>
      <c r="I371" s="106"/>
      <c r="J371" s="108"/>
      <c r="K371" s="108"/>
      <c r="L371" s="106"/>
      <c r="M371" s="960"/>
      <c r="N371" s="106"/>
      <c r="O371" s="106"/>
      <c r="P371" s="106"/>
      <c r="Q371" s="109"/>
      <c r="R371" s="106"/>
      <c r="S371" s="960"/>
      <c r="T371" s="106"/>
      <c r="U371" s="106"/>
      <c r="V371" s="284">
        <f>Table62689345[[#This Row],[Offer Value]]-Table62689345[[#This Row],[PO Value]]</f>
        <v>0</v>
      </c>
      <c r="W371" s="106"/>
      <c r="X371" s="106"/>
      <c r="Y371" s="200"/>
      <c r="Z371" s="641"/>
      <c r="AA371" s="7"/>
    </row>
    <row r="372" spans="1:27" ht="15.6">
      <c r="A372" s="106"/>
      <c r="B372" s="107"/>
      <c r="C372" s="851"/>
      <c r="D372" s="106"/>
      <c r="E372" s="106"/>
      <c r="F372" s="106"/>
      <c r="G372" s="106"/>
      <c r="H372" s="106"/>
      <c r="I372" s="106"/>
      <c r="J372" s="108"/>
      <c r="K372" s="108"/>
      <c r="L372" s="106"/>
      <c r="M372" s="960"/>
      <c r="N372" s="106"/>
      <c r="O372" s="106"/>
      <c r="P372" s="106"/>
      <c r="Q372" s="109"/>
      <c r="R372" s="106"/>
      <c r="S372" s="960"/>
      <c r="T372" s="106"/>
      <c r="U372" s="106"/>
      <c r="V372" s="284">
        <f>Table62689345[[#This Row],[Offer Value]]-Table62689345[[#This Row],[PO Value]]</f>
        <v>0</v>
      </c>
      <c r="W372" s="106"/>
      <c r="X372" s="106"/>
      <c r="Y372" s="200"/>
      <c r="Z372" s="641"/>
      <c r="AA372" s="7"/>
    </row>
    <row r="373" spans="1:27" ht="15.6">
      <c r="A373" s="106"/>
      <c r="B373" s="107"/>
      <c r="C373" s="851"/>
      <c r="D373" s="106"/>
      <c r="E373" s="106"/>
      <c r="F373" s="106"/>
      <c r="G373" s="106"/>
      <c r="H373" s="106"/>
      <c r="I373" s="106"/>
      <c r="J373" s="108"/>
      <c r="K373" s="108"/>
      <c r="L373" s="106"/>
      <c r="M373" s="960"/>
      <c r="N373" s="106"/>
      <c r="O373" s="106"/>
      <c r="P373" s="106"/>
      <c r="Q373" s="109"/>
      <c r="R373" s="106"/>
      <c r="S373" s="960"/>
      <c r="T373" s="106"/>
      <c r="U373" s="106"/>
      <c r="V373" s="284">
        <f>Table62689345[[#This Row],[Offer Value]]-Table62689345[[#This Row],[PO Value]]</f>
        <v>0</v>
      </c>
      <c r="W373" s="106"/>
      <c r="X373" s="106"/>
      <c r="Y373" s="200"/>
      <c r="Z373" s="641"/>
      <c r="AA373" s="7"/>
    </row>
    <row r="374" spans="1:27" ht="15.6">
      <c r="A374" s="106"/>
      <c r="B374" s="107"/>
      <c r="C374" s="851"/>
      <c r="D374" s="106"/>
      <c r="E374" s="106"/>
      <c r="F374" s="106"/>
      <c r="G374" s="106"/>
      <c r="H374" s="106"/>
      <c r="I374" s="106"/>
      <c r="J374" s="108"/>
      <c r="K374" s="108"/>
      <c r="L374" s="106"/>
      <c r="M374" s="960"/>
      <c r="N374" s="106"/>
      <c r="O374" s="106"/>
      <c r="P374" s="106"/>
      <c r="Q374" s="109"/>
      <c r="R374" s="106"/>
      <c r="S374" s="960"/>
      <c r="T374" s="106"/>
      <c r="U374" s="106"/>
      <c r="V374" s="284">
        <f>Table62689345[[#This Row],[Offer Value]]-Table62689345[[#This Row],[PO Value]]</f>
        <v>0</v>
      </c>
      <c r="W374" s="106"/>
      <c r="X374" s="106"/>
      <c r="Y374" s="200"/>
      <c r="Z374" s="641"/>
      <c r="AA374" s="7"/>
    </row>
    <row r="375" spans="1:27" ht="15.6">
      <c r="A375" s="106"/>
      <c r="B375" s="107"/>
      <c r="C375" s="851"/>
      <c r="D375" s="106"/>
      <c r="E375" s="106"/>
      <c r="F375" s="106"/>
      <c r="G375" s="106"/>
      <c r="H375" s="106"/>
      <c r="I375" s="106"/>
      <c r="J375" s="108"/>
      <c r="K375" s="108"/>
      <c r="L375" s="106"/>
      <c r="M375" s="960"/>
      <c r="N375" s="106"/>
      <c r="O375" s="106"/>
      <c r="P375" s="106"/>
      <c r="Q375" s="109"/>
      <c r="R375" s="106"/>
      <c r="S375" s="960"/>
      <c r="T375" s="106"/>
      <c r="U375" s="106"/>
      <c r="V375" s="284">
        <f>Table62689345[[#This Row],[Offer Value]]-Table62689345[[#This Row],[PO Value]]</f>
        <v>0</v>
      </c>
      <c r="W375" s="106"/>
      <c r="X375" s="106"/>
      <c r="Y375" s="200"/>
      <c r="Z375" s="641"/>
      <c r="AA375" s="7"/>
    </row>
    <row r="376" spans="1:27" ht="15.6">
      <c r="A376" s="106"/>
      <c r="B376" s="107"/>
      <c r="C376" s="851"/>
      <c r="D376" s="106"/>
      <c r="E376" s="106"/>
      <c r="F376" s="106"/>
      <c r="G376" s="106"/>
      <c r="H376" s="106"/>
      <c r="I376" s="106"/>
      <c r="J376" s="108"/>
      <c r="K376" s="108"/>
      <c r="L376" s="106"/>
      <c r="M376" s="960"/>
      <c r="N376" s="106"/>
      <c r="O376" s="106"/>
      <c r="P376" s="106"/>
      <c r="Q376" s="109"/>
      <c r="R376" s="106"/>
      <c r="S376" s="960"/>
      <c r="T376" s="106"/>
      <c r="U376" s="106"/>
      <c r="V376" s="284">
        <f>Table62689345[[#This Row],[Offer Value]]-Table62689345[[#This Row],[PO Value]]</f>
        <v>0</v>
      </c>
      <c r="W376" s="106"/>
      <c r="X376" s="106"/>
      <c r="Y376" s="200"/>
      <c r="Z376" s="641"/>
      <c r="AA376" s="7"/>
    </row>
    <row r="377" spans="1:27" ht="15.6">
      <c r="A377" s="106"/>
      <c r="B377" s="107"/>
      <c r="C377" s="851"/>
      <c r="D377" s="106"/>
      <c r="E377" s="106"/>
      <c r="F377" s="106"/>
      <c r="G377" s="106"/>
      <c r="H377" s="106"/>
      <c r="I377" s="106"/>
      <c r="J377" s="108"/>
      <c r="K377" s="108"/>
      <c r="L377" s="106"/>
      <c r="M377" s="960"/>
      <c r="N377" s="106"/>
      <c r="O377" s="106"/>
      <c r="P377" s="106"/>
      <c r="Q377" s="109"/>
      <c r="R377" s="106"/>
      <c r="S377" s="960"/>
      <c r="T377" s="106"/>
      <c r="U377" s="106"/>
      <c r="V377" s="284">
        <f>Table62689345[[#This Row],[Offer Value]]-Table62689345[[#This Row],[PO Value]]</f>
        <v>0</v>
      </c>
      <c r="W377" s="106"/>
      <c r="X377" s="106"/>
      <c r="Y377" s="200"/>
      <c r="Z377" s="641"/>
      <c r="AA377" s="7"/>
    </row>
    <row r="378" spans="1:27" ht="15.6">
      <c r="A378" s="106"/>
      <c r="B378" s="107"/>
      <c r="C378" s="851"/>
      <c r="D378" s="106"/>
      <c r="E378" s="106"/>
      <c r="F378" s="106"/>
      <c r="G378" s="106"/>
      <c r="H378" s="106"/>
      <c r="I378" s="106"/>
      <c r="J378" s="108"/>
      <c r="K378" s="108"/>
      <c r="L378" s="106"/>
      <c r="M378" s="960"/>
      <c r="N378" s="106"/>
      <c r="O378" s="106"/>
      <c r="P378" s="106"/>
      <c r="Q378" s="109"/>
      <c r="R378" s="106"/>
      <c r="S378" s="960"/>
      <c r="T378" s="106"/>
      <c r="U378" s="106"/>
      <c r="V378" s="284">
        <f>Table62689345[[#This Row],[Offer Value]]-Table62689345[[#This Row],[PO Value]]</f>
        <v>0</v>
      </c>
      <c r="W378" s="106"/>
      <c r="X378" s="106"/>
      <c r="Y378" s="200"/>
      <c r="Z378" s="641"/>
      <c r="AA378" s="7"/>
    </row>
    <row r="379" spans="1:27" ht="15.6">
      <c r="A379" s="106"/>
      <c r="B379" s="107"/>
      <c r="C379" s="851"/>
      <c r="D379" s="106"/>
      <c r="E379" s="106"/>
      <c r="F379" s="106"/>
      <c r="G379" s="106"/>
      <c r="H379" s="106"/>
      <c r="I379" s="106"/>
      <c r="J379" s="108"/>
      <c r="K379" s="108"/>
      <c r="L379" s="106"/>
      <c r="M379" s="960"/>
      <c r="N379" s="106"/>
      <c r="O379" s="106"/>
      <c r="P379" s="106"/>
      <c r="Q379" s="109"/>
      <c r="R379" s="106"/>
      <c r="S379" s="960"/>
      <c r="T379" s="106"/>
      <c r="U379" s="106"/>
      <c r="V379" s="284">
        <f>Table62689345[[#This Row],[Offer Value]]-Table62689345[[#This Row],[PO Value]]</f>
        <v>0</v>
      </c>
      <c r="W379" s="106"/>
      <c r="X379" s="106"/>
      <c r="Y379" s="200"/>
      <c r="Z379" s="641"/>
      <c r="AA379" s="7"/>
    </row>
    <row r="380" spans="1:27" ht="15.6">
      <c r="A380" s="106"/>
      <c r="B380" s="107"/>
      <c r="C380" s="851"/>
      <c r="D380" s="106"/>
      <c r="E380" s="106"/>
      <c r="F380" s="106"/>
      <c r="G380" s="106"/>
      <c r="H380" s="106"/>
      <c r="I380" s="106"/>
      <c r="J380" s="108"/>
      <c r="K380" s="108"/>
      <c r="L380" s="106"/>
      <c r="M380" s="960"/>
      <c r="N380" s="106"/>
      <c r="O380" s="106"/>
      <c r="P380" s="106"/>
      <c r="Q380" s="109"/>
      <c r="R380" s="106"/>
      <c r="S380" s="960"/>
      <c r="T380" s="106"/>
      <c r="U380" s="106"/>
      <c r="V380" s="284">
        <f>Table62689345[[#This Row],[Offer Value]]-Table62689345[[#This Row],[PO Value]]</f>
        <v>0</v>
      </c>
      <c r="W380" s="106"/>
      <c r="X380" s="106"/>
      <c r="Y380" s="200"/>
      <c r="Z380" s="641"/>
      <c r="AA380" s="7"/>
    </row>
    <row r="381" spans="1:27" ht="15.6">
      <c r="A381" s="106"/>
      <c r="B381" s="107"/>
      <c r="C381" s="851"/>
      <c r="D381" s="106"/>
      <c r="E381" s="106"/>
      <c r="F381" s="106"/>
      <c r="G381" s="106"/>
      <c r="H381" s="106"/>
      <c r="I381" s="106"/>
      <c r="J381" s="108"/>
      <c r="K381" s="108"/>
      <c r="L381" s="106"/>
      <c r="M381" s="960"/>
      <c r="N381" s="106"/>
      <c r="O381" s="106"/>
      <c r="P381" s="106"/>
      <c r="Q381" s="109"/>
      <c r="R381" s="106"/>
      <c r="S381" s="960"/>
      <c r="T381" s="106"/>
      <c r="U381" s="106"/>
      <c r="V381" s="284">
        <f>Table62689345[[#This Row],[Offer Value]]-Table62689345[[#This Row],[PO Value]]</f>
        <v>0</v>
      </c>
      <c r="W381" s="106"/>
      <c r="X381" s="106"/>
      <c r="Y381" s="200"/>
      <c r="Z381" s="641"/>
      <c r="AA381" s="7"/>
    </row>
    <row r="382" spans="1:27" ht="15.6">
      <c r="A382" s="106"/>
      <c r="B382" s="107"/>
      <c r="C382" s="851"/>
      <c r="D382" s="106"/>
      <c r="E382" s="106"/>
      <c r="F382" s="106"/>
      <c r="G382" s="106"/>
      <c r="H382" s="106"/>
      <c r="I382" s="106"/>
      <c r="J382" s="108"/>
      <c r="K382" s="108"/>
      <c r="L382" s="106"/>
      <c r="M382" s="960"/>
      <c r="N382" s="106"/>
      <c r="O382" s="106"/>
      <c r="P382" s="106"/>
      <c r="Q382" s="109"/>
      <c r="R382" s="106"/>
      <c r="S382" s="960"/>
      <c r="T382" s="106"/>
      <c r="U382" s="106"/>
      <c r="V382" s="284">
        <f>Table62689345[[#This Row],[Offer Value]]-Table62689345[[#This Row],[PO Value]]</f>
        <v>0</v>
      </c>
      <c r="W382" s="106"/>
      <c r="X382" s="106"/>
      <c r="Y382" s="200"/>
      <c r="Z382" s="641"/>
      <c r="AA382" s="7"/>
    </row>
    <row r="383" spans="1:27" ht="15.6">
      <c r="A383" s="106"/>
      <c r="B383" s="107"/>
      <c r="C383" s="851"/>
      <c r="D383" s="106"/>
      <c r="E383" s="106"/>
      <c r="F383" s="106"/>
      <c r="G383" s="106"/>
      <c r="H383" s="106"/>
      <c r="I383" s="106"/>
      <c r="J383" s="108"/>
      <c r="K383" s="108"/>
      <c r="L383" s="106"/>
      <c r="M383" s="960"/>
      <c r="N383" s="106"/>
      <c r="O383" s="106"/>
      <c r="P383" s="106"/>
      <c r="Q383" s="109"/>
      <c r="R383" s="106"/>
      <c r="S383" s="960"/>
      <c r="T383" s="106"/>
      <c r="U383" s="106"/>
      <c r="V383" s="284">
        <f>Table62689345[[#This Row],[Offer Value]]-Table62689345[[#This Row],[PO Value]]</f>
        <v>0</v>
      </c>
      <c r="W383" s="106"/>
      <c r="X383" s="106"/>
      <c r="Y383" s="200"/>
      <c r="Z383" s="641"/>
      <c r="AA383" s="7"/>
    </row>
    <row r="384" spans="1:27" ht="15.6">
      <c r="A384" s="106"/>
      <c r="B384" s="107"/>
      <c r="C384" s="851"/>
      <c r="D384" s="106"/>
      <c r="E384" s="106"/>
      <c r="F384" s="106"/>
      <c r="G384" s="106"/>
      <c r="H384" s="106"/>
      <c r="I384" s="106"/>
      <c r="J384" s="108"/>
      <c r="K384" s="108"/>
      <c r="L384" s="106"/>
      <c r="M384" s="960"/>
      <c r="N384" s="106"/>
      <c r="O384" s="106"/>
      <c r="P384" s="106"/>
      <c r="Q384" s="109"/>
      <c r="R384" s="106"/>
      <c r="S384" s="960"/>
      <c r="T384" s="106"/>
      <c r="U384" s="106"/>
      <c r="V384" s="284">
        <f>Table62689345[[#This Row],[Offer Value]]-Table62689345[[#This Row],[PO Value]]</f>
        <v>0</v>
      </c>
      <c r="W384" s="106"/>
      <c r="X384" s="106"/>
      <c r="Y384" s="200"/>
      <c r="Z384" s="641"/>
      <c r="AA384" s="7"/>
    </row>
    <row r="385" spans="1:27" ht="15.6">
      <c r="A385" s="106"/>
      <c r="B385" s="107"/>
      <c r="C385" s="851"/>
      <c r="D385" s="106"/>
      <c r="E385" s="106"/>
      <c r="F385" s="106"/>
      <c r="G385" s="106"/>
      <c r="H385" s="106"/>
      <c r="I385" s="106"/>
      <c r="J385" s="108"/>
      <c r="K385" s="108"/>
      <c r="L385" s="106"/>
      <c r="M385" s="960"/>
      <c r="N385" s="106"/>
      <c r="O385" s="106"/>
      <c r="P385" s="106"/>
      <c r="Q385" s="109"/>
      <c r="R385" s="106"/>
      <c r="S385" s="960"/>
      <c r="T385" s="106"/>
      <c r="U385" s="106"/>
      <c r="V385" s="284">
        <f>Table62689345[[#This Row],[Offer Value]]-Table62689345[[#This Row],[PO Value]]</f>
        <v>0</v>
      </c>
      <c r="W385" s="106"/>
      <c r="X385" s="106"/>
      <c r="Y385" s="200"/>
      <c r="Z385" s="641"/>
      <c r="AA385" s="7"/>
    </row>
    <row r="386" spans="1:27" ht="15.6">
      <c r="A386" s="106"/>
      <c r="B386" s="107"/>
      <c r="C386" s="851"/>
      <c r="D386" s="106"/>
      <c r="E386" s="106"/>
      <c r="F386" s="106"/>
      <c r="G386" s="106"/>
      <c r="H386" s="106"/>
      <c r="I386" s="106"/>
      <c r="J386" s="108"/>
      <c r="K386" s="108"/>
      <c r="L386" s="106"/>
      <c r="M386" s="960"/>
      <c r="N386" s="106"/>
      <c r="O386" s="106"/>
      <c r="P386" s="106"/>
      <c r="Q386" s="109"/>
      <c r="R386" s="106"/>
      <c r="S386" s="960"/>
      <c r="T386" s="106"/>
      <c r="U386" s="106"/>
      <c r="V386" s="284">
        <f>Table62689345[[#This Row],[Offer Value]]-Table62689345[[#This Row],[PO Value]]</f>
        <v>0</v>
      </c>
      <c r="W386" s="106"/>
      <c r="X386" s="106"/>
      <c r="Y386" s="200"/>
      <c r="Z386" s="641"/>
      <c r="AA386" s="7"/>
    </row>
    <row r="387" spans="1:27" ht="15.6">
      <c r="A387" s="106"/>
      <c r="B387" s="107"/>
      <c r="C387" s="851"/>
      <c r="D387" s="106"/>
      <c r="E387" s="106"/>
      <c r="F387" s="106"/>
      <c r="G387" s="106"/>
      <c r="H387" s="106"/>
      <c r="I387" s="106"/>
      <c r="J387" s="108"/>
      <c r="K387" s="108"/>
      <c r="L387" s="106"/>
      <c r="M387" s="960"/>
      <c r="N387" s="106"/>
      <c r="O387" s="106"/>
      <c r="P387" s="106"/>
      <c r="Q387" s="109"/>
      <c r="R387" s="106"/>
      <c r="S387" s="960"/>
      <c r="T387" s="106"/>
      <c r="U387" s="106"/>
      <c r="V387" s="284">
        <f>Table62689345[[#This Row],[Offer Value]]-Table62689345[[#This Row],[PO Value]]</f>
        <v>0</v>
      </c>
      <c r="W387" s="106"/>
      <c r="X387" s="106"/>
      <c r="Y387" s="200"/>
      <c r="Z387" s="641"/>
      <c r="AA387" s="7"/>
    </row>
    <row r="388" spans="1:27" ht="15.6">
      <c r="A388" s="106"/>
      <c r="B388" s="107"/>
      <c r="C388" s="851"/>
      <c r="D388" s="106"/>
      <c r="E388" s="106"/>
      <c r="F388" s="106"/>
      <c r="G388" s="106"/>
      <c r="H388" s="106"/>
      <c r="I388" s="106"/>
      <c r="J388" s="108"/>
      <c r="K388" s="108"/>
      <c r="L388" s="106"/>
      <c r="M388" s="960"/>
      <c r="N388" s="106"/>
      <c r="O388" s="106"/>
      <c r="P388" s="106"/>
      <c r="Q388" s="109"/>
      <c r="R388" s="106"/>
      <c r="S388" s="960"/>
      <c r="T388" s="106"/>
      <c r="U388" s="106"/>
      <c r="V388" s="284">
        <f>Table62689345[[#This Row],[Offer Value]]-Table62689345[[#This Row],[PO Value]]</f>
        <v>0</v>
      </c>
      <c r="W388" s="106"/>
      <c r="X388" s="106"/>
      <c r="Y388" s="200"/>
      <c r="Z388" s="641"/>
      <c r="AA388" s="7"/>
    </row>
    <row r="389" spans="1:27" ht="15.6">
      <c r="A389" s="106"/>
      <c r="B389" s="107"/>
      <c r="C389" s="851"/>
      <c r="D389" s="106"/>
      <c r="E389" s="106"/>
      <c r="F389" s="106"/>
      <c r="G389" s="106"/>
      <c r="H389" s="106"/>
      <c r="I389" s="106"/>
      <c r="J389" s="108"/>
      <c r="K389" s="108"/>
      <c r="L389" s="106"/>
      <c r="M389" s="960"/>
      <c r="N389" s="106"/>
      <c r="O389" s="106"/>
      <c r="P389" s="106"/>
      <c r="Q389" s="109"/>
      <c r="R389" s="106"/>
      <c r="S389" s="960"/>
      <c r="T389" s="106"/>
      <c r="U389" s="106"/>
      <c r="V389" s="284">
        <f>Table62689345[[#This Row],[Offer Value]]-Table62689345[[#This Row],[PO Value]]</f>
        <v>0</v>
      </c>
      <c r="W389" s="106"/>
      <c r="X389" s="106"/>
      <c r="Y389" s="200"/>
      <c r="Z389" s="641"/>
      <c r="AA389" s="7"/>
    </row>
    <row r="390" spans="1:27" ht="15.6">
      <c r="A390" s="106"/>
      <c r="B390" s="107"/>
      <c r="C390" s="851"/>
      <c r="D390" s="106"/>
      <c r="E390" s="106"/>
      <c r="F390" s="106"/>
      <c r="G390" s="106"/>
      <c r="H390" s="106"/>
      <c r="I390" s="106"/>
      <c r="J390" s="108"/>
      <c r="K390" s="108"/>
      <c r="L390" s="106"/>
      <c r="M390" s="960"/>
      <c r="N390" s="106"/>
      <c r="O390" s="106"/>
      <c r="P390" s="106"/>
      <c r="Q390" s="109"/>
      <c r="R390" s="106"/>
      <c r="S390" s="960"/>
      <c r="T390" s="106"/>
      <c r="U390" s="106"/>
      <c r="V390" s="284">
        <f>Table62689345[[#This Row],[Offer Value]]-Table62689345[[#This Row],[PO Value]]</f>
        <v>0</v>
      </c>
      <c r="W390" s="106"/>
      <c r="X390" s="106"/>
      <c r="Y390" s="200"/>
      <c r="Z390" s="641"/>
      <c r="AA390" s="7"/>
    </row>
    <row r="391" spans="1:27" ht="15.6">
      <c r="A391" s="106"/>
      <c r="B391" s="107"/>
      <c r="C391" s="851"/>
      <c r="D391" s="106"/>
      <c r="E391" s="106"/>
      <c r="F391" s="106"/>
      <c r="G391" s="106"/>
      <c r="H391" s="106"/>
      <c r="I391" s="106"/>
      <c r="J391" s="108"/>
      <c r="K391" s="108"/>
      <c r="L391" s="106"/>
      <c r="M391" s="960"/>
      <c r="N391" s="106"/>
      <c r="O391" s="106"/>
      <c r="P391" s="106"/>
      <c r="Q391" s="109"/>
      <c r="R391" s="106"/>
      <c r="S391" s="960"/>
      <c r="T391" s="106"/>
      <c r="U391" s="106"/>
      <c r="V391" s="284">
        <f>Table62689345[[#This Row],[Offer Value]]-Table62689345[[#This Row],[PO Value]]</f>
        <v>0</v>
      </c>
      <c r="W391" s="106"/>
      <c r="X391" s="106"/>
      <c r="Y391" s="200"/>
      <c r="Z391" s="641"/>
      <c r="AA391" s="7"/>
    </row>
    <row r="392" spans="1:27" ht="15.6">
      <c r="A392" s="106"/>
      <c r="B392" s="107"/>
      <c r="C392" s="851"/>
      <c r="D392" s="106"/>
      <c r="E392" s="106"/>
      <c r="F392" s="106"/>
      <c r="G392" s="106"/>
      <c r="H392" s="106"/>
      <c r="I392" s="106"/>
      <c r="J392" s="108"/>
      <c r="K392" s="108"/>
      <c r="L392" s="106"/>
      <c r="M392" s="960"/>
      <c r="N392" s="106"/>
      <c r="O392" s="106"/>
      <c r="P392" s="106"/>
      <c r="Q392" s="109"/>
      <c r="R392" s="106"/>
      <c r="S392" s="960"/>
      <c r="T392" s="106"/>
      <c r="U392" s="106"/>
      <c r="V392" s="284">
        <f>Table62689345[[#This Row],[Offer Value]]-Table62689345[[#This Row],[PO Value]]</f>
        <v>0</v>
      </c>
      <c r="W392" s="106"/>
      <c r="X392" s="106"/>
      <c r="Y392" s="200"/>
      <c r="Z392" s="641"/>
      <c r="AA392" s="7"/>
    </row>
    <row r="393" spans="1:27" ht="15.6">
      <c r="A393" s="106"/>
      <c r="B393" s="107"/>
      <c r="C393" s="851"/>
      <c r="D393" s="106"/>
      <c r="E393" s="106"/>
      <c r="F393" s="106"/>
      <c r="G393" s="106"/>
      <c r="H393" s="106"/>
      <c r="I393" s="106"/>
      <c r="J393" s="108"/>
      <c r="K393" s="108"/>
      <c r="L393" s="106"/>
      <c r="M393" s="960"/>
      <c r="N393" s="106"/>
      <c r="O393" s="106"/>
      <c r="P393" s="106"/>
      <c r="Q393" s="109"/>
      <c r="R393" s="106"/>
      <c r="S393" s="960"/>
      <c r="T393" s="106"/>
      <c r="U393" s="106"/>
      <c r="V393" s="284">
        <f>Table62689345[[#This Row],[Offer Value]]-Table62689345[[#This Row],[PO Value]]</f>
        <v>0</v>
      </c>
      <c r="W393" s="106"/>
      <c r="X393" s="106"/>
      <c r="Y393" s="200"/>
      <c r="Z393" s="641"/>
      <c r="AA393" s="7"/>
    </row>
    <row r="394" spans="1:27" ht="15.6">
      <c r="A394" s="106"/>
      <c r="B394" s="107"/>
      <c r="C394" s="851"/>
      <c r="D394" s="106"/>
      <c r="E394" s="106"/>
      <c r="F394" s="106"/>
      <c r="G394" s="106"/>
      <c r="H394" s="106"/>
      <c r="I394" s="106"/>
      <c r="J394" s="108"/>
      <c r="K394" s="108"/>
      <c r="L394" s="106"/>
      <c r="M394" s="960"/>
      <c r="N394" s="106"/>
      <c r="O394" s="106"/>
      <c r="P394" s="106"/>
      <c r="Q394" s="109"/>
      <c r="R394" s="106"/>
      <c r="S394" s="960"/>
      <c r="T394" s="106"/>
      <c r="U394" s="106"/>
      <c r="V394" s="284">
        <f>Table62689345[[#This Row],[Offer Value]]-Table62689345[[#This Row],[PO Value]]</f>
        <v>0</v>
      </c>
      <c r="W394" s="106"/>
      <c r="X394" s="106"/>
      <c r="Y394" s="200"/>
      <c r="Z394" s="641"/>
      <c r="AA394" s="7"/>
    </row>
    <row r="395" spans="1:27" ht="15.6">
      <c r="A395" s="106"/>
      <c r="B395" s="107"/>
      <c r="C395" s="851"/>
      <c r="D395" s="106"/>
      <c r="E395" s="106"/>
      <c r="F395" s="106"/>
      <c r="G395" s="106"/>
      <c r="H395" s="106"/>
      <c r="I395" s="106"/>
      <c r="J395" s="108"/>
      <c r="K395" s="108"/>
      <c r="L395" s="106"/>
      <c r="M395" s="960"/>
      <c r="N395" s="106"/>
      <c r="O395" s="106"/>
      <c r="P395" s="106"/>
      <c r="Q395" s="109"/>
      <c r="R395" s="106"/>
      <c r="S395" s="960"/>
      <c r="T395" s="106"/>
      <c r="U395" s="106"/>
      <c r="V395" s="284">
        <f>Table62689345[[#This Row],[Offer Value]]-Table62689345[[#This Row],[PO Value]]</f>
        <v>0</v>
      </c>
      <c r="W395" s="106"/>
      <c r="X395" s="106"/>
      <c r="Y395" s="200"/>
      <c r="Z395" s="641"/>
      <c r="AA395" s="7"/>
    </row>
    <row r="396" spans="1:27" ht="15.6">
      <c r="A396" s="106"/>
      <c r="B396" s="107"/>
      <c r="C396" s="851"/>
      <c r="D396" s="106"/>
      <c r="E396" s="106"/>
      <c r="F396" s="106"/>
      <c r="G396" s="106"/>
      <c r="H396" s="106"/>
      <c r="I396" s="106"/>
      <c r="J396" s="108"/>
      <c r="K396" s="108"/>
      <c r="L396" s="106"/>
      <c r="M396" s="960"/>
      <c r="N396" s="106"/>
      <c r="O396" s="106"/>
      <c r="P396" s="106"/>
      <c r="Q396" s="109"/>
      <c r="R396" s="106"/>
      <c r="S396" s="960"/>
      <c r="T396" s="106"/>
      <c r="U396" s="106"/>
      <c r="V396" s="284">
        <f>Table62689345[[#This Row],[Offer Value]]-Table62689345[[#This Row],[PO Value]]</f>
        <v>0</v>
      </c>
      <c r="W396" s="106"/>
      <c r="X396" s="106"/>
      <c r="Y396" s="200"/>
      <c r="Z396" s="641"/>
      <c r="AA396" s="7"/>
    </row>
    <row r="397" spans="1:27" ht="15.6">
      <c r="A397" s="106"/>
      <c r="B397" s="107"/>
      <c r="C397" s="851"/>
      <c r="D397" s="106"/>
      <c r="E397" s="106"/>
      <c r="F397" s="106"/>
      <c r="G397" s="106"/>
      <c r="H397" s="106"/>
      <c r="I397" s="106"/>
      <c r="J397" s="108"/>
      <c r="K397" s="108"/>
      <c r="L397" s="106"/>
      <c r="M397" s="960"/>
      <c r="N397" s="106"/>
      <c r="O397" s="106"/>
      <c r="P397" s="106"/>
      <c r="Q397" s="109"/>
      <c r="R397" s="106"/>
      <c r="S397" s="960"/>
      <c r="T397" s="106"/>
      <c r="U397" s="106"/>
      <c r="V397" s="284">
        <f>Table62689345[[#This Row],[Offer Value]]-Table62689345[[#This Row],[PO Value]]</f>
        <v>0</v>
      </c>
      <c r="W397" s="106"/>
      <c r="X397" s="106"/>
      <c r="Y397" s="200"/>
      <c r="Z397" s="641"/>
      <c r="AA397" s="7"/>
    </row>
    <row r="398" spans="1:27" ht="15.6">
      <c r="A398" s="106"/>
      <c r="B398" s="107"/>
      <c r="C398" s="851"/>
      <c r="D398" s="106"/>
      <c r="E398" s="106"/>
      <c r="F398" s="106"/>
      <c r="G398" s="106"/>
      <c r="H398" s="106"/>
      <c r="I398" s="106"/>
      <c r="J398" s="108"/>
      <c r="K398" s="108"/>
      <c r="L398" s="106"/>
      <c r="M398" s="960"/>
      <c r="N398" s="106"/>
      <c r="O398" s="106"/>
      <c r="P398" s="106"/>
      <c r="Q398" s="109"/>
      <c r="R398" s="106"/>
      <c r="S398" s="960"/>
      <c r="T398" s="106"/>
      <c r="U398" s="106"/>
      <c r="V398" s="284">
        <f>Table62689345[[#This Row],[Offer Value]]-Table62689345[[#This Row],[PO Value]]</f>
        <v>0</v>
      </c>
      <c r="W398" s="106"/>
      <c r="X398" s="106"/>
      <c r="Y398" s="200"/>
      <c r="Z398" s="641"/>
      <c r="AA398" s="7"/>
    </row>
    <row r="399" spans="1:27" ht="15.6">
      <c r="A399" s="106"/>
      <c r="B399" s="107"/>
      <c r="C399" s="851"/>
      <c r="D399" s="106"/>
      <c r="E399" s="106"/>
      <c r="F399" s="106"/>
      <c r="G399" s="106"/>
      <c r="H399" s="106"/>
      <c r="I399" s="106"/>
      <c r="J399" s="108"/>
      <c r="K399" s="108"/>
      <c r="L399" s="106"/>
      <c r="M399" s="960"/>
      <c r="N399" s="106"/>
      <c r="O399" s="106"/>
      <c r="P399" s="106"/>
      <c r="Q399" s="109"/>
      <c r="R399" s="106"/>
      <c r="S399" s="960"/>
      <c r="T399" s="106"/>
      <c r="U399" s="106"/>
      <c r="V399" s="284">
        <f>Table62689345[[#This Row],[Offer Value]]-Table62689345[[#This Row],[PO Value]]</f>
        <v>0</v>
      </c>
      <c r="W399" s="106"/>
      <c r="X399" s="106"/>
      <c r="Y399" s="200"/>
      <c r="Z399" s="641"/>
      <c r="AA399" s="7"/>
    </row>
    <row r="400" spans="1:27" ht="15.6">
      <c r="A400" s="106"/>
      <c r="B400" s="107"/>
      <c r="C400" s="851"/>
      <c r="D400" s="106"/>
      <c r="E400" s="106"/>
      <c r="F400" s="106"/>
      <c r="G400" s="106"/>
      <c r="H400" s="106"/>
      <c r="I400" s="106"/>
      <c r="J400" s="108"/>
      <c r="K400" s="108"/>
      <c r="L400" s="106"/>
      <c r="M400" s="960"/>
      <c r="N400" s="106"/>
      <c r="O400" s="106"/>
      <c r="P400" s="106"/>
      <c r="Q400" s="109"/>
      <c r="R400" s="106"/>
      <c r="S400" s="960"/>
      <c r="T400" s="106"/>
      <c r="U400" s="106"/>
      <c r="V400" s="284">
        <f>Table62689345[[#This Row],[Offer Value]]-Table62689345[[#This Row],[PO Value]]</f>
        <v>0</v>
      </c>
      <c r="W400" s="106"/>
      <c r="X400" s="106"/>
      <c r="Y400" s="200"/>
      <c r="Z400" s="641"/>
      <c r="AA400" s="7"/>
    </row>
    <row r="401" spans="1:27" ht="15.6">
      <c r="A401" s="106"/>
      <c r="B401" s="107"/>
      <c r="C401" s="851"/>
      <c r="D401" s="106"/>
      <c r="E401" s="106"/>
      <c r="F401" s="106"/>
      <c r="G401" s="106"/>
      <c r="H401" s="106"/>
      <c r="I401" s="106"/>
      <c r="J401" s="108"/>
      <c r="K401" s="108"/>
      <c r="L401" s="106"/>
      <c r="M401" s="960"/>
      <c r="N401" s="106"/>
      <c r="O401" s="106"/>
      <c r="P401" s="106"/>
      <c r="Q401" s="109"/>
      <c r="R401" s="106"/>
      <c r="S401" s="960"/>
      <c r="T401" s="106"/>
      <c r="U401" s="106"/>
      <c r="V401" s="284">
        <f>Table62689345[[#This Row],[Offer Value]]-Table62689345[[#This Row],[PO Value]]</f>
        <v>0</v>
      </c>
      <c r="W401" s="106"/>
      <c r="X401" s="106"/>
      <c r="Y401" s="200"/>
      <c r="Z401" s="641"/>
      <c r="AA401" s="7"/>
    </row>
    <row r="402" spans="1:27" ht="15.6">
      <c r="A402" s="106"/>
      <c r="B402" s="107"/>
      <c r="C402" s="851"/>
      <c r="D402" s="106"/>
      <c r="E402" s="106"/>
      <c r="F402" s="106"/>
      <c r="G402" s="106"/>
      <c r="H402" s="106"/>
      <c r="I402" s="106"/>
      <c r="J402" s="108"/>
      <c r="K402" s="108"/>
      <c r="L402" s="106"/>
      <c r="M402" s="960"/>
      <c r="N402" s="106"/>
      <c r="O402" s="106"/>
      <c r="P402" s="106"/>
      <c r="Q402" s="109"/>
      <c r="R402" s="106"/>
      <c r="S402" s="960"/>
      <c r="T402" s="106"/>
      <c r="U402" s="106"/>
      <c r="V402" s="284">
        <f>Table62689345[[#This Row],[Offer Value]]-Table62689345[[#This Row],[PO Value]]</f>
        <v>0</v>
      </c>
      <c r="W402" s="106"/>
      <c r="X402" s="106"/>
      <c r="Y402" s="200"/>
      <c r="Z402" s="641"/>
      <c r="AA402" s="7"/>
    </row>
    <row r="403" spans="1:27" ht="15.6">
      <c r="A403" s="106"/>
      <c r="B403" s="107"/>
      <c r="C403" s="851"/>
      <c r="D403" s="106"/>
      <c r="E403" s="106"/>
      <c r="F403" s="106"/>
      <c r="G403" s="106"/>
      <c r="H403" s="106"/>
      <c r="I403" s="106"/>
      <c r="J403" s="108"/>
      <c r="K403" s="108"/>
      <c r="L403" s="106"/>
      <c r="M403" s="960"/>
      <c r="N403" s="106"/>
      <c r="O403" s="106"/>
      <c r="P403" s="106"/>
      <c r="Q403" s="109"/>
      <c r="R403" s="106"/>
      <c r="S403" s="960"/>
      <c r="T403" s="106"/>
      <c r="U403" s="106"/>
      <c r="V403" s="284">
        <f>Table62689345[[#This Row],[Offer Value]]-Table62689345[[#This Row],[PO Value]]</f>
        <v>0</v>
      </c>
      <c r="W403" s="106"/>
      <c r="X403" s="106"/>
      <c r="Y403" s="200"/>
      <c r="Z403" s="257"/>
      <c r="AA403" s="7"/>
    </row>
    <row r="404" spans="1:27" ht="15.6">
      <c r="A404" s="106"/>
      <c r="B404" s="107"/>
      <c r="C404" s="851"/>
      <c r="D404" s="106"/>
      <c r="E404" s="106"/>
      <c r="F404" s="106"/>
      <c r="G404" s="106"/>
      <c r="H404" s="106"/>
      <c r="I404" s="106"/>
      <c r="J404" s="108"/>
      <c r="K404" s="108"/>
      <c r="L404" s="106"/>
      <c r="M404" s="960"/>
      <c r="N404" s="106"/>
      <c r="O404" s="106"/>
      <c r="P404" s="106"/>
      <c r="Q404" s="109"/>
      <c r="R404" s="106"/>
      <c r="S404" s="960"/>
      <c r="T404" s="106"/>
      <c r="U404" s="106"/>
      <c r="V404" s="284">
        <f>Table62689345[[#This Row],[Offer Value]]-Table62689345[[#This Row],[PO Value]]</f>
        <v>0</v>
      </c>
      <c r="W404" s="106"/>
      <c r="X404" s="106"/>
      <c r="Y404" s="200"/>
      <c r="Z404" s="257"/>
      <c r="AA404" s="7"/>
    </row>
    <row r="405" spans="1:27" ht="15.6">
      <c r="A405" s="106"/>
      <c r="B405" s="107"/>
      <c r="C405" s="851"/>
      <c r="D405" s="106"/>
      <c r="E405" s="106"/>
      <c r="F405" s="106"/>
      <c r="G405" s="106"/>
      <c r="H405" s="106"/>
      <c r="I405" s="106"/>
      <c r="J405" s="106"/>
      <c r="K405" s="106"/>
      <c r="L405" s="106"/>
      <c r="M405" s="960"/>
      <c r="N405" s="252"/>
      <c r="O405" s="128"/>
      <c r="P405" s="106"/>
      <c r="Q405" s="109"/>
      <c r="R405" s="129"/>
      <c r="S405" s="967"/>
      <c r="T405" s="106"/>
      <c r="U405" s="129"/>
      <c r="V405" s="284">
        <f>Table62689345[[#This Row],[Offer Value]]-Table62689345[[#This Row],[PO Value]]</f>
        <v>0</v>
      </c>
      <c r="W405" s="106"/>
      <c r="X405" s="106"/>
      <c r="Y405" s="645"/>
      <c r="Z405" s="354"/>
      <c r="AA405" s="7"/>
    </row>
    <row r="406" spans="1:27" ht="15.6">
      <c r="A406" s="118"/>
      <c r="B406" s="126"/>
      <c r="C406" s="123"/>
      <c r="D406" s="120"/>
      <c r="E406" s="120"/>
      <c r="F406" s="120"/>
      <c r="G406" s="120"/>
      <c r="H406" s="120"/>
      <c r="I406" s="120"/>
      <c r="J406" s="121"/>
      <c r="K406" s="121"/>
      <c r="L406" s="120"/>
      <c r="M406" s="961"/>
      <c r="N406" s="253"/>
      <c r="O406" s="131"/>
      <c r="P406" s="123"/>
      <c r="Q406" s="245"/>
      <c r="R406" s="206"/>
      <c r="S406" s="968"/>
      <c r="T406" s="120"/>
      <c r="U406" s="131"/>
      <c r="V406" s="284">
        <f>Table62689345[[#This Row],[Offer Value]]-Table62689345[[#This Row],[PO Value]]</f>
        <v>0</v>
      </c>
      <c r="W406" s="123"/>
      <c r="X406" s="123"/>
      <c r="Y406" s="646"/>
      <c r="Z406" s="39"/>
      <c r="AA406" s="7"/>
    </row>
    <row r="407" spans="1:27" ht="15.6">
      <c r="A407" s="118"/>
      <c r="B407" s="126"/>
      <c r="C407" s="123"/>
      <c r="D407" s="120"/>
      <c r="E407" s="120"/>
      <c r="F407" s="120"/>
      <c r="G407" s="120"/>
      <c r="H407" s="120"/>
      <c r="I407" s="120"/>
      <c r="J407" s="121"/>
      <c r="K407" s="121"/>
      <c r="L407" s="120"/>
      <c r="M407" s="961"/>
      <c r="N407" s="253"/>
      <c r="O407" s="131"/>
      <c r="P407" s="123"/>
      <c r="Q407" s="245"/>
      <c r="R407" s="206"/>
      <c r="S407" s="968"/>
      <c r="T407" s="120"/>
      <c r="U407" s="131"/>
      <c r="V407" s="284">
        <f>Table62689345[[#This Row],[Offer Value]]-Table62689345[[#This Row],[PO Value]]</f>
        <v>0</v>
      </c>
      <c r="W407" s="123"/>
      <c r="X407" s="123"/>
      <c r="Y407" s="646"/>
      <c r="Z407" s="39"/>
      <c r="AA407" s="7"/>
    </row>
    <row r="408" spans="1:27" ht="15.6">
      <c r="A408" s="118"/>
      <c r="B408" s="126"/>
      <c r="C408" s="123"/>
      <c r="D408" s="120"/>
      <c r="E408" s="120"/>
      <c r="F408" s="120"/>
      <c r="G408" s="120"/>
      <c r="H408" s="120"/>
      <c r="I408" s="120"/>
      <c r="J408" s="121"/>
      <c r="K408" s="121"/>
      <c r="L408" s="120"/>
      <c r="M408" s="961"/>
      <c r="N408" s="253"/>
      <c r="O408" s="131"/>
      <c r="P408" s="123"/>
      <c r="Q408" s="245"/>
      <c r="R408" s="206"/>
      <c r="S408" s="968"/>
      <c r="T408" s="253"/>
      <c r="U408" s="131"/>
      <c r="V408" s="284">
        <f>Table62689345[[#This Row],[Offer Value]]-Table62689345[[#This Row],[PO Value]]</f>
        <v>0</v>
      </c>
      <c r="W408" s="123"/>
      <c r="X408" s="123"/>
      <c r="Y408" s="646"/>
      <c r="Z408" s="39"/>
      <c r="AA408" s="7"/>
    </row>
    <row r="409" spans="1:27" ht="15.6">
      <c r="A409" s="118"/>
      <c r="B409" s="126"/>
      <c r="C409" s="123"/>
      <c r="D409" s="120"/>
      <c r="E409" s="120"/>
      <c r="F409" s="120"/>
      <c r="G409" s="120"/>
      <c r="H409" s="120"/>
      <c r="I409" s="120"/>
      <c r="J409" s="121"/>
      <c r="K409" s="121"/>
      <c r="L409" s="120"/>
      <c r="M409" s="961"/>
      <c r="N409" s="253"/>
      <c r="O409" s="131"/>
      <c r="P409" s="123"/>
      <c r="Q409" s="245"/>
      <c r="R409" s="206"/>
      <c r="S409" s="968"/>
      <c r="T409" s="120"/>
      <c r="U409" s="131"/>
      <c r="V409" s="284">
        <f>Table62689345[[#This Row],[Offer Value]]-Table62689345[[#This Row],[PO Value]]</f>
        <v>0</v>
      </c>
      <c r="W409" s="123"/>
      <c r="X409" s="123"/>
      <c r="Y409" s="646"/>
      <c r="Z409" s="39"/>
      <c r="AA409" s="7"/>
    </row>
    <row r="410" spans="1:27" ht="15.6">
      <c r="A410" s="33"/>
      <c r="B410" s="195"/>
      <c r="C410" s="39"/>
      <c r="D410" s="35"/>
      <c r="E410" s="35"/>
      <c r="F410" s="35"/>
      <c r="G410" s="35"/>
      <c r="H410" s="35"/>
      <c r="I410" s="35"/>
      <c r="J410" s="36"/>
      <c r="K410" s="36"/>
      <c r="L410" s="35"/>
      <c r="M410" s="962"/>
      <c r="N410" s="327"/>
      <c r="O410" s="38"/>
      <c r="P410" s="39"/>
      <c r="Q410" s="325"/>
      <c r="R410" s="288"/>
      <c r="S410" s="969"/>
      <c r="T410" s="35"/>
      <c r="U410" s="41"/>
      <c r="V410" s="284">
        <f>Table62689345[[#This Row],[Offer Value]]-Table62689345[[#This Row],[PO Value]]</f>
        <v>0</v>
      </c>
      <c r="W410" s="39"/>
      <c r="X410" s="39"/>
      <c r="Y410" s="650"/>
      <c r="Z410" s="641"/>
      <c r="AA410" s="7"/>
    </row>
    <row r="411" spans="1:27" ht="15.6">
      <c r="A411" s="33"/>
      <c r="B411" s="195"/>
      <c r="C411" s="39"/>
      <c r="D411" s="35"/>
      <c r="E411" s="35"/>
      <c r="F411" s="35"/>
      <c r="G411" s="35"/>
      <c r="H411" s="35"/>
      <c r="I411" s="35"/>
      <c r="J411" s="36"/>
      <c r="K411" s="36"/>
      <c r="L411" s="35"/>
      <c r="M411" s="962"/>
      <c r="N411" s="327"/>
      <c r="O411" s="38"/>
      <c r="P411" s="39"/>
      <c r="Q411" s="325"/>
      <c r="R411" s="288"/>
      <c r="S411" s="969"/>
      <c r="T411" s="35"/>
      <c r="U411" s="41"/>
      <c r="V411" s="284">
        <f>Table62689345[[#This Row],[Offer Value]]-Table62689345[[#This Row],[PO Value]]</f>
        <v>0</v>
      </c>
      <c r="W411" s="39"/>
      <c r="X411" s="39"/>
      <c r="Y411" s="650"/>
      <c r="Z411" s="641"/>
      <c r="AA411" s="7"/>
    </row>
    <row r="412" spans="1:27" ht="15.6">
      <c r="A412" s="33"/>
      <c r="B412" s="195"/>
      <c r="C412" s="39"/>
      <c r="D412" s="35"/>
      <c r="E412" s="35"/>
      <c r="F412" s="35"/>
      <c r="G412" s="35"/>
      <c r="H412" s="35"/>
      <c r="I412" s="35"/>
      <c r="J412" s="36"/>
      <c r="K412" s="36"/>
      <c r="L412" s="35"/>
      <c r="M412" s="962"/>
      <c r="N412" s="327"/>
      <c r="O412" s="38"/>
      <c r="P412" s="39"/>
      <c r="Q412" s="325"/>
      <c r="R412" s="288"/>
      <c r="S412" s="969"/>
      <c r="T412" s="35"/>
      <c r="U412" s="41"/>
      <c r="V412" s="284">
        <f>Table62689345[[#This Row],[Offer Value]]-Table62689345[[#This Row],[PO Value]]</f>
        <v>0</v>
      </c>
      <c r="W412" s="39"/>
      <c r="X412" s="39"/>
      <c r="Y412" s="650"/>
      <c r="Z412" s="641"/>
      <c r="AA412" s="7"/>
    </row>
    <row r="413" spans="1:27" ht="15.6">
      <c r="A413" s="33"/>
      <c r="B413" s="195"/>
      <c r="C413" s="39"/>
      <c r="D413" s="35"/>
      <c r="E413" s="35"/>
      <c r="F413" s="35"/>
      <c r="G413" s="35"/>
      <c r="H413" s="35"/>
      <c r="I413" s="35"/>
      <c r="J413" s="36"/>
      <c r="K413" s="36"/>
      <c r="L413" s="35"/>
      <c r="M413" s="962"/>
      <c r="N413" s="327"/>
      <c r="O413" s="38"/>
      <c r="P413" s="39"/>
      <c r="Q413" s="325"/>
      <c r="R413" s="288"/>
      <c r="S413" s="969"/>
      <c r="T413" s="35"/>
      <c r="U413" s="41"/>
      <c r="V413" s="284">
        <f>Table62689345[[#This Row],[Offer Value]]-Table62689345[[#This Row],[PO Value]]</f>
        <v>0</v>
      </c>
      <c r="W413" s="39"/>
      <c r="X413" s="39"/>
      <c r="Y413" s="650"/>
      <c r="Z413" s="641"/>
      <c r="AA413" s="7"/>
    </row>
    <row r="414" spans="1:27" ht="15.6">
      <c r="A414" s="33"/>
      <c r="B414" s="195"/>
      <c r="C414" s="39"/>
      <c r="D414" s="35"/>
      <c r="E414" s="35"/>
      <c r="F414" s="35"/>
      <c r="G414" s="35"/>
      <c r="H414" s="35"/>
      <c r="I414" s="35"/>
      <c r="J414" s="36"/>
      <c r="K414" s="36"/>
      <c r="L414" s="35"/>
      <c r="M414" s="962"/>
      <c r="N414" s="327"/>
      <c r="O414" s="38"/>
      <c r="P414" s="39"/>
      <c r="Q414" s="325"/>
      <c r="R414" s="288"/>
      <c r="S414" s="969"/>
      <c r="T414" s="35"/>
      <c r="U414" s="41"/>
      <c r="V414" s="284">
        <f>Table62689345[[#This Row],[Offer Value]]-Table62689345[[#This Row],[PO Value]]</f>
        <v>0</v>
      </c>
      <c r="W414" s="39"/>
      <c r="X414" s="39"/>
      <c r="Y414" s="650"/>
      <c r="Z414" s="641"/>
      <c r="AA414" s="7"/>
    </row>
    <row r="415" spans="1:27" ht="15.6">
      <c r="A415" s="33"/>
      <c r="B415" s="195"/>
      <c r="C415" s="39"/>
      <c r="D415" s="35"/>
      <c r="E415" s="35"/>
      <c r="F415" s="35"/>
      <c r="G415" s="35"/>
      <c r="H415" s="35"/>
      <c r="I415" s="35"/>
      <c r="J415" s="36"/>
      <c r="K415" s="36"/>
      <c r="L415" s="35"/>
      <c r="M415" s="962"/>
      <c r="N415" s="327"/>
      <c r="O415" s="38"/>
      <c r="P415" s="39"/>
      <c r="Q415" s="325"/>
      <c r="R415" s="288"/>
      <c r="S415" s="969"/>
      <c r="T415" s="35"/>
      <c r="U415" s="41"/>
      <c r="V415" s="284">
        <f>Table62689345[[#This Row],[Offer Value]]-Table62689345[[#This Row],[PO Value]]</f>
        <v>0</v>
      </c>
      <c r="W415" s="39"/>
      <c r="X415" s="39"/>
      <c r="Y415" s="650"/>
      <c r="Z415" s="641"/>
      <c r="AA415" s="7"/>
    </row>
    <row r="416" spans="1:27" ht="15.6">
      <c r="A416" s="33"/>
      <c r="B416" s="195"/>
      <c r="C416" s="39"/>
      <c r="D416" s="35"/>
      <c r="E416" s="35"/>
      <c r="F416" s="35"/>
      <c r="G416" s="35"/>
      <c r="H416" s="35"/>
      <c r="I416" s="35"/>
      <c r="J416" s="36"/>
      <c r="K416" s="36"/>
      <c r="L416" s="35"/>
      <c r="M416" s="962"/>
      <c r="N416" s="327"/>
      <c r="O416" s="38"/>
      <c r="P416" s="39"/>
      <c r="Q416" s="325"/>
      <c r="R416" s="288"/>
      <c r="S416" s="969"/>
      <c r="T416" s="35"/>
      <c r="U416" s="41"/>
      <c r="V416" s="284">
        <f>Table62689345[[#This Row],[Offer Value]]-Table62689345[[#This Row],[PO Value]]</f>
        <v>0</v>
      </c>
      <c r="W416" s="39"/>
      <c r="X416" s="39"/>
      <c r="Y416" s="650"/>
      <c r="Z416" s="641"/>
      <c r="AA416" s="7"/>
    </row>
    <row r="417" spans="1:27" ht="15.6">
      <c r="A417" s="33"/>
      <c r="B417" s="195"/>
      <c r="C417" s="39"/>
      <c r="D417" s="35"/>
      <c r="E417" s="35"/>
      <c r="F417" s="35"/>
      <c r="G417" s="35"/>
      <c r="H417" s="35"/>
      <c r="I417" s="35"/>
      <c r="J417" s="36"/>
      <c r="K417" s="36"/>
      <c r="L417" s="35"/>
      <c r="M417" s="962"/>
      <c r="N417" s="327"/>
      <c r="O417" s="38"/>
      <c r="P417" s="39"/>
      <c r="Q417" s="325"/>
      <c r="R417" s="288"/>
      <c r="S417" s="969"/>
      <c r="T417" s="35"/>
      <c r="U417" s="41"/>
      <c r="V417" s="284">
        <f>Table62689345[[#This Row],[Offer Value]]-Table62689345[[#This Row],[PO Value]]</f>
        <v>0</v>
      </c>
      <c r="W417" s="39"/>
      <c r="X417" s="39"/>
      <c r="Y417" s="650"/>
      <c r="Z417" s="641"/>
      <c r="AA417" s="7"/>
    </row>
    <row r="418" spans="1:27" ht="17.850000000000001" customHeight="1">
      <c r="A418" s="33"/>
      <c r="B418" s="195"/>
      <c r="C418" s="39"/>
      <c r="D418" s="35"/>
      <c r="E418" s="35"/>
      <c r="F418" s="35"/>
      <c r="G418" s="35"/>
      <c r="H418" s="35"/>
      <c r="I418" s="35"/>
      <c r="J418" s="36"/>
      <c r="K418" s="36"/>
      <c r="L418" s="35"/>
      <c r="M418" s="962"/>
      <c r="N418" s="327"/>
      <c r="O418" s="38"/>
      <c r="P418" s="39"/>
      <c r="Q418" s="325"/>
      <c r="R418" s="288"/>
      <c r="S418" s="969"/>
      <c r="T418" s="35"/>
      <c r="U418" s="41"/>
      <c r="V418" s="284">
        <f>Table62689345[[#This Row],[Offer Value]]-Table62689345[[#This Row],[PO Value]]</f>
        <v>0</v>
      </c>
      <c r="W418" s="39"/>
      <c r="X418" s="39"/>
      <c r="Y418" s="650"/>
      <c r="Z418" s="641"/>
      <c r="AA418" s="7"/>
    </row>
    <row r="419" spans="1:27" ht="17.100000000000001" customHeight="1">
      <c r="A419" s="42"/>
      <c r="B419" s="196"/>
      <c r="C419" s="7"/>
      <c r="D419" s="44"/>
      <c r="E419" s="44"/>
      <c r="F419" s="44"/>
      <c r="G419" s="44"/>
      <c r="H419" s="44"/>
      <c r="I419" s="44"/>
      <c r="J419" s="44"/>
      <c r="K419" s="44"/>
      <c r="L419" s="44"/>
      <c r="M419" s="963"/>
      <c r="N419" s="327"/>
      <c r="O419" s="38"/>
      <c r="P419" s="7"/>
      <c r="Q419" s="326"/>
      <c r="R419" s="290"/>
      <c r="S419" s="970"/>
      <c r="T419" s="44"/>
      <c r="U419" s="47"/>
      <c r="V419" s="284">
        <f>Table62689345[[#This Row],[Offer Value]]-Table62689345[[#This Row],[PO Value]]</f>
        <v>0</v>
      </c>
      <c r="W419" s="7"/>
      <c r="X419" s="7"/>
      <c r="Y419" s="652"/>
      <c r="Z419" s="641"/>
      <c r="AA419" s="7"/>
    </row>
  </sheetData>
  <mergeCells count="2">
    <mergeCell ref="Z5:AA5"/>
    <mergeCell ref="AB1:AE1"/>
  </mergeCells>
  <phoneticPr fontId="43" type="noConversion"/>
  <conditionalFormatting sqref="I147">
    <cfRule type="duplicateValues" dxfId="135" priority="1"/>
  </conditionalFormatting>
  <conditionalFormatting sqref="L1:L6 L160:L1048576">
    <cfRule type="duplicateValues" dxfId="134" priority="20"/>
  </conditionalFormatting>
  <conditionalFormatting sqref="L7:L12">
    <cfRule type="duplicateValues" dxfId="133" priority="6"/>
  </conditionalFormatting>
  <conditionalFormatting sqref="L13:L18">
    <cfRule type="duplicateValues" dxfId="132" priority="3"/>
  </conditionalFormatting>
  <conditionalFormatting sqref="L19:L25">
    <cfRule type="duplicateValues" dxfId="131" priority="5"/>
  </conditionalFormatting>
  <conditionalFormatting sqref="L26:L114">
    <cfRule type="duplicateValues" dxfId="130" priority="4"/>
  </conditionalFormatting>
  <conditionalFormatting sqref="L115:L119">
    <cfRule type="duplicateValues" dxfId="129" priority="2"/>
  </conditionalFormatting>
  <conditionalFormatting sqref="L120:L125 L127:L159">
    <cfRule type="duplicateValues" dxfId="128" priority="10"/>
  </conditionalFormatting>
  <dataValidations count="3">
    <dataValidation type="custom" allowBlank="1" showInputMessage="1" showErrorMessage="1" errorTitle="Error" error="Entered data format is wrong" promptTitle="Enter Date format : 01/10/2021 " sqref="B406:B656" xr:uid="{AD472883-CC25-4D0A-AD08-3A772714E583}">
      <formula1>AND(ISNUMBER(B406),LEFT(CELL("format",B406),1)="D")</formula1>
    </dataValidation>
    <dataValidation type="list" allowBlank="1" showInputMessage="1" showErrorMessage="1" error="Do not enter any oteh products" sqref="K410:K418" xr:uid="{D6BCC61B-4C57-4BAC-A632-FE410B86B003}">
      <formula1>#REF!</formula1>
    </dataValidation>
    <dataValidation type="list" allowBlank="1" showInputMessage="1" showErrorMessage="1" sqref="D14:D173" xr:uid="{814A7E85-3300-455B-B6A8-734BAB892219}">
      <formula1>$D$7:$D$499</formula1>
    </dataValidation>
  </dataValidations>
  <hyperlinks>
    <hyperlink ref="H76" r:id="rId1" xr:uid="{CA4BBD66-ED42-4DED-93D1-3AA213EAF411}"/>
    <hyperlink ref="H65" r:id="rId2" xr:uid="{ECF826FC-18EB-49A8-A258-E372ECCC8123}"/>
    <hyperlink ref="H111" r:id="rId3" display="mailto:nishant_jain@jabil.com" xr:uid="{CB30FB0E-EA99-4ACC-B95B-0FE085D4EDF2}"/>
    <hyperlink ref="H112" r:id="rId4" display="mailto:nishant_jain@jabil.com" xr:uid="{B36E2E74-2654-4328-81AF-D85DC65A56ED}"/>
    <hyperlink ref="H113" r:id="rId5" display="mailto:nishant_jain@jabil.com" xr:uid="{0F5A57FE-6B8A-466B-8DD6-F1327A36208C}"/>
    <hyperlink ref="H114" r:id="rId6" display="mailto:nishant_jain@jabil.com" xr:uid="{C519D74B-F18A-4611-A58E-08A3B451BB50}"/>
    <hyperlink ref="H126" r:id="rId7" display="mailto:rohan.shinde@tatamotors.com" xr:uid="{0A2D9358-2604-4749-A959-9B25123671A7}"/>
    <hyperlink ref="H154" r:id="rId8" xr:uid="{C26A7E73-2E6C-430E-9FD9-91F3451145A6}"/>
    <hyperlink ref="H157" r:id="rId9" xr:uid="{94767A62-AD95-4D17-BC72-B7EDC7AA295C}"/>
    <hyperlink ref="H159" r:id="rId10" xr:uid="{35D01DBD-7475-4E6C-9B52-23F95D9A995E}"/>
    <hyperlink ref="H150" r:id="rId11" xr:uid="{A220F6BE-A547-430B-9319-9FD5809B071B}"/>
    <hyperlink ref="H165" r:id="rId12" xr:uid="{63517DAF-BCCA-4C9E-BF5E-2DFDC77A0AA9}"/>
    <hyperlink ref="H166" r:id="rId13" xr:uid="{C85A2FE7-01B0-440D-B9DA-CE1FA32ED7B5}"/>
    <hyperlink ref="H167" r:id="rId14" xr:uid="{1E86AFFD-CBF1-443D-8C03-65516316B96B}"/>
  </hyperlinks>
  <pageMargins left="0.7" right="0.7" top="0.75" bottom="0.75" header="0.3" footer="0.3"/>
  <pageSetup orientation="portrait" r:id="rId15"/>
  <tableParts count="1">
    <tablePart r:id="rId16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error="Select From Drop Down" xr:uid="{AF2FB24A-BD66-4A2B-BDEA-0838FDDB2FE4}">
          <x14:formula1>
            <xm:f>Location!$B$2:$B$126</xm:f>
          </x14:formula1>
          <xm:sqref>D7:D11 D174:D408</xm:sqref>
        </x14:dataValidation>
        <x14:dataValidation type="list" allowBlank="1" showInputMessage="1" showErrorMessage="1" error="Select from drop down" xr:uid="{52245F09-B854-4668-98DA-752713A8DDAF}">
          <x14:formula1>
            <xm:f>'Month Prod Names'!$J$4:$J$5</xm:f>
          </x14:formula1>
          <xm:sqref>K120:K409 K7:K92</xm:sqref>
        </x14:dataValidation>
        <x14:dataValidation type="list" allowBlank="1" showInputMessage="1" showErrorMessage="1" error="Select From Drop Down" xr:uid="{71CB6547-EAF5-4C77-A89F-3F1785479FDB}">
          <x14:formula1>
            <xm:f>'Machine Serial Numbers'!$A$2:$A$1502</xm:f>
          </x14:formula1>
          <xm:sqref>I1:I12 I120:I142 I144:I146 I148:I1048576</xm:sqref>
        </x14:dataValidation>
        <x14:dataValidation type="list" allowBlank="1" showInputMessage="1" showErrorMessage="1" xr:uid="{A1620E35-2774-4072-BDD9-B17410FDAA29}">
          <x14:formula1>
            <xm:f>'Month Prod Names'!$D$4:$D$51</xm:f>
          </x14:formula1>
          <xm:sqref>J160:J654</xm:sqref>
        </x14:dataValidation>
        <x14:dataValidation type="list" allowBlank="1" showInputMessage="1" showErrorMessage="1" xr:uid="{C7BF9169-BACC-4B40-BFF8-728115C120FD}">
          <x14:formula1>
            <xm:f>'Month Prod Names'!$B$4:$B$15</xm:f>
          </x14:formula1>
          <xm:sqref>O7:P12 U7:U12 O120:P419 O13:O117 U23:U24 U26 U63:U64 U66 U74 U111:U114 U118:U419 P63</xm:sqref>
        </x14:dataValidation>
        <x14:dataValidation type="list" allowBlank="1" showInputMessage="1" showErrorMessage="1" error="Select From Drop Down" xr:uid="{B9488512-C17D-41C8-9369-B2E4130E9A8A}">
          <x14:formula1>
            <xm:f>'Month Prod Names'!$D$4:$D$12</xm:f>
          </x14:formula1>
          <xm:sqref>J7:J159</xm:sqref>
        </x14:dataValidation>
        <x14:dataValidation type="list" allowBlank="1" showInputMessage="1" showErrorMessage="1" xr:uid="{34B3B870-A7F1-45CB-8D10-7EDBEF210168}">
          <x14:formula1>
            <xm:f>'Month Prod Names'!$K$4:$K$14</xm:f>
          </x14:formula1>
          <xm:sqref>Q7:Q12 Q120:Q420</xm:sqref>
        </x14:dataValidation>
        <x14:dataValidation type="list" allowBlank="1" showInputMessage="1" showErrorMessage="1" xr:uid="{C0E64FCE-63EE-4FDC-B84E-D2923CB146E3}">
          <x14:formula1>
            <xm:f>'Month Prod Names'!$D$4:$D$13</xm:f>
          </x14:formula1>
          <xm:sqref>J6</xm:sqref>
        </x14:dataValidation>
        <x14:dataValidation type="list" allowBlank="1" showInputMessage="1" showErrorMessage="1" xr:uid="{2C67CA3D-FCB6-4760-8D99-65A61FD99BBB}">
          <x14:formula1>
            <xm:f>Customer!$B$2:$B$264</xm:f>
          </x14:formula1>
          <xm:sqref>C7:C12 C120:C419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3F35-0469-4216-BAF5-0A6BACB47CB1}">
  <dimension ref="A2:BM495"/>
  <sheetViews>
    <sheetView zoomScale="80" zoomScaleNormal="80" workbookViewId="0">
      <pane ySplit="7" topLeftCell="A207" activePane="bottomLeft" state="frozen"/>
      <selection pane="bottomLeft" activeCell="A214" sqref="A214"/>
    </sheetView>
  </sheetViews>
  <sheetFormatPr defaultColWidth="30.44140625" defaultRowHeight="18.75" customHeight="1"/>
  <cols>
    <col min="1" max="1" width="12.5546875" customWidth="1"/>
    <col min="2" max="2" width="14.5546875" style="25" bestFit="1" customWidth="1"/>
    <col min="3" max="3" width="32.5546875" style="2" customWidth="1"/>
    <col min="4" max="4" width="13.33203125" style="2" customWidth="1"/>
    <col min="5" max="5" width="14.109375" style="2" customWidth="1"/>
    <col min="6" max="6" width="19.109375" style="2" customWidth="1"/>
    <col min="7" max="7" width="15.88671875" style="2" customWidth="1"/>
    <col min="8" max="8" width="34.5546875" style="308" customWidth="1"/>
    <col min="9" max="9" width="17.44140625" style="2" customWidth="1"/>
    <col min="10" max="10" width="13.5546875" style="2" customWidth="1"/>
    <col min="11" max="11" width="10.33203125" style="2" customWidth="1"/>
    <col min="12" max="12" width="30.109375" style="2" customWidth="1"/>
    <col min="13" max="13" width="14" style="2" customWidth="1"/>
    <col min="14" max="14" width="12.5546875" style="5" customWidth="1"/>
    <col min="15" max="15" width="10.5546875" style="5" customWidth="1"/>
    <col min="16" max="16" width="12.44140625" customWidth="1"/>
    <col min="17" max="17" width="11" style="100" customWidth="1"/>
    <col min="18" max="18" width="20.5546875" style="2" customWidth="1"/>
    <col min="19" max="19" width="12.44140625" style="267" bestFit="1" customWidth="1"/>
    <col min="20" max="20" width="14.5546875" bestFit="1" customWidth="1"/>
    <col min="21" max="21" width="24.5546875" bestFit="1" customWidth="1"/>
    <col min="22" max="22" width="21.5546875" style="18" bestFit="1" customWidth="1"/>
    <col min="23" max="23" width="15.88671875" style="1" customWidth="1"/>
    <col min="24" max="24" width="20" style="2" customWidth="1"/>
    <col min="25" max="25" width="28" customWidth="1"/>
    <col min="26" max="26" width="11.44140625" customWidth="1"/>
    <col min="27" max="27" width="10.5546875" customWidth="1"/>
    <col min="28" max="28" width="10.5546875" bestFit="1" customWidth="1"/>
    <col min="29" max="29" width="12.44140625" bestFit="1" customWidth="1"/>
    <col min="30" max="30" width="25.5546875" bestFit="1" customWidth="1"/>
    <col min="31" max="31" width="15" customWidth="1"/>
    <col min="32" max="32" width="21.5546875" customWidth="1"/>
  </cols>
  <sheetData>
    <row r="2" spans="1:32" ht="18">
      <c r="Q2" s="95"/>
      <c r="U2" s="18"/>
      <c r="V2" s="85"/>
      <c r="W2"/>
      <c r="AB2" s="397" t="s">
        <v>22</v>
      </c>
      <c r="AC2" s="397" t="s">
        <v>101</v>
      </c>
      <c r="AD2" s="399" t="s">
        <v>102</v>
      </c>
      <c r="AE2" s="863" t="s">
        <v>2</v>
      </c>
      <c r="AF2" s="994" t="s">
        <v>103</v>
      </c>
    </row>
    <row r="3" spans="1:32" ht="31.8" thickBot="1">
      <c r="A3" s="82" t="s">
        <v>599</v>
      </c>
      <c r="B3" s="83"/>
      <c r="C3" s="83"/>
      <c r="D3" s="83"/>
      <c r="E3" s="83"/>
      <c r="F3" s="83"/>
      <c r="G3" s="83"/>
      <c r="H3" s="309"/>
      <c r="I3" s="83"/>
      <c r="J3" s="83"/>
      <c r="K3" s="83"/>
      <c r="L3" s="684"/>
      <c r="M3" s="263"/>
      <c r="N3" s="83"/>
      <c r="O3" s="83"/>
      <c r="P3" s="83"/>
      <c r="Q3" s="83"/>
      <c r="R3" s="263"/>
      <c r="S3" s="263"/>
      <c r="T3" s="83"/>
      <c r="U3" s="83"/>
      <c r="V3" s="83"/>
      <c r="W3" s="83"/>
      <c r="X3" s="263"/>
      <c r="Y3" s="84"/>
      <c r="Z3" s="86"/>
      <c r="AB3" s="377" t="s">
        <v>7</v>
      </c>
      <c r="AC3" s="378">
        <f>SUMIF($O$8:$O$426,"January",$N$8:$N$426)</f>
        <v>9757532</v>
      </c>
      <c r="AD3" s="378">
        <f>SUMIF($U$8:$U$426,"January",$T$8:$T$426)</f>
        <v>2531948</v>
      </c>
      <c r="AE3" s="864">
        <f>SUMIF($P$8:$P$431,"January",$N$8:$N$431)</f>
        <v>2967340</v>
      </c>
      <c r="AF3" s="995">
        <f>AE3-AD3</f>
        <v>435392</v>
      </c>
    </row>
    <row r="4" spans="1:32" ht="18">
      <c r="J4" s="87"/>
      <c r="K4" s="87"/>
      <c r="L4" s="87"/>
      <c r="M4" s="87"/>
      <c r="P4" s="5"/>
      <c r="Q4" s="96">
        <v>0.01</v>
      </c>
      <c r="R4" s="87"/>
      <c r="S4" s="101"/>
      <c r="T4" s="5"/>
      <c r="U4" s="80" t="s">
        <v>104</v>
      </c>
      <c r="V4" s="81">
        <f>SUM(N8:N426)</f>
        <v>50584483</v>
      </c>
      <c r="W4" s="4"/>
      <c r="X4" s="271"/>
      <c r="Y4" s="4"/>
      <c r="Z4" s="4"/>
      <c r="AB4" s="377" t="s">
        <v>18</v>
      </c>
      <c r="AC4" s="378">
        <f>SUMIF($O$8:$O$426,"February",$N$8:$N$426)</f>
        <v>4840185</v>
      </c>
      <c r="AD4" s="378">
        <f>SUMIF($U$8:$U$426,"February",$T$8:$T$426)</f>
        <v>1652533</v>
      </c>
      <c r="AE4" s="864">
        <f>SUMIF($P$8:$P$431,"February",$N$8:$N$431)</f>
        <v>1129500</v>
      </c>
      <c r="AF4" s="995">
        <f t="shared" ref="AF4:AF14" si="0">AE4-AD4</f>
        <v>-523033</v>
      </c>
    </row>
    <row r="5" spans="1:32" ht="21">
      <c r="A5" s="3" t="s">
        <v>105</v>
      </c>
      <c r="B5" s="93">
        <f>COUNTA(B8:B1466)</f>
        <v>112</v>
      </c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90"/>
      <c r="O5" s="90"/>
      <c r="P5" s="90"/>
      <c r="Q5" s="97"/>
      <c r="R5" s="90"/>
      <c r="S5" s="101"/>
      <c r="T5" s="90"/>
      <c r="U5" s="12" t="s">
        <v>54</v>
      </c>
      <c r="V5" s="11">
        <f>SUM(T8:T426)</f>
        <v>35560386</v>
      </c>
      <c r="W5" s="21"/>
      <c r="X5" s="274"/>
      <c r="Y5" s="4"/>
      <c r="Z5" s="21"/>
      <c r="AB5" s="377" t="s">
        <v>25</v>
      </c>
      <c r="AC5" s="377">
        <f>SUMIF($O$8:$O$426,"March",$N$8:$N$426)</f>
        <v>2602772</v>
      </c>
      <c r="AD5" s="378">
        <f>SUMIF($U$8:$U$426,"March",$T$8:$T$426)</f>
        <v>3651314</v>
      </c>
      <c r="AE5" s="864">
        <f>SUMIF($P$8:$P$431,"March",$N$8:$N$431)</f>
        <v>4226358</v>
      </c>
      <c r="AF5" s="995">
        <f t="shared" si="0"/>
        <v>575044</v>
      </c>
    </row>
    <row r="6" spans="1:32" ht="35.25" customHeight="1">
      <c r="A6" s="91"/>
      <c r="B6" s="92"/>
      <c r="C6" s="88"/>
      <c r="D6" s="88"/>
      <c r="E6" s="88"/>
      <c r="F6" s="88"/>
      <c r="G6" s="88"/>
      <c r="H6" s="88"/>
      <c r="I6" s="88"/>
      <c r="J6" s="89"/>
      <c r="K6" s="89"/>
      <c r="L6" s="89"/>
      <c r="M6" s="90"/>
      <c r="N6" s="90"/>
      <c r="O6" s="90"/>
      <c r="P6" s="90"/>
      <c r="Q6" s="97"/>
      <c r="R6" s="90"/>
      <c r="S6" s="101"/>
      <c r="T6" s="90"/>
      <c r="U6" s="12" t="s">
        <v>13</v>
      </c>
      <c r="V6" s="11">
        <f>SUM(V8:V426)</f>
        <v>13539398</v>
      </c>
      <c r="W6" s="22"/>
      <c r="X6" s="275"/>
      <c r="Y6" s="438" t="s">
        <v>106</v>
      </c>
      <c r="Z6" s="3483"/>
      <c r="AA6" s="3483"/>
      <c r="AB6" s="378" t="s">
        <v>28</v>
      </c>
      <c r="AC6" s="378">
        <f>SUMIF($O$8:$O$426,"April",$N$8:$N$426)</f>
        <v>3583731</v>
      </c>
      <c r="AD6" s="378">
        <f>SUMIF($U$8:$U$426,"April",$T$8:$T$426)</f>
        <v>1776550</v>
      </c>
      <c r="AE6" s="864">
        <f>SUMIF($P$8:$P$431,"April",$N$8:$N$431)</f>
        <v>1926050</v>
      </c>
      <c r="AF6" s="995">
        <f>AE6-AD6</f>
        <v>149500</v>
      </c>
    </row>
    <row r="7" spans="1:32" s="398" customFormat="1" ht="43.2">
      <c r="A7" s="392" t="s">
        <v>107</v>
      </c>
      <c r="B7" s="392" t="s">
        <v>108</v>
      </c>
      <c r="C7" s="392" t="s">
        <v>109</v>
      </c>
      <c r="D7" s="392" t="s">
        <v>110</v>
      </c>
      <c r="E7" s="392" t="s">
        <v>111</v>
      </c>
      <c r="F7" s="392" t="s">
        <v>112</v>
      </c>
      <c r="G7" s="392" t="s">
        <v>113</v>
      </c>
      <c r="H7" s="393" t="s">
        <v>114</v>
      </c>
      <c r="I7" s="394" t="s">
        <v>115</v>
      </c>
      <c r="J7" s="392" t="s">
        <v>116</v>
      </c>
      <c r="K7" s="392" t="s">
        <v>117</v>
      </c>
      <c r="L7" s="392" t="s">
        <v>118</v>
      </c>
      <c r="M7" s="395" t="s">
        <v>119</v>
      </c>
      <c r="N7" s="392" t="s">
        <v>120</v>
      </c>
      <c r="O7" s="392" t="s">
        <v>121</v>
      </c>
      <c r="P7" s="392" t="s">
        <v>93</v>
      </c>
      <c r="Q7" s="392" t="s">
        <v>122</v>
      </c>
      <c r="R7" s="396" t="s">
        <v>123</v>
      </c>
      <c r="S7" s="396" t="s">
        <v>124</v>
      </c>
      <c r="T7" s="392" t="s">
        <v>125</v>
      </c>
      <c r="U7" s="392" t="s">
        <v>126</v>
      </c>
      <c r="V7" s="392" t="s">
        <v>13</v>
      </c>
      <c r="W7" s="392" t="s">
        <v>127</v>
      </c>
      <c r="X7" s="980" t="s">
        <v>128</v>
      </c>
      <c r="Y7" s="439" t="s">
        <v>129</v>
      </c>
      <c r="Z7" s="654" t="s">
        <v>130</v>
      </c>
      <c r="AA7" s="655" t="s">
        <v>131</v>
      </c>
      <c r="AB7" s="377" t="s">
        <v>30</v>
      </c>
      <c r="AC7" s="377">
        <f>SUMIF($O$8:$O$426,"May",$N$8:$N$426)</f>
        <v>5141304</v>
      </c>
      <c r="AD7" s="378">
        <f>SUMIF($U$8:$U$426,"May",$T$8:$T$426)</f>
        <v>4694500</v>
      </c>
      <c r="AE7" s="864">
        <f>SUMIF($P$8:$P$431,"May",$N$8:$N$431)</f>
        <v>5133652</v>
      </c>
      <c r="AF7" s="995">
        <f t="shared" si="0"/>
        <v>439152</v>
      </c>
    </row>
    <row r="8" spans="1:32" s="380" customFormat="1" ht="23.25" customHeight="1">
      <c r="A8" s="1667">
        <v>1</v>
      </c>
      <c r="B8" s="1341">
        <v>45666</v>
      </c>
      <c r="C8" s="1342" t="s">
        <v>600</v>
      </c>
      <c r="D8" s="1342" t="s">
        <v>601</v>
      </c>
      <c r="E8" s="1342" t="s">
        <v>602</v>
      </c>
      <c r="F8" s="1342" t="s">
        <v>603</v>
      </c>
      <c r="G8" s="1342">
        <v>9373155620</v>
      </c>
      <c r="H8" s="1343" t="s">
        <v>604</v>
      </c>
      <c r="I8" s="1342" t="s">
        <v>605</v>
      </c>
      <c r="J8" s="1342" t="s">
        <v>81</v>
      </c>
      <c r="K8" s="1342" t="s">
        <v>157</v>
      </c>
      <c r="L8" s="1342" t="s">
        <v>606</v>
      </c>
      <c r="M8" s="1344">
        <v>45341</v>
      </c>
      <c r="N8" s="1345">
        <v>1246800</v>
      </c>
      <c r="O8" s="1345" t="s">
        <v>7</v>
      </c>
      <c r="P8" s="1345" t="s">
        <v>39</v>
      </c>
      <c r="Q8" s="1346">
        <v>1</v>
      </c>
      <c r="R8" s="1675" t="s">
        <v>607</v>
      </c>
      <c r="S8" s="1676">
        <v>45751</v>
      </c>
      <c r="T8" s="1673">
        <v>1029360</v>
      </c>
      <c r="U8" s="1667" t="s">
        <v>39</v>
      </c>
      <c r="V8" s="1349">
        <v>0</v>
      </c>
      <c r="W8" s="1673"/>
      <c r="X8" s="2332"/>
      <c r="Y8" s="2333"/>
      <c r="Z8" s="1679" t="s">
        <v>157</v>
      </c>
      <c r="AA8" s="1680"/>
      <c r="AB8" s="653" t="s">
        <v>34</v>
      </c>
      <c r="AC8" s="377">
        <f>SUMIF($O$8:$O$426,"June",$N$8:$N$426)</f>
        <v>5050287</v>
      </c>
      <c r="AD8" s="377">
        <f>SUMIF($U$8:$U$426,"June",$T$8:$T$426)</f>
        <v>6037535</v>
      </c>
      <c r="AE8" s="864">
        <f>SUMIF($P$8:$P$431,"June",$N$8:$N$431)</f>
        <v>6433266</v>
      </c>
      <c r="AF8" s="995">
        <f t="shared" si="0"/>
        <v>395731</v>
      </c>
    </row>
    <row r="9" spans="1:32" s="382" customFormat="1" ht="23.1" customHeight="1">
      <c r="A9" s="1020">
        <v>2</v>
      </c>
      <c r="B9" s="1037">
        <v>45666</v>
      </c>
      <c r="C9" s="1050" t="s">
        <v>608</v>
      </c>
      <c r="D9" s="1059" t="s">
        <v>133</v>
      </c>
      <c r="E9" s="1059" t="s">
        <v>609</v>
      </c>
      <c r="F9" s="1059" t="s">
        <v>610</v>
      </c>
      <c r="G9" s="1050">
        <v>9881275059</v>
      </c>
      <c r="H9" s="1031" t="s">
        <v>611</v>
      </c>
      <c r="I9" s="1050" t="s">
        <v>612</v>
      </c>
      <c r="J9" s="1050" t="s">
        <v>75</v>
      </c>
      <c r="K9" s="1050" t="s">
        <v>157</v>
      </c>
      <c r="L9" s="1050" t="s">
        <v>613</v>
      </c>
      <c r="M9" s="1080">
        <v>45412</v>
      </c>
      <c r="N9" s="1058">
        <v>604356</v>
      </c>
      <c r="O9" s="1058" t="s">
        <v>7</v>
      </c>
      <c r="P9" s="1059" t="s">
        <v>39</v>
      </c>
      <c r="Q9" s="1885">
        <v>1</v>
      </c>
      <c r="R9" s="1046"/>
      <c r="S9" s="1061"/>
      <c r="T9" s="1058"/>
      <c r="U9" s="1058"/>
      <c r="V9" s="1025">
        <v>0</v>
      </c>
      <c r="W9" s="1058"/>
      <c r="X9" s="1062"/>
      <c r="Y9" s="1063"/>
      <c r="Z9" s="1058" t="s">
        <v>157</v>
      </c>
      <c r="AA9" s="500"/>
      <c r="AB9" s="653" t="s">
        <v>37</v>
      </c>
      <c r="AC9" s="377">
        <f>SUMIF($O$8:$O$426,"July",$N$8:$N$426)</f>
        <v>3175477</v>
      </c>
      <c r="AD9" s="377">
        <f>SUMIF($U$8:$U$426,"July",$T$8:$T$426)</f>
        <v>3214688</v>
      </c>
      <c r="AE9" s="864">
        <f>SUMIF($P$8:$P$431,"July",$N$8:$N$431)</f>
        <v>2640380</v>
      </c>
      <c r="AF9" s="995">
        <f t="shared" si="0"/>
        <v>-574308</v>
      </c>
    </row>
    <row r="10" spans="1:32" s="379" customFormat="1" ht="21" customHeight="1">
      <c r="A10" s="1020">
        <v>3</v>
      </c>
      <c r="B10" s="1886">
        <v>45666</v>
      </c>
      <c r="C10" s="1033" t="s">
        <v>614</v>
      </c>
      <c r="D10" s="1050" t="s">
        <v>133</v>
      </c>
      <c r="E10" s="1050" t="s">
        <v>277</v>
      </c>
      <c r="F10" s="1035" t="s">
        <v>615</v>
      </c>
      <c r="G10" s="1050">
        <v>2022903115</v>
      </c>
      <c r="H10" s="1031" t="s">
        <v>616</v>
      </c>
      <c r="I10" s="1050" t="s">
        <v>617</v>
      </c>
      <c r="J10" s="1083" t="s">
        <v>75</v>
      </c>
      <c r="K10" s="1050" t="s">
        <v>157</v>
      </c>
      <c r="L10" s="1033" t="s">
        <v>618</v>
      </c>
      <c r="M10" s="1057">
        <v>45329</v>
      </c>
      <c r="N10" s="1981">
        <v>1197980</v>
      </c>
      <c r="O10" s="1058" t="s">
        <v>7</v>
      </c>
      <c r="P10" s="1059" t="s">
        <v>37</v>
      </c>
      <c r="Q10" s="1060">
        <v>1</v>
      </c>
      <c r="R10" s="1046">
        <v>4000513646</v>
      </c>
      <c r="S10" s="1061">
        <v>45832</v>
      </c>
      <c r="T10" s="1058">
        <v>1406141</v>
      </c>
      <c r="U10" s="1058" t="s">
        <v>34</v>
      </c>
      <c r="V10" s="1982">
        <v>0</v>
      </c>
      <c r="W10" s="1058"/>
      <c r="X10" s="1074"/>
      <c r="Y10" s="1063"/>
      <c r="Z10" s="1058" t="s">
        <v>208</v>
      </c>
      <c r="AA10" s="1058"/>
      <c r="AB10" s="653" t="s">
        <v>39</v>
      </c>
      <c r="AC10" s="377">
        <f>SUMIF($O$8:$O$426,"August",$N$8:$N$426)</f>
        <v>5170000</v>
      </c>
      <c r="AD10" s="377">
        <f>SUMIF($U$8:$U$426,"August",$T$8:$T$426)</f>
        <v>2953103</v>
      </c>
      <c r="AE10" s="1687">
        <f>SUMIF($P$8:$P$431,"August",$N$8:$N$431)</f>
        <v>4745016</v>
      </c>
      <c r="AF10" s="995">
        <f>AE10-AD10</f>
        <v>1791913</v>
      </c>
    </row>
    <row r="11" spans="1:32" s="382" customFormat="1" ht="33" customHeight="1">
      <c r="A11" s="480">
        <v>4</v>
      </c>
      <c r="B11" s="488">
        <v>45666</v>
      </c>
      <c r="C11" s="501" t="s">
        <v>619</v>
      </c>
      <c r="D11" s="501" t="s">
        <v>304</v>
      </c>
      <c r="E11" s="501" t="s">
        <v>620</v>
      </c>
      <c r="F11" s="501" t="s">
        <v>621</v>
      </c>
      <c r="G11" s="501">
        <v>9833345459</v>
      </c>
      <c r="H11" s="680" t="s">
        <v>622</v>
      </c>
      <c r="I11" s="501">
        <v>102006834</v>
      </c>
      <c r="J11" s="501" t="s">
        <v>75</v>
      </c>
      <c r="K11" s="501" t="s">
        <v>157</v>
      </c>
      <c r="L11" s="501" t="s">
        <v>623</v>
      </c>
      <c r="M11" s="505">
        <v>45516</v>
      </c>
      <c r="N11" s="487">
        <v>643950</v>
      </c>
      <c r="O11" s="490" t="s">
        <v>7</v>
      </c>
      <c r="P11" s="2654" t="s">
        <v>62</v>
      </c>
      <c r="Q11" s="391">
        <v>0.4</v>
      </c>
      <c r="R11" s="492"/>
      <c r="S11" s="493"/>
      <c r="T11" s="490"/>
      <c r="U11" s="490"/>
      <c r="V11" s="284">
        <f>Table626893456[[#This Row],[Offer Value]]-Table626893456[[#This Row],[PO Value]]</f>
        <v>643950</v>
      </c>
      <c r="W11" s="490"/>
      <c r="X11" s="982" t="s">
        <v>624</v>
      </c>
      <c r="Y11" s="494"/>
      <c r="Z11" s="490" t="s">
        <v>157</v>
      </c>
      <c r="AA11" s="490"/>
      <c r="AB11" s="653" t="s">
        <v>44</v>
      </c>
      <c r="AC11" s="377">
        <f>SUMIF($O$8:$O$426,"September",$N$8:$N$426)</f>
        <v>4142775</v>
      </c>
      <c r="AD11" s="377">
        <f>SUMIF($U$8:$U$426,"September",$T$8:$T$426)</f>
        <v>1750522</v>
      </c>
      <c r="AE11" s="864">
        <f>SUMIF($P$8:$P$431,"September",$N$8:$N$431)</f>
        <v>1273000</v>
      </c>
      <c r="AF11" s="995">
        <f t="shared" si="0"/>
        <v>-477522</v>
      </c>
    </row>
    <row r="12" spans="1:32" s="379" customFormat="1" ht="28.5" customHeight="1">
      <c r="A12" s="1020">
        <v>5</v>
      </c>
      <c r="B12" s="1037">
        <v>45666</v>
      </c>
      <c r="C12" s="1033" t="s">
        <v>625</v>
      </c>
      <c r="D12" s="1033" t="s">
        <v>133</v>
      </c>
      <c r="E12" s="1033" t="s">
        <v>626</v>
      </c>
      <c r="F12" s="1033" t="s">
        <v>627</v>
      </c>
      <c r="G12" s="1033">
        <v>7774083585</v>
      </c>
      <c r="H12" s="1032" t="s">
        <v>628</v>
      </c>
      <c r="I12" s="1033" t="s">
        <v>629</v>
      </c>
      <c r="J12" s="1033" t="s">
        <v>73</v>
      </c>
      <c r="K12" s="1033" t="s">
        <v>138</v>
      </c>
      <c r="L12" s="1033" t="s">
        <v>630</v>
      </c>
      <c r="M12" s="1057">
        <v>45511</v>
      </c>
      <c r="N12" s="1030">
        <v>62000</v>
      </c>
      <c r="O12" s="1058" t="s">
        <v>7</v>
      </c>
      <c r="P12" s="1059" t="s">
        <v>18</v>
      </c>
      <c r="Q12" s="1060">
        <v>1</v>
      </c>
      <c r="R12" s="1046">
        <v>10082197</v>
      </c>
      <c r="S12" s="1061">
        <v>45636</v>
      </c>
      <c r="T12" s="1058">
        <v>55000</v>
      </c>
      <c r="U12" s="1058" t="s">
        <v>7</v>
      </c>
      <c r="V12" s="1025">
        <f>Table626893456[[#This Row],[Offer Value]]-Table626893456[[#This Row],[PO Value]]</f>
        <v>7000</v>
      </c>
      <c r="W12" s="1058"/>
      <c r="X12" s="1062"/>
      <c r="Y12" s="1063"/>
      <c r="Z12" s="1058"/>
      <c r="AA12" s="1058"/>
      <c r="AB12" s="653" t="s">
        <v>47</v>
      </c>
      <c r="AC12" s="377">
        <f>SUMIF($O$8:$O$426,"October",$N$8:$N$426)</f>
        <v>4747151</v>
      </c>
      <c r="AD12" s="377">
        <f>SUMIF($U$8:$U$426,"October",$T$8:$T$426)</f>
        <v>2616357</v>
      </c>
      <c r="AE12" s="864">
        <f>SUMIF($P$8:$P$431,"October",$N$8:$N$431)</f>
        <v>2694185</v>
      </c>
      <c r="AF12" s="995">
        <f t="shared" si="0"/>
        <v>77828</v>
      </c>
    </row>
    <row r="13" spans="1:32" s="381" customFormat="1" ht="23.1" customHeight="1">
      <c r="A13" s="1030">
        <v>5</v>
      </c>
      <c r="B13" s="1037"/>
      <c r="C13" s="1033" t="s">
        <v>625</v>
      </c>
      <c r="D13" s="1033" t="s">
        <v>133</v>
      </c>
      <c r="E13" s="1033" t="s">
        <v>631</v>
      </c>
      <c r="F13" s="1033" t="s">
        <v>627</v>
      </c>
      <c r="G13" s="1033">
        <v>7774083585</v>
      </c>
      <c r="H13" s="1032" t="s">
        <v>628</v>
      </c>
      <c r="I13" s="1033" t="s">
        <v>632</v>
      </c>
      <c r="J13" s="1083" t="s">
        <v>73</v>
      </c>
      <c r="K13" s="1033" t="s">
        <v>138</v>
      </c>
      <c r="L13" s="1033" t="s">
        <v>630</v>
      </c>
      <c r="M13" s="1057">
        <v>45511</v>
      </c>
      <c r="N13" s="1030">
        <v>62000</v>
      </c>
      <c r="O13" s="1058" t="s">
        <v>7</v>
      </c>
      <c r="P13" s="1059" t="s">
        <v>18</v>
      </c>
      <c r="Q13" s="1060">
        <v>1</v>
      </c>
      <c r="R13" s="1046">
        <v>10082196</v>
      </c>
      <c r="S13" s="1061">
        <v>45636</v>
      </c>
      <c r="T13" s="1058">
        <v>55000</v>
      </c>
      <c r="U13" s="1058" t="s">
        <v>7</v>
      </c>
      <c r="V13" s="1025">
        <f>Table626893456[[#This Row],[Offer Value]]-Table626893456[[#This Row],[PO Value]]</f>
        <v>7000</v>
      </c>
      <c r="W13" s="1058"/>
      <c r="X13" s="1062"/>
      <c r="Y13" s="1076"/>
      <c r="Z13" s="490"/>
      <c r="AA13" s="500"/>
      <c r="AB13" s="653" t="s">
        <v>49</v>
      </c>
      <c r="AC13" s="377">
        <f>SUMIF($O$8:$O$426,"November",$N$8:$N$426)</f>
        <v>1326760</v>
      </c>
      <c r="AD13" s="377">
        <f>SUMIF($U$8:$U$426,"November",$T$8:$T$426)</f>
        <v>3568228</v>
      </c>
      <c r="AE13" s="864">
        <f>SUMIF($P$8:$P$431,"November",$N$8:$N$431)</f>
        <v>8781521</v>
      </c>
      <c r="AF13" s="995">
        <f t="shared" si="0"/>
        <v>5213293</v>
      </c>
    </row>
    <row r="14" spans="1:32" s="379" customFormat="1" ht="18">
      <c r="A14" s="1030">
        <v>5</v>
      </c>
      <c r="B14" s="1037"/>
      <c r="C14" s="1033" t="s">
        <v>625</v>
      </c>
      <c r="D14" s="1033" t="s">
        <v>133</v>
      </c>
      <c r="E14" s="1033" t="s">
        <v>153</v>
      </c>
      <c r="F14" s="1033" t="s">
        <v>627</v>
      </c>
      <c r="G14" s="1033">
        <v>7774083585</v>
      </c>
      <c r="H14" s="1032" t="s">
        <v>628</v>
      </c>
      <c r="I14" s="1033" t="s">
        <v>633</v>
      </c>
      <c r="J14" s="1083" t="s">
        <v>73</v>
      </c>
      <c r="K14" s="1033" t="s">
        <v>138</v>
      </c>
      <c r="L14" s="1033" t="s">
        <v>630</v>
      </c>
      <c r="M14" s="1057">
        <v>45511</v>
      </c>
      <c r="N14" s="1030">
        <v>62000</v>
      </c>
      <c r="O14" s="1058" t="s">
        <v>7</v>
      </c>
      <c r="P14" s="1059" t="s">
        <v>18</v>
      </c>
      <c r="Q14" s="1060">
        <v>1</v>
      </c>
      <c r="R14" s="1046">
        <v>10082196</v>
      </c>
      <c r="S14" s="1061">
        <v>45636</v>
      </c>
      <c r="T14" s="1058">
        <v>55000</v>
      </c>
      <c r="U14" s="1058" t="s">
        <v>7</v>
      </c>
      <c r="V14" s="1025">
        <f>Table626893456[[#This Row],[Offer Value]]-Table626893456[[#This Row],[PO Value]]</f>
        <v>7000</v>
      </c>
      <c r="W14" s="1058"/>
      <c r="X14" s="1062"/>
      <c r="Y14" s="1063"/>
      <c r="Z14" s="499"/>
      <c r="AA14" s="500"/>
      <c r="AB14" s="653" t="s">
        <v>62</v>
      </c>
      <c r="AC14" s="497">
        <f>SUMIF($O$8:$O$426,"December",$N$8:$N$426)</f>
        <v>1046509</v>
      </c>
      <c r="AD14" s="377">
        <f>SUMIF($U$8:$U$426,"December",$T$8:$T$426)</f>
        <v>573108</v>
      </c>
      <c r="AE14" s="864">
        <f>SUMIF($P$8:$P$431,"December",$N$8:$N$431)</f>
        <v>8634215</v>
      </c>
      <c r="AF14" s="995">
        <f t="shared" si="0"/>
        <v>8061107</v>
      </c>
    </row>
    <row r="15" spans="1:32" s="381" customFormat="1" ht="18">
      <c r="A15" s="1667">
        <v>6</v>
      </c>
      <c r="B15" s="1341">
        <v>45666</v>
      </c>
      <c r="C15" s="1342" t="s">
        <v>634</v>
      </c>
      <c r="D15" s="1684" t="s">
        <v>133</v>
      </c>
      <c r="E15" s="1684" t="s">
        <v>635</v>
      </c>
      <c r="F15" s="1684" t="s">
        <v>636</v>
      </c>
      <c r="G15" s="1684">
        <v>9823332725</v>
      </c>
      <c r="H15" s="1354" t="s">
        <v>637</v>
      </c>
      <c r="I15" s="1684" t="s">
        <v>638</v>
      </c>
      <c r="J15" s="1773" t="s">
        <v>77</v>
      </c>
      <c r="K15" s="1684" t="s">
        <v>639</v>
      </c>
      <c r="L15" s="1684" t="s">
        <v>640</v>
      </c>
      <c r="M15" s="1774">
        <v>45610</v>
      </c>
      <c r="N15" s="1340">
        <v>560000</v>
      </c>
      <c r="O15" s="1345" t="s">
        <v>7</v>
      </c>
      <c r="P15" s="1648" t="s">
        <v>34</v>
      </c>
      <c r="Q15" s="1775">
        <v>1</v>
      </c>
      <c r="R15" s="1347">
        <v>4512705805</v>
      </c>
      <c r="S15" s="1348">
        <v>45814</v>
      </c>
      <c r="T15" s="1345">
        <v>520000</v>
      </c>
      <c r="U15" s="1345" t="s">
        <v>34</v>
      </c>
      <c r="V15" s="1349">
        <v>0</v>
      </c>
      <c r="W15" s="1345"/>
      <c r="X15" s="1350"/>
      <c r="Y15" s="1435"/>
      <c r="Z15" s="1355"/>
      <c r="AA15" s="1355"/>
      <c r="AB15" s="379"/>
      <c r="AC15" s="379"/>
      <c r="AD15" s="379"/>
    </row>
    <row r="16" spans="1:32" s="379" customFormat="1" ht="35.25" customHeight="1">
      <c r="A16" s="1030">
        <v>7</v>
      </c>
      <c r="B16" s="1037">
        <v>45666</v>
      </c>
      <c r="C16" s="1034" t="s">
        <v>625</v>
      </c>
      <c r="D16" s="1034" t="s">
        <v>133</v>
      </c>
      <c r="E16" s="1034" t="s">
        <v>641</v>
      </c>
      <c r="F16" s="1035" t="s">
        <v>642</v>
      </c>
      <c r="G16" s="1035">
        <v>9552579436</v>
      </c>
      <c r="H16" s="1036" t="s">
        <v>643</v>
      </c>
      <c r="I16" s="1092" t="s">
        <v>644</v>
      </c>
      <c r="J16" s="1083" t="s">
        <v>73</v>
      </c>
      <c r="K16" s="1035" t="s">
        <v>138</v>
      </c>
      <c r="L16" s="1034" t="s">
        <v>645</v>
      </c>
      <c r="M16" s="1064">
        <v>45609</v>
      </c>
      <c r="N16" s="1053">
        <v>62000</v>
      </c>
      <c r="O16" s="1053" t="s">
        <v>7</v>
      </c>
      <c r="P16" s="1053" t="s">
        <v>30</v>
      </c>
      <c r="Q16" s="1065">
        <v>1</v>
      </c>
      <c r="R16" s="1559">
        <v>10083149</v>
      </c>
      <c r="S16" s="1061">
        <v>45650</v>
      </c>
      <c r="T16" s="1058">
        <v>55000</v>
      </c>
      <c r="U16" s="1058" t="s">
        <v>7</v>
      </c>
      <c r="V16" s="1025"/>
      <c r="W16" s="1058"/>
      <c r="X16" s="1074"/>
      <c r="Y16" s="1063"/>
      <c r="Z16" s="1070"/>
      <c r="AA16" s="1071"/>
    </row>
    <row r="17" spans="1:48" s="381" customFormat="1" ht="18">
      <c r="A17" s="1030">
        <v>7</v>
      </c>
      <c r="B17" s="1037"/>
      <c r="C17" s="1034" t="s">
        <v>625</v>
      </c>
      <c r="D17" s="1034" t="s">
        <v>133</v>
      </c>
      <c r="E17" s="1034" t="s">
        <v>646</v>
      </c>
      <c r="F17" s="1035" t="s">
        <v>642</v>
      </c>
      <c r="G17" s="1035">
        <v>9552579436</v>
      </c>
      <c r="H17" s="1036" t="s">
        <v>643</v>
      </c>
      <c r="I17" s="1092" t="s">
        <v>647</v>
      </c>
      <c r="J17" s="1083" t="s">
        <v>73</v>
      </c>
      <c r="K17" s="1035" t="s">
        <v>138</v>
      </c>
      <c r="L17" s="1034" t="s">
        <v>645</v>
      </c>
      <c r="M17" s="1064">
        <v>45609</v>
      </c>
      <c r="N17" s="1053">
        <v>62000</v>
      </c>
      <c r="O17" s="1053" t="s">
        <v>7</v>
      </c>
      <c r="P17" s="1053" t="s">
        <v>7</v>
      </c>
      <c r="Q17" s="1065">
        <v>1</v>
      </c>
      <c r="R17" s="1072">
        <v>10083157</v>
      </c>
      <c r="S17" s="1073">
        <v>45650</v>
      </c>
      <c r="T17" s="1058">
        <v>55000</v>
      </c>
      <c r="U17" s="1058" t="s">
        <v>7</v>
      </c>
      <c r="V17" s="1025">
        <v>0</v>
      </c>
      <c r="W17" s="1058"/>
      <c r="X17" s="1062"/>
      <c r="Y17" s="1063"/>
      <c r="Z17" s="1070"/>
      <c r="AA17" s="1070"/>
      <c r="AB17" s="379"/>
      <c r="AC17" s="379"/>
      <c r="AD17" s="379"/>
    </row>
    <row r="18" spans="1:48" s="379" customFormat="1" ht="18">
      <c r="A18" s="1030">
        <v>7</v>
      </c>
      <c r="B18" s="1037"/>
      <c r="C18" s="1034" t="s">
        <v>625</v>
      </c>
      <c r="D18" s="1034" t="s">
        <v>133</v>
      </c>
      <c r="E18" s="1034" t="s">
        <v>648</v>
      </c>
      <c r="F18" s="1035" t="s">
        <v>642</v>
      </c>
      <c r="G18" s="1035">
        <v>9552579436</v>
      </c>
      <c r="H18" s="1036" t="s">
        <v>643</v>
      </c>
      <c r="I18" s="1092" t="s">
        <v>649</v>
      </c>
      <c r="J18" s="1083" t="s">
        <v>73</v>
      </c>
      <c r="K18" s="1035" t="s">
        <v>138</v>
      </c>
      <c r="L18" s="1034" t="s">
        <v>645</v>
      </c>
      <c r="M18" s="1064">
        <v>45609</v>
      </c>
      <c r="N18" s="1053">
        <v>62000</v>
      </c>
      <c r="O18" s="1053" t="s">
        <v>7</v>
      </c>
      <c r="P18" s="1053" t="s">
        <v>7</v>
      </c>
      <c r="Q18" s="1065">
        <v>1</v>
      </c>
      <c r="R18" s="1075">
        <v>10083150</v>
      </c>
      <c r="S18" s="1061">
        <v>45650</v>
      </c>
      <c r="T18" s="1058">
        <v>55000</v>
      </c>
      <c r="U18" s="1058" t="s">
        <v>7</v>
      </c>
      <c r="V18" s="1025">
        <v>0</v>
      </c>
      <c r="W18" s="1058"/>
      <c r="X18" s="1062"/>
      <c r="Y18" s="1063"/>
      <c r="Z18" s="1077"/>
      <c r="AA18" s="1077"/>
    </row>
    <row r="19" spans="1:48" s="379" customFormat="1" ht="18">
      <c r="A19" s="1340">
        <v>8</v>
      </c>
      <c r="B19" s="1341">
        <v>45666</v>
      </c>
      <c r="C19" s="1353" t="s">
        <v>650</v>
      </c>
      <c r="D19" s="1353" t="s">
        <v>133</v>
      </c>
      <c r="E19" s="1353" t="s">
        <v>651</v>
      </c>
      <c r="F19" s="1353" t="s">
        <v>652</v>
      </c>
      <c r="G19" s="1353">
        <v>9881340014</v>
      </c>
      <c r="H19" s="1645" t="s">
        <v>653</v>
      </c>
      <c r="I19" s="1353" t="s">
        <v>654</v>
      </c>
      <c r="J19" s="1646" t="s">
        <v>73</v>
      </c>
      <c r="K19" s="1353" t="s">
        <v>138</v>
      </c>
      <c r="L19" s="1353" t="s">
        <v>655</v>
      </c>
      <c r="M19" s="1647">
        <v>45610</v>
      </c>
      <c r="N19" s="1639">
        <v>85000</v>
      </c>
      <c r="O19" s="1639" t="s">
        <v>7</v>
      </c>
      <c r="P19" s="1648" t="s">
        <v>30</v>
      </c>
      <c r="Q19" s="1649">
        <v>1</v>
      </c>
      <c r="R19" s="1347">
        <v>4601450532</v>
      </c>
      <c r="S19" s="1348">
        <v>45796</v>
      </c>
      <c r="T19" s="1345">
        <v>75000</v>
      </c>
      <c r="U19" s="1345" t="s">
        <v>30</v>
      </c>
      <c r="V19" s="1349">
        <v>0</v>
      </c>
      <c r="W19" s="1436"/>
      <c r="X19" s="1437"/>
      <c r="Y19" s="1351"/>
      <c r="Z19" s="1352"/>
      <c r="AA19" s="1352"/>
    </row>
    <row r="20" spans="1:48" s="436" customFormat="1" ht="29.4">
      <c r="A20" s="1030">
        <v>9</v>
      </c>
      <c r="B20" s="1039">
        <v>45666</v>
      </c>
      <c r="C20" s="1035" t="s">
        <v>656</v>
      </c>
      <c r="D20" s="1035" t="s">
        <v>133</v>
      </c>
      <c r="E20" s="1035" t="s">
        <v>657</v>
      </c>
      <c r="F20" s="1035" t="s">
        <v>658</v>
      </c>
      <c r="G20" s="1035">
        <v>8888869627</v>
      </c>
      <c r="H20" s="1036" t="s">
        <v>659</v>
      </c>
      <c r="I20" s="1035" t="s">
        <v>660</v>
      </c>
      <c r="J20" s="1035" t="s">
        <v>73</v>
      </c>
      <c r="K20" s="1035" t="s">
        <v>138</v>
      </c>
      <c r="L20" s="1034" t="s">
        <v>661</v>
      </c>
      <c r="M20" s="1064">
        <v>45610</v>
      </c>
      <c r="N20" s="1053">
        <v>80000</v>
      </c>
      <c r="O20" s="1053" t="s">
        <v>7</v>
      </c>
      <c r="P20" s="1058" t="s">
        <v>7</v>
      </c>
      <c r="Q20" s="1065">
        <v>1</v>
      </c>
      <c r="R20" s="1043" t="s">
        <v>662</v>
      </c>
      <c r="S20" s="1066">
        <v>45663</v>
      </c>
      <c r="T20" s="1067">
        <v>80000</v>
      </c>
      <c r="U20" s="1067" t="s">
        <v>7</v>
      </c>
      <c r="V20" s="1025">
        <f>Table626893456[[#This Row],[Offer Value]]-Table626893456[[#This Row],[PO Value]]</f>
        <v>0</v>
      </c>
      <c r="W20" s="1043" t="s">
        <v>663</v>
      </c>
      <c r="X20" s="1068"/>
      <c r="Y20" s="1069"/>
      <c r="Z20" s="1082"/>
      <c r="AA20" s="1082"/>
    </row>
    <row r="21" spans="1:48" s="379" customFormat="1" ht="18">
      <c r="A21" s="1030">
        <v>9</v>
      </c>
      <c r="B21" s="1039"/>
      <c r="C21" s="1044" t="s">
        <v>656</v>
      </c>
      <c r="D21" s="1044" t="s">
        <v>133</v>
      </c>
      <c r="E21" s="1044" t="s">
        <v>657</v>
      </c>
      <c r="F21" s="1044" t="s">
        <v>658</v>
      </c>
      <c r="G21" s="1044">
        <v>8888869627</v>
      </c>
      <c r="H21" s="1045" t="s">
        <v>659</v>
      </c>
      <c r="I21" s="1044" t="s">
        <v>664</v>
      </c>
      <c r="J21" s="1044" t="s">
        <v>73</v>
      </c>
      <c r="K21" s="1044" t="s">
        <v>138</v>
      </c>
      <c r="L21" s="1034" t="s">
        <v>661</v>
      </c>
      <c r="M21" s="1064">
        <v>45610</v>
      </c>
      <c r="N21" s="1053">
        <v>80000</v>
      </c>
      <c r="O21" s="1053" t="s">
        <v>7</v>
      </c>
      <c r="P21" s="1058" t="s">
        <v>7</v>
      </c>
      <c r="Q21" s="1065">
        <v>1</v>
      </c>
      <c r="R21" s="1046" t="s">
        <v>662</v>
      </c>
      <c r="S21" s="1061">
        <v>45663</v>
      </c>
      <c r="T21" s="1067">
        <v>80000</v>
      </c>
      <c r="U21" s="1058" t="s">
        <v>7</v>
      </c>
      <c r="V21" s="1025">
        <f>Table626893456[[#This Row],[Offer Value]]-Table626893456[[#This Row],[PO Value]]</f>
        <v>0</v>
      </c>
      <c r="W21" s="1058"/>
      <c r="X21" s="1062"/>
      <c r="Y21" s="1063"/>
      <c r="Z21" s="656"/>
      <c r="AA21" s="656"/>
    </row>
    <row r="22" spans="1:48" s="379" customFormat="1" ht="18">
      <c r="A22" s="1030">
        <v>9</v>
      </c>
      <c r="B22" s="1039"/>
      <c r="C22" s="1035" t="s">
        <v>656</v>
      </c>
      <c r="D22" s="1035" t="s">
        <v>133</v>
      </c>
      <c r="E22" s="1035" t="s">
        <v>657</v>
      </c>
      <c r="F22" s="1035" t="s">
        <v>658</v>
      </c>
      <c r="G22" s="1035">
        <v>8888869627</v>
      </c>
      <c r="H22" s="1036" t="s">
        <v>659</v>
      </c>
      <c r="I22" s="1035" t="s">
        <v>665</v>
      </c>
      <c r="J22" s="1035" t="s">
        <v>73</v>
      </c>
      <c r="K22" s="1035" t="s">
        <v>138</v>
      </c>
      <c r="L22" s="1034" t="s">
        <v>661</v>
      </c>
      <c r="M22" s="1064">
        <v>45610</v>
      </c>
      <c r="N22" s="1053">
        <v>80000</v>
      </c>
      <c r="O22" s="1053" t="s">
        <v>7</v>
      </c>
      <c r="P22" s="1058" t="s">
        <v>7</v>
      </c>
      <c r="Q22" s="1065">
        <v>1</v>
      </c>
      <c r="R22" s="1046" t="s">
        <v>662</v>
      </c>
      <c r="S22" s="1061">
        <v>45663</v>
      </c>
      <c r="T22" s="1067">
        <v>80000</v>
      </c>
      <c r="U22" s="1058" t="s">
        <v>7</v>
      </c>
      <c r="V22" s="1025">
        <f>Table626893456[[#This Row],[Offer Value]]-Table626893456[[#This Row],[PO Value]]</f>
        <v>0</v>
      </c>
      <c r="W22" s="1058"/>
      <c r="X22" s="1062"/>
      <c r="Y22" s="1063"/>
      <c r="Z22" s="1077"/>
      <c r="AA22" s="1077"/>
    </row>
    <row r="23" spans="1:48" s="379" customFormat="1" ht="18">
      <c r="A23" s="1030">
        <v>9</v>
      </c>
      <c r="B23" s="1039"/>
      <c r="C23" s="1044" t="s">
        <v>656</v>
      </c>
      <c r="D23" s="1044" t="s">
        <v>133</v>
      </c>
      <c r="E23" s="1044" t="s">
        <v>657</v>
      </c>
      <c r="F23" s="1044" t="s">
        <v>658</v>
      </c>
      <c r="G23" s="1044">
        <v>8888869627</v>
      </c>
      <c r="H23" s="1045" t="s">
        <v>659</v>
      </c>
      <c r="I23" s="1044" t="s">
        <v>666</v>
      </c>
      <c r="J23" s="1044" t="s">
        <v>73</v>
      </c>
      <c r="K23" s="1044" t="s">
        <v>138</v>
      </c>
      <c r="L23" s="1034" t="s">
        <v>661</v>
      </c>
      <c r="M23" s="1064">
        <v>45610</v>
      </c>
      <c r="N23" s="1053">
        <v>80000</v>
      </c>
      <c r="O23" s="1053" t="s">
        <v>7</v>
      </c>
      <c r="P23" s="1058" t="s">
        <v>7</v>
      </c>
      <c r="Q23" s="1065">
        <v>1</v>
      </c>
      <c r="R23" s="1046" t="s">
        <v>662</v>
      </c>
      <c r="S23" s="1061">
        <v>45663</v>
      </c>
      <c r="T23" s="1067">
        <v>80000</v>
      </c>
      <c r="U23" s="1058" t="s">
        <v>7</v>
      </c>
      <c r="V23" s="1025">
        <f>Table626893456[[#This Row],[Offer Value]]-Table626893456[[#This Row],[PO Value]]</f>
        <v>0</v>
      </c>
      <c r="W23" s="1324"/>
      <c r="X23" s="1331"/>
      <c r="Y23" s="1063"/>
      <c r="Z23" s="1077"/>
      <c r="AA23" s="1077"/>
    </row>
    <row r="24" spans="1:48" s="379" customFormat="1" ht="18">
      <c r="A24" s="1093">
        <v>9</v>
      </c>
      <c r="B24" s="1039"/>
      <c r="C24" s="1035" t="s">
        <v>656</v>
      </c>
      <c r="D24" s="1035" t="s">
        <v>133</v>
      </c>
      <c r="E24" s="1035" t="s">
        <v>657</v>
      </c>
      <c r="F24" s="1035" t="s">
        <v>658</v>
      </c>
      <c r="G24" s="1035">
        <v>8888869627</v>
      </c>
      <c r="H24" s="1036" t="s">
        <v>659</v>
      </c>
      <c r="I24" s="1035" t="s">
        <v>667</v>
      </c>
      <c r="J24" s="1035" t="s">
        <v>73</v>
      </c>
      <c r="K24" s="1035" t="s">
        <v>138</v>
      </c>
      <c r="L24" s="1034" t="s">
        <v>661</v>
      </c>
      <c r="M24" s="1064">
        <v>45610</v>
      </c>
      <c r="N24" s="1053">
        <v>80000</v>
      </c>
      <c r="O24" s="1053" t="s">
        <v>7</v>
      </c>
      <c r="P24" s="1058" t="s">
        <v>7</v>
      </c>
      <c r="Q24" s="1065">
        <v>1</v>
      </c>
      <c r="R24" s="1046" t="s">
        <v>662</v>
      </c>
      <c r="S24" s="1061">
        <v>45663</v>
      </c>
      <c r="T24" s="1067">
        <v>80000</v>
      </c>
      <c r="U24" s="1058" t="s">
        <v>7</v>
      </c>
      <c r="V24" s="1025">
        <f>Table626893456[[#This Row],[Offer Value]]-Table626893456[[#This Row],[PO Value]]</f>
        <v>0</v>
      </c>
      <c r="W24" s="1058"/>
      <c r="X24" s="1062"/>
      <c r="Y24" s="1063"/>
      <c r="Z24" s="1077"/>
      <c r="AA24" s="1077"/>
    </row>
    <row r="25" spans="1:48" s="379" customFormat="1" ht="18">
      <c r="A25" s="1030">
        <v>9</v>
      </c>
      <c r="B25" s="1039"/>
      <c r="C25" s="1044" t="s">
        <v>656</v>
      </c>
      <c r="D25" s="1044" t="s">
        <v>133</v>
      </c>
      <c r="E25" s="1044" t="s">
        <v>657</v>
      </c>
      <c r="F25" s="1044" t="s">
        <v>658</v>
      </c>
      <c r="G25" s="1044">
        <v>8888869627</v>
      </c>
      <c r="H25" s="1045" t="s">
        <v>659</v>
      </c>
      <c r="I25" s="1044" t="s">
        <v>668</v>
      </c>
      <c r="J25" s="1044" t="s">
        <v>73</v>
      </c>
      <c r="K25" s="1044" t="s">
        <v>138</v>
      </c>
      <c r="L25" s="1034" t="s">
        <v>661</v>
      </c>
      <c r="M25" s="1064">
        <v>45610</v>
      </c>
      <c r="N25" s="1053">
        <v>80000</v>
      </c>
      <c r="O25" s="1053" t="s">
        <v>7</v>
      </c>
      <c r="P25" s="1058" t="s">
        <v>7</v>
      </c>
      <c r="Q25" s="1065">
        <v>1</v>
      </c>
      <c r="R25" s="1046" t="s">
        <v>662</v>
      </c>
      <c r="S25" s="1061">
        <v>45663</v>
      </c>
      <c r="T25" s="1067">
        <v>80000</v>
      </c>
      <c r="U25" s="1058" t="s">
        <v>7</v>
      </c>
      <c r="V25" s="1025">
        <f>Table626893456[[#This Row],[Offer Value]]-Table626893456[[#This Row],[PO Value]]</f>
        <v>0</v>
      </c>
      <c r="W25" s="1058"/>
      <c r="X25" s="1062"/>
      <c r="Y25" s="1063"/>
      <c r="Z25" s="1077"/>
      <c r="AA25" s="1077"/>
    </row>
    <row r="26" spans="1:48" s="379" customFormat="1" ht="18">
      <c r="A26" s="1030">
        <v>9</v>
      </c>
      <c r="B26" s="1039"/>
      <c r="C26" s="1035" t="s">
        <v>656</v>
      </c>
      <c r="D26" s="1035" t="s">
        <v>133</v>
      </c>
      <c r="E26" s="1035" t="s">
        <v>657</v>
      </c>
      <c r="F26" s="1035" t="s">
        <v>658</v>
      </c>
      <c r="G26" s="1035">
        <v>8888869627</v>
      </c>
      <c r="H26" s="1036" t="s">
        <v>659</v>
      </c>
      <c r="I26" s="1035" t="s">
        <v>669</v>
      </c>
      <c r="J26" s="1035" t="s">
        <v>73</v>
      </c>
      <c r="K26" s="1035" t="s">
        <v>138</v>
      </c>
      <c r="L26" s="1034" t="s">
        <v>661</v>
      </c>
      <c r="M26" s="1064">
        <v>45610</v>
      </c>
      <c r="N26" s="1053">
        <v>80000</v>
      </c>
      <c r="O26" s="1053" t="s">
        <v>7</v>
      </c>
      <c r="P26" s="1058" t="s">
        <v>7</v>
      </c>
      <c r="Q26" s="1065">
        <v>1</v>
      </c>
      <c r="R26" s="1046" t="s">
        <v>662</v>
      </c>
      <c r="S26" s="1061">
        <v>45663</v>
      </c>
      <c r="T26" s="1067">
        <v>80000</v>
      </c>
      <c r="U26" s="1058" t="s">
        <v>7</v>
      </c>
      <c r="V26" s="1025">
        <f>Table626893456[[#This Row],[Offer Value]]-Table626893456[[#This Row],[PO Value]]</f>
        <v>0</v>
      </c>
      <c r="W26" s="1058"/>
      <c r="X26" s="1062"/>
      <c r="Y26" s="1063"/>
      <c r="Z26" s="1077"/>
      <c r="AA26" s="1077"/>
    </row>
    <row r="27" spans="1:48" s="379" customFormat="1" ht="18">
      <c r="A27" s="1030">
        <v>10</v>
      </c>
      <c r="B27" s="1039">
        <v>45666</v>
      </c>
      <c r="C27" s="1050" t="s">
        <v>444</v>
      </c>
      <c r="D27" s="1050" t="s">
        <v>133</v>
      </c>
      <c r="E27" s="1050" t="s">
        <v>670</v>
      </c>
      <c r="F27" s="1050" t="s">
        <v>671</v>
      </c>
      <c r="G27" s="1050">
        <v>7798824040</v>
      </c>
      <c r="H27" s="1031" t="s">
        <v>672</v>
      </c>
      <c r="I27" s="1050" t="s">
        <v>673</v>
      </c>
      <c r="J27" s="1050" t="s">
        <v>73</v>
      </c>
      <c r="K27" s="1050" t="s">
        <v>138</v>
      </c>
      <c r="L27" s="1034" t="s">
        <v>674</v>
      </c>
      <c r="M27" s="1064">
        <v>45610</v>
      </c>
      <c r="N27" s="1053">
        <v>77500</v>
      </c>
      <c r="O27" s="1053" t="s">
        <v>7</v>
      </c>
      <c r="P27" s="1058" t="s">
        <v>18</v>
      </c>
      <c r="Q27" s="1065">
        <v>1</v>
      </c>
      <c r="R27" s="1046">
        <v>8172731</v>
      </c>
      <c r="S27" s="1061">
        <v>45700</v>
      </c>
      <c r="T27" s="1058">
        <v>77500</v>
      </c>
      <c r="U27" s="1058" t="s">
        <v>18</v>
      </c>
      <c r="V27" s="1025">
        <f>Table626893456[[#This Row],[Offer Value]]-Table626893456[[#This Row],[PO Value]]</f>
        <v>0</v>
      </c>
      <c r="W27" s="1058"/>
      <c r="X27" s="1074"/>
      <c r="Y27" s="1063"/>
      <c r="Z27" s="1077"/>
      <c r="AA27" s="1077"/>
    </row>
    <row r="28" spans="1:48" s="381" customFormat="1" ht="18">
      <c r="A28" s="1030">
        <v>10</v>
      </c>
      <c r="B28" s="1039"/>
      <c r="C28" s="1035" t="s">
        <v>444</v>
      </c>
      <c r="D28" s="1035" t="s">
        <v>133</v>
      </c>
      <c r="E28" s="1035" t="s">
        <v>670</v>
      </c>
      <c r="F28" s="1035" t="s">
        <v>671</v>
      </c>
      <c r="G28" s="1035">
        <v>7798824040</v>
      </c>
      <c r="H28" s="1036" t="s">
        <v>672</v>
      </c>
      <c r="I28" s="1035" t="s">
        <v>675</v>
      </c>
      <c r="J28" s="1035" t="s">
        <v>73</v>
      </c>
      <c r="K28" s="1035" t="s">
        <v>138</v>
      </c>
      <c r="L28" s="1034" t="s">
        <v>674</v>
      </c>
      <c r="M28" s="1064">
        <v>45610</v>
      </c>
      <c r="N28" s="1053">
        <v>77500</v>
      </c>
      <c r="O28" s="1053" t="s">
        <v>7</v>
      </c>
      <c r="P28" s="1058" t="s">
        <v>18</v>
      </c>
      <c r="Q28" s="1065">
        <v>1</v>
      </c>
      <c r="R28" s="1046">
        <v>8172731</v>
      </c>
      <c r="S28" s="1061">
        <v>45700</v>
      </c>
      <c r="T28" s="1058">
        <v>77500</v>
      </c>
      <c r="U28" s="1058" t="s">
        <v>18</v>
      </c>
      <c r="V28" s="1025">
        <f>Table626893456[[#This Row],[Offer Value]]-Table626893456[[#This Row],[PO Value]]</f>
        <v>0</v>
      </c>
      <c r="W28" s="1070"/>
      <c r="X28" s="1074"/>
      <c r="Y28" s="1076"/>
      <c r="Z28" s="1077"/>
      <c r="AA28" s="1077"/>
    </row>
    <row r="29" spans="1:48" s="402" customFormat="1" ht="18" customHeight="1">
      <c r="A29" s="1030">
        <v>10</v>
      </c>
      <c r="B29" s="1039"/>
      <c r="C29" s="1035" t="s">
        <v>444</v>
      </c>
      <c r="D29" s="1035" t="s">
        <v>133</v>
      </c>
      <c r="E29" s="1035" t="s">
        <v>670</v>
      </c>
      <c r="F29" s="1035" t="s">
        <v>671</v>
      </c>
      <c r="G29" s="1035">
        <v>7798824040</v>
      </c>
      <c r="H29" s="1036" t="s">
        <v>672</v>
      </c>
      <c r="I29" s="1035" t="s">
        <v>676</v>
      </c>
      <c r="J29" s="1035" t="s">
        <v>73</v>
      </c>
      <c r="K29" s="1035" t="s">
        <v>138</v>
      </c>
      <c r="L29" s="1034" t="s">
        <v>674</v>
      </c>
      <c r="M29" s="1064">
        <v>45610</v>
      </c>
      <c r="N29" s="1053">
        <v>77500</v>
      </c>
      <c r="O29" s="1053" t="s">
        <v>7</v>
      </c>
      <c r="P29" s="1058" t="s">
        <v>18</v>
      </c>
      <c r="Q29" s="1065">
        <v>1</v>
      </c>
      <c r="R29" s="1046">
        <v>8172731</v>
      </c>
      <c r="S29" s="1061">
        <v>45700</v>
      </c>
      <c r="T29" s="1058">
        <v>77500</v>
      </c>
      <c r="U29" s="1058" t="s">
        <v>18</v>
      </c>
      <c r="V29" s="1025">
        <f>Table626893456[[#This Row],[Offer Value]]-Table626893456[[#This Row],[PO Value]]</f>
        <v>0</v>
      </c>
      <c r="W29" s="1058"/>
      <c r="X29" s="1074"/>
      <c r="Y29" s="1076"/>
      <c r="Z29" s="1077"/>
      <c r="AA29" s="1077"/>
      <c r="AB29" s="379"/>
      <c r="AC29" s="379"/>
      <c r="AD29" s="379"/>
      <c r="AE29" s="379"/>
      <c r="AF29" s="379"/>
      <c r="AG29" s="379"/>
      <c r="AH29" s="379"/>
      <c r="AI29" s="379"/>
      <c r="AJ29" s="379"/>
      <c r="AK29" s="379"/>
      <c r="AL29" s="379"/>
      <c r="AM29" s="379"/>
      <c r="AN29" s="379"/>
      <c r="AO29" s="379"/>
      <c r="AP29" s="379"/>
      <c r="AQ29" s="379"/>
      <c r="AR29" s="379"/>
      <c r="AS29" s="379"/>
      <c r="AT29" s="379"/>
      <c r="AU29" s="379"/>
      <c r="AV29" s="379"/>
    </row>
    <row r="30" spans="1:48" s="381" customFormat="1" ht="18" customHeight="1">
      <c r="A30" s="1030">
        <v>10</v>
      </c>
      <c r="B30" s="1039"/>
      <c r="C30" s="1050" t="s">
        <v>444</v>
      </c>
      <c r="D30" s="1050" t="s">
        <v>133</v>
      </c>
      <c r="E30" s="1050" t="s">
        <v>670</v>
      </c>
      <c r="F30" s="1050" t="s">
        <v>671</v>
      </c>
      <c r="G30" s="1050">
        <v>7798824040</v>
      </c>
      <c r="H30" s="1031" t="s">
        <v>672</v>
      </c>
      <c r="I30" s="1050" t="s">
        <v>677</v>
      </c>
      <c r="J30" s="1050" t="s">
        <v>73</v>
      </c>
      <c r="K30" s="1050" t="s">
        <v>138</v>
      </c>
      <c r="L30" s="1034" t="s">
        <v>674</v>
      </c>
      <c r="M30" s="1064">
        <v>45610</v>
      </c>
      <c r="N30" s="1053">
        <v>77500</v>
      </c>
      <c r="O30" s="1053" t="s">
        <v>7</v>
      </c>
      <c r="P30" s="1058" t="s">
        <v>18</v>
      </c>
      <c r="Q30" s="1065">
        <v>1</v>
      </c>
      <c r="R30" s="1046">
        <v>8172731</v>
      </c>
      <c r="S30" s="1061">
        <v>45700</v>
      </c>
      <c r="T30" s="1058">
        <v>77500</v>
      </c>
      <c r="U30" s="1058" t="s">
        <v>18</v>
      </c>
      <c r="V30" s="1025">
        <f>Table626893456[[#This Row],[Offer Value]]-Table626893456[[#This Row],[PO Value]]</f>
        <v>0</v>
      </c>
      <c r="W30" s="1070"/>
      <c r="X30" s="1074"/>
      <c r="Y30" s="1076"/>
      <c r="Z30" s="1077"/>
      <c r="AA30" s="1077"/>
      <c r="AB30" s="379"/>
      <c r="AC30" s="379"/>
      <c r="AD30" s="379"/>
      <c r="AE30" s="379"/>
      <c r="AF30" s="379"/>
      <c r="AG30" s="379"/>
      <c r="AH30" s="379"/>
      <c r="AI30" s="379"/>
      <c r="AJ30" s="379"/>
      <c r="AK30" s="379"/>
      <c r="AL30" s="379"/>
      <c r="AM30" s="379"/>
      <c r="AN30" s="379"/>
      <c r="AO30" s="379"/>
      <c r="AP30" s="379"/>
      <c r="AQ30" s="379"/>
      <c r="AR30" s="379"/>
      <c r="AS30" s="379"/>
      <c r="AT30" s="379"/>
      <c r="AU30" s="379"/>
      <c r="AV30" s="379"/>
    </row>
    <row r="31" spans="1:48" s="402" customFormat="1" ht="18">
      <c r="A31" s="1030">
        <v>11</v>
      </c>
      <c r="B31" s="1039">
        <v>45666</v>
      </c>
      <c r="C31" s="1078" t="s">
        <v>444</v>
      </c>
      <c r="D31" s="1078" t="s">
        <v>133</v>
      </c>
      <c r="E31" s="1078" t="s">
        <v>445</v>
      </c>
      <c r="F31" s="1078" t="s">
        <v>446</v>
      </c>
      <c r="G31" s="1078">
        <v>7045525011</v>
      </c>
      <c r="H31" s="1032" t="s">
        <v>447</v>
      </c>
      <c r="I31" s="1078" t="s">
        <v>448</v>
      </c>
      <c r="J31" s="1078" t="s">
        <v>73</v>
      </c>
      <c r="K31" s="1078" t="s">
        <v>138</v>
      </c>
      <c r="L31" s="1034" t="s">
        <v>678</v>
      </c>
      <c r="M31" s="1064">
        <v>45610</v>
      </c>
      <c r="N31" s="1053">
        <v>77500</v>
      </c>
      <c r="O31" s="1053" t="s">
        <v>7</v>
      </c>
      <c r="P31" s="1058" t="s">
        <v>18</v>
      </c>
      <c r="Q31" s="1065">
        <v>1</v>
      </c>
      <c r="R31" s="1046">
        <v>8172511</v>
      </c>
      <c r="S31" s="1061">
        <v>45693</v>
      </c>
      <c r="T31" s="1058">
        <v>77500</v>
      </c>
      <c r="U31" s="1058" t="s">
        <v>18</v>
      </c>
      <c r="V31" s="1025">
        <f>Table626893456[[#This Row],[Offer Value]]-Table626893456[[#This Row],[PO Value]]</f>
        <v>0</v>
      </c>
      <c r="W31" s="1070"/>
      <c r="X31" s="1074"/>
      <c r="Y31" s="1076"/>
      <c r="Z31" s="658"/>
      <c r="AA31" s="658"/>
      <c r="AB31" s="379"/>
      <c r="AC31" s="379"/>
      <c r="AD31" s="379"/>
      <c r="AE31" s="379"/>
      <c r="AF31" s="379"/>
      <c r="AG31" s="379"/>
      <c r="AH31" s="379"/>
      <c r="AI31" s="379"/>
      <c r="AJ31" s="379"/>
      <c r="AK31" s="379"/>
      <c r="AL31" s="379"/>
      <c r="AM31" s="379"/>
      <c r="AN31" s="379"/>
      <c r="AO31" s="379"/>
      <c r="AP31" s="379"/>
      <c r="AQ31" s="379"/>
      <c r="AR31" s="379"/>
      <c r="AS31" s="379"/>
      <c r="AT31" s="379"/>
      <c r="AU31" s="379"/>
      <c r="AV31" s="379"/>
    </row>
    <row r="32" spans="1:48" s="381" customFormat="1" ht="18">
      <c r="A32" s="1094">
        <v>11</v>
      </c>
      <c r="B32" s="1039"/>
      <c r="C32" s="1078" t="s">
        <v>444</v>
      </c>
      <c r="D32" s="1078" t="s">
        <v>133</v>
      </c>
      <c r="E32" s="1078" t="s">
        <v>445</v>
      </c>
      <c r="F32" s="1078" t="s">
        <v>446</v>
      </c>
      <c r="G32" s="1078">
        <v>7045525011</v>
      </c>
      <c r="H32" s="1032" t="s">
        <v>447</v>
      </c>
      <c r="I32" s="1078" t="s">
        <v>451</v>
      </c>
      <c r="J32" s="1078" t="s">
        <v>73</v>
      </c>
      <c r="K32" s="1078" t="s">
        <v>138</v>
      </c>
      <c r="L32" s="1034" t="s">
        <v>678</v>
      </c>
      <c r="M32" s="1064">
        <v>45610</v>
      </c>
      <c r="N32" s="1053">
        <v>77500</v>
      </c>
      <c r="O32" s="1053" t="s">
        <v>7</v>
      </c>
      <c r="P32" s="1058" t="s">
        <v>18</v>
      </c>
      <c r="Q32" s="1065">
        <v>1</v>
      </c>
      <c r="R32" s="1046">
        <v>8172511</v>
      </c>
      <c r="S32" s="1061">
        <v>45693</v>
      </c>
      <c r="T32" s="1058">
        <v>77500</v>
      </c>
      <c r="U32" s="1058" t="s">
        <v>18</v>
      </c>
      <c r="V32" s="1025">
        <f>Table626893456[[#This Row],[Offer Value]]-Table626893456[[#This Row],[PO Value]]</f>
        <v>0</v>
      </c>
      <c r="W32" s="1070"/>
      <c r="X32" s="1074"/>
      <c r="Y32" s="1076"/>
      <c r="Z32" s="657"/>
      <c r="AA32" s="657"/>
      <c r="AB32" s="379"/>
      <c r="AC32" s="379"/>
      <c r="AD32" s="379"/>
      <c r="AE32" s="379"/>
      <c r="AF32" s="379"/>
      <c r="AG32" s="379"/>
      <c r="AH32" s="379"/>
      <c r="AI32" s="379"/>
      <c r="AJ32" s="379"/>
      <c r="AK32" s="379"/>
      <c r="AL32" s="379"/>
      <c r="AM32" s="379"/>
      <c r="AN32" s="379"/>
      <c r="AO32" s="379"/>
      <c r="AP32" s="379"/>
      <c r="AQ32" s="379"/>
      <c r="AR32" s="379"/>
      <c r="AS32" s="379"/>
      <c r="AT32" s="379"/>
      <c r="AU32" s="379"/>
      <c r="AV32" s="379"/>
    </row>
    <row r="33" spans="1:48" s="381" customFormat="1" ht="18">
      <c r="A33" s="1095">
        <v>11</v>
      </c>
      <c r="B33" s="1096"/>
      <c r="C33" s="1033" t="s">
        <v>444</v>
      </c>
      <c r="D33" s="1097" t="s">
        <v>133</v>
      </c>
      <c r="E33" s="1098" t="s">
        <v>445</v>
      </c>
      <c r="F33" s="1098" t="s">
        <v>446</v>
      </c>
      <c r="G33" s="1098">
        <v>7045525011</v>
      </c>
      <c r="H33" s="1099" t="s">
        <v>447</v>
      </c>
      <c r="I33" s="1098" t="s">
        <v>452</v>
      </c>
      <c r="J33" s="1100" t="s">
        <v>73</v>
      </c>
      <c r="K33" s="1100" t="s">
        <v>208</v>
      </c>
      <c r="L33" s="1098" t="s">
        <v>678</v>
      </c>
      <c r="M33" s="1064">
        <v>45610</v>
      </c>
      <c r="N33" s="1053">
        <v>77500</v>
      </c>
      <c r="O33" s="1101" t="s">
        <v>7</v>
      </c>
      <c r="P33" s="1102" t="s">
        <v>18</v>
      </c>
      <c r="Q33" s="1103">
        <v>1</v>
      </c>
      <c r="R33" s="1046">
        <v>8172511</v>
      </c>
      <c r="S33" s="1061">
        <v>45693</v>
      </c>
      <c r="T33" s="1058">
        <v>77500</v>
      </c>
      <c r="U33" s="1102" t="s">
        <v>18</v>
      </c>
      <c r="V33" s="1330">
        <f>Table626893456[[#This Row],[Offer Value]]-Table626893456[[#This Row],[PO Value]]</f>
        <v>0</v>
      </c>
      <c r="W33" s="1098"/>
      <c r="X33" s="1104"/>
      <c r="Y33" s="1332"/>
      <c r="Z33" s="657"/>
      <c r="AA33" s="657"/>
      <c r="AB33" s="379"/>
      <c r="AC33" s="379"/>
      <c r="AD33" s="379"/>
      <c r="AE33" s="379"/>
      <c r="AF33" s="379"/>
      <c r="AG33" s="379"/>
      <c r="AH33" s="379"/>
      <c r="AI33" s="379"/>
      <c r="AJ33" s="379"/>
      <c r="AK33" s="379"/>
      <c r="AL33" s="379"/>
      <c r="AM33" s="379"/>
      <c r="AN33" s="379"/>
      <c r="AO33" s="379"/>
      <c r="AP33" s="379"/>
      <c r="AQ33" s="379"/>
      <c r="AR33" s="379"/>
      <c r="AS33" s="379"/>
      <c r="AT33" s="379"/>
      <c r="AU33" s="379"/>
      <c r="AV33" s="379"/>
    </row>
    <row r="34" spans="1:48" s="402" customFormat="1" ht="18">
      <c r="A34" s="1030">
        <v>12</v>
      </c>
      <c r="B34" s="1079">
        <v>45666</v>
      </c>
      <c r="C34" s="1034" t="s">
        <v>444</v>
      </c>
      <c r="D34" s="1034" t="s">
        <v>133</v>
      </c>
      <c r="E34" s="1034" t="s">
        <v>277</v>
      </c>
      <c r="F34" s="1035" t="s">
        <v>679</v>
      </c>
      <c r="G34" s="1035">
        <v>9623003468</v>
      </c>
      <c r="H34" s="1036" t="s">
        <v>680</v>
      </c>
      <c r="I34" s="1035" t="s">
        <v>681</v>
      </c>
      <c r="J34" s="1035" t="s">
        <v>73</v>
      </c>
      <c r="K34" s="1035" t="s">
        <v>138</v>
      </c>
      <c r="L34" s="1050" t="s">
        <v>682</v>
      </c>
      <c r="M34" s="1080">
        <v>45618</v>
      </c>
      <c r="N34" s="1081">
        <v>77500</v>
      </c>
      <c r="O34" s="1053" t="s">
        <v>7</v>
      </c>
      <c r="P34" s="1058" t="s">
        <v>7</v>
      </c>
      <c r="Q34" s="1065">
        <v>1</v>
      </c>
      <c r="R34" s="1046">
        <v>8171479</v>
      </c>
      <c r="S34" s="1061">
        <v>45663</v>
      </c>
      <c r="T34" s="1058">
        <v>77500</v>
      </c>
      <c r="U34" s="1058" t="s">
        <v>7</v>
      </c>
      <c r="V34" s="1025">
        <f>Table626893456[[#This Row],[Offer Value]]-Table626893456[[#This Row],[PO Value]]</f>
        <v>0</v>
      </c>
      <c r="W34" s="1070"/>
      <c r="X34" s="1062"/>
      <c r="Y34" s="1076"/>
      <c r="Z34" s="658"/>
      <c r="AA34" s="658"/>
      <c r="AB34" s="379"/>
      <c r="AC34" s="379"/>
      <c r="AD34" s="379"/>
      <c r="AE34" s="379"/>
      <c r="AF34" s="379"/>
      <c r="AG34" s="379"/>
      <c r="AH34" s="379"/>
      <c r="AI34" s="379"/>
      <c r="AJ34" s="379"/>
      <c r="AK34" s="379"/>
      <c r="AL34" s="379"/>
      <c r="AM34" s="379"/>
      <c r="AN34" s="379"/>
      <c r="AO34" s="379"/>
      <c r="AP34" s="379"/>
      <c r="AQ34" s="379"/>
      <c r="AR34" s="379"/>
      <c r="AS34" s="379"/>
      <c r="AT34" s="379"/>
      <c r="AU34" s="379"/>
      <c r="AV34" s="379"/>
    </row>
    <row r="35" spans="1:48" s="381" customFormat="1" ht="18">
      <c r="A35" s="1030">
        <v>12</v>
      </c>
      <c r="B35" s="1079"/>
      <c r="C35" s="1034" t="s">
        <v>444</v>
      </c>
      <c r="D35" s="1034" t="s">
        <v>133</v>
      </c>
      <c r="E35" s="1034" t="s">
        <v>277</v>
      </c>
      <c r="F35" s="1035" t="s">
        <v>679</v>
      </c>
      <c r="G35" s="1035">
        <v>9623003468</v>
      </c>
      <c r="H35" s="1036" t="s">
        <v>680</v>
      </c>
      <c r="I35" s="1327" t="s">
        <v>683</v>
      </c>
      <c r="J35" s="1328" t="s">
        <v>73</v>
      </c>
      <c r="K35" s="1035" t="s">
        <v>138</v>
      </c>
      <c r="L35" s="1329" t="s">
        <v>682</v>
      </c>
      <c r="M35" s="1080">
        <v>45618</v>
      </c>
      <c r="N35" s="1081">
        <v>77500</v>
      </c>
      <c r="O35" s="1053" t="s">
        <v>7</v>
      </c>
      <c r="P35" s="1058" t="s">
        <v>7</v>
      </c>
      <c r="Q35" s="1065">
        <v>1</v>
      </c>
      <c r="R35" s="1046">
        <v>8171479</v>
      </c>
      <c r="S35" s="1061">
        <v>45663</v>
      </c>
      <c r="T35" s="1058">
        <v>77500</v>
      </c>
      <c r="U35" s="1058" t="s">
        <v>7</v>
      </c>
      <c r="V35" s="1025">
        <f>Table626893456[[#This Row],[Offer Value]]-Table626893456[[#This Row],[PO Value]]</f>
        <v>0</v>
      </c>
      <c r="W35" s="1070"/>
      <c r="X35" s="1062"/>
      <c r="Y35" s="1076"/>
      <c r="Z35" s="657"/>
      <c r="AA35" s="657"/>
      <c r="AB35" s="379"/>
      <c r="AC35" s="379"/>
      <c r="AD35" s="379"/>
      <c r="AE35" s="379"/>
      <c r="AF35" s="379"/>
      <c r="AG35" s="379"/>
      <c r="AH35" s="379"/>
      <c r="AI35" s="379"/>
      <c r="AJ35" s="379"/>
      <c r="AK35" s="379"/>
      <c r="AL35" s="379"/>
      <c r="AM35" s="379"/>
      <c r="AN35" s="379"/>
      <c r="AO35" s="379"/>
      <c r="AP35" s="379"/>
      <c r="AQ35" s="379"/>
      <c r="AR35" s="379"/>
      <c r="AS35" s="379"/>
      <c r="AT35" s="379"/>
      <c r="AU35" s="379"/>
      <c r="AV35" s="379"/>
    </row>
    <row r="36" spans="1:48" s="379" customFormat="1" ht="18">
      <c r="A36" s="1030">
        <v>12</v>
      </c>
      <c r="B36" s="1037"/>
      <c r="C36" s="1034" t="s">
        <v>444</v>
      </c>
      <c r="D36" s="1034" t="s">
        <v>133</v>
      </c>
      <c r="E36" s="1034" t="s">
        <v>277</v>
      </c>
      <c r="F36" s="1035" t="s">
        <v>679</v>
      </c>
      <c r="G36" s="1035">
        <v>9623003468</v>
      </c>
      <c r="H36" s="1036" t="s">
        <v>680</v>
      </c>
      <c r="I36" s="1326" t="s">
        <v>684</v>
      </c>
      <c r="J36" s="1328" t="s">
        <v>73</v>
      </c>
      <c r="K36" s="1035" t="s">
        <v>685</v>
      </c>
      <c r="L36" s="1329" t="s">
        <v>682</v>
      </c>
      <c r="M36" s="1080">
        <v>45618</v>
      </c>
      <c r="N36" s="1081">
        <v>77500</v>
      </c>
      <c r="O36" s="1053" t="s">
        <v>7</v>
      </c>
      <c r="P36" s="1058" t="s">
        <v>7</v>
      </c>
      <c r="Q36" s="1065">
        <v>1</v>
      </c>
      <c r="R36" s="1046">
        <v>8171479</v>
      </c>
      <c r="S36" s="1061">
        <v>45663</v>
      </c>
      <c r="T36" s="1058">
        <v>77500</v>
      </c>
      <c r="U36" s="1058" t="s">
        <v>7</v>
      </c>
      <c r="V36" s="1025">
        <f>Table626893456[[#This Row],[Offer Value]]-Table626893456[[#This Row],[PO Value]]</f>
        <v>0</v>
      </c>
      <c r="W36" s="1058"/>
      <c r="X36" s="1062"/>
      <c r="Y36" s="1076"/>
      <c r="Z36" s="1077"/>
      <c r="AA36" s="1077"/>
    </row>
    <row r="37" spans="1:48" s="1" customFormat="1" ht="14.4">
      <c r="A37" s="487">
        <v>13</v>
      </c>
      <c r="B37" s="488">
        <v>45666</v>
      </c>
      <c r="C37" s="501" t="s">
        <v>650</v>
      </c>
      <c r="D37" s="501" t="s">
        <v>133</v>
      </c>
      <c r="E37" s="501" t="s">
        <v>651</v>
      </c>
      <c r="F37" s="501" t="s">
        <v>652</v>
      </c>
      <c r="G37" s="501">
        <v>9881340014</v>
      </c>
      <c r="H37" s="680" t="s">
        <v>653</v>
      </c>
      <c r="I37" s="501" t="s">
        <v>654</v>
      </c>
      <c r="J37" s="495" t="s">
        <v>77</v>
      </c>
      <c r="K37" s="501" t="s">
        <v>138</v>
      </c>
      <c r="L37" s="501" t="s">
        <v>686</v>
      </c>
      <c r="M37" s="505">
        <v>45580</v>
      </c>
      <c r="N37" s="487">
        <v>350000</v>
      </c>
      <c r="O37" s="487" t="s">
        <v>7</v>
      </c>
      <c r="P37" s="490" t="s">
        <v>62</v>
      </c>
      <c r="Q37" s="391">
        <v>0.5</v>
      </c>
      <c r="R37" s="492"/>
      <c r="S37" s="492"/>
      <c r="T37" s="490"/>
      <c r="U37" s="490"/>
      <c r="V37" s="284">
        <f>Table626893456[[#This Row],[Offer Value]]-Table626893456[[#This Row],[PO Value]]</f>
        <v>350000</v>
      </c>
      <c r="W37" s="499"/>
      <c r="X37" s="981"/>
      <c r="Y37" s="496"/>
      <c r="Z37" s="43"/>
      <c r="AA37" s="43"/>
    </row>
    <row r="38" spans="1:48" s="379" customFormat="1" ht="18">
      <c r="A38" s="1030">
        <v>14</v>
      </c>
      <c r="B38" s="1037">
        <v>45666</v>
      </c>
      <c r="C38" s="1034" t="s">
        <v>687</v>
      </c>
      <c r="D38" s="1034" t="s">
        <v>133</v>
      </c>
      <c r="E38" s="1034" t="s">
        <v>688</v>
      </c>
      <c r="F38" s="1034" t="s">
        <v>689</v>
      </c>
      <c r="G38" s="1034">
        <v>8879112999</v>
      </c>
      <c r="H38" s="1038" t="s">
        <v>690</v>
      </c>
      <c r="I38" s="1034" t="s">
        <v>691</v>
      </c>
      <c r="J38" s="1083" t="s">
        <v>77</v>
      </c>
      <c r="K38" s="1034" t="s">
        <v>138</v>
      </c>
      <c r="L38" s="1034" t="s">
        <v>692</v>
      </c>
      <c r="M38" s="1064">
        <v>45614</v>
      </c>
      <c r="N38" s="1053">
        <v>395000</v>
      </c>
      <c r="O38" s="1053" t="s">
        <v>7</v>
      </c>
      <c r="P38" s="1053" t="s">
        <v>7</v>
      </c>
      <c r="Q38" s="1065">
        <v>1</v>
      </c>
      <c r="R38" s="1046">
        <v>4513271995</v>
      </c>
      <c r="S38" s="1061">
        <v>45664</v>
      </c>
      <c r="T38" s="1058">
        <v>390000</v>
      </c>
      <c r="U38" s="1058" t="s">
        <v>7</v>
      </c>
      <c r="V38" s="1025">
        <f>Table626893456[[#This Row],[Offer Value]]-Table626893456[[#This Row],[PO Value]]</f>
        <v>5000</v>
      </c>
      <c r="W38" s="1070"/>
      <c r="X38" s="1062"/>
      <c r="Y38" s="1076">
        <v>45901</v>
      </c>
      <c r="Z38" s="656"/>
      <c r="AA38" s="656"/>
    </row>
    <row r="39" spans="1:48" s="379" customFormat="1" ht="18">
      <c r="A39" s="1030">
        <v>15</v>
      </c>
      <c r="B39" s="1037">
        <v>45666</v>
      </c>
      <c r="C39" s="1034" t="s">
        <v>625</v>
      </c>
      <c r="D39" s="1034" t="s">
        <v>133</v>
      </c>
      <c r="E39" s="1034" t="s">
        <v>693</v>
      </c>
      <c r="F39" s="1034" t="s">
        <v>642</v>
      </c>
      <c r="G39" s="1035">
        <v>9552579436</v>
      </c>
      <c r="H39" s="1032" t="s">
        <v>643</v>
      </c>
      <c r="I39" s="1034" t="s">
        <v>694</v>
      </c>
      <c r="J39" s="1083" t="s">
        <v>73</v>
      </c>
      <c r="K39" s="1034" t="s">
        <v>157</v>
      </c>
      <c r="L39" s="1050" t="s">
        <v>695</v>
      </c>
      <c r="M39" s="1064">
        <v>45645</v>
      </c>
      <c r="N39" s="1053">
        <v>55000</v>
      </c>
      <c r="O39" s="1053" t="s">
        <v>7</v>
      </c>
      <c r="P39" s="1058" t="s">
        <v>7</v>
      </c>
      <c r="Q39" s="1065">
        <v>1</v>
      </c>
      <c r="R39" s="1046">
        <v>10083147</v>
      </c>
      <c r="S39" s="1046" t="s">
        <v>696</v>
      </c>
      <c r="T39" s="1058">
        <v>55000</v>
      </c>
      <c r="U39" s="1058" t="s">
        <v>7</v>
      </c>
      <c r="V39" s="1025">
        <f>Table626893456[[#This Row],[Offer Value]]-Table626893456[[#This Row],[PO Value]]</f>
        <v>0</v>
      </c>
      <c r="W39" s="1070"/>
      <c r="X39" s="1074"/>
      <c r="Y39" s="1076"/>
      <c r="Z39" s="656"/>
      <c r="AA39" s="656"/>
    </row>
    <row r="40" spans="1:48" s="379" customFormat="1" ht="29.4">
      <c r="A40" s="1030">
        <v>16</v>
      </c>
      <c r="B40" s="1037">
        <v>45666</v>
      </c>
      <c r="C40" s="1034" t="s">
        <v>634</v>
      </c>
      <c r="D40" s="1034" t="s">
        <v>697</v>
      </c>
      <c r="E40" s="1034" t="s">
        <v>698</v>
      </c>
      <c r="F40" s="1035" t="s">
        <v>699</v>
      </c>
      <c r="G40" s="1035">
        <v>9881379339</v>
      </c>
      <c r="H40" s="1036" t="s">
        <v>700</v>
      </c>
      <c r="I40" s="1035" t="s">
        <v>701</v>
      </c>
      <c r="J40" s="1083" t="s">
        <v>75</v>
      </c>
      <c r="K40" s="1034" t="s">
        <v>157</v>
      </c>
      <c r="L40" s="1033" t="s">
        <v>702</v>
      </c>
      <c r="M40" s="1064">
        <v>45654</v>
      </c>
      <c r="N40" s="1053">
        <v>156091</v>
      </c>
      <c r="O40" s="1053" t="s">
        <v>7</v>
      </c>
      <c r="P40" s="1058" t="s">
        <v>7</v>
      </c>
      <c r="Q40" s="1065">
        <v>1</v>
      </c>
      <c r="R40" s="1046">
        <v>4512110539</v>
      </c>
      <c r="S40" s="1046" t="s">
        <v>703</v>
      </c>
      <c r="T40" s="1058">
        <v>151408</v>
      </c>
      <c r="U40" s="1058" t="s">
        <v>7</v>
      </c>
      <c r="V40" s="1025">
        <f>Table626893456[[#This Row],[Offer Value]]-Table626893456[[#This Row],[PO Value]]</f>
        <v>4683</v>
      </c>
      <c r="W40" s="1070"/>
      <c r="X40" s="1062"/>
      <c r="Y40" s="1084" t="s">
        <v>704</v>
      </c>
      <c r="Z40" s="1077"/>
      <c r="AA40" s="1077"/>
    </row>
    <row r="41" spans="1:48" s="379" customFormat="1" ht="18">
      <c r="A41" s="1030">
        <v>17</v>
      </c>
      <c r="B41" s="1037">
        <v>45666</v>
      </c>
      <c r="C41" s="1050" t="s">
        <v>705</v>
      </c>
      <c r="D41" s="1050" t="s">
        <v>133</v>
      </c>
      <c r="E41" s="1050" t="s">
        <v>277</v>
      </c>
      <c r="F41" s="1050" t="s">
        <v>706</v>
      </c>
      <c r="G41" s="1033">
        <v>8956509715</v>
      </c>
      <c r="H41" s="1032" t="s">
        <v>707</v>
      </c>
      <c r="I41" s="1033" t="s">
        <v>708</v>
      </c>
      <c r="J41" s="1033" t="s">
        <v>73</v>
      </c>
      <c r="K41" s="1033" t="s">
        <v>639</v>
      </c>
      <c r="L41" s="1050" t="s">
        <v>709</v>
      </c>
      <c r="M41" s="1080">
        <v>45663</v>
      </c>
      <c r="N41" s="1058">
        <v>67000</v>
      </c>
      <c r="O41" s="1058" t="s">
        <v>7</v>
      </c>
      <c r="P41" s="1058" t="s">
        <v>7</v>
      </c>
      <c r="Q41" s="1085">
        <v>1</v>
      </c>
      <c r="R41" s="1046">
        <v>4504516357</v>
      </c>
      <c r="S41" s="1061">
        <v>45712</v>
      </c>
      <c r="T41" s="1058">
        <v>65000</v>
      </c>
      <c r="U41" s="1058" t="s">
        <v>18</v>
      </c>
      <c r="V41" s="1025">
        <v>0</v>
      </c>
      <c r="W41" s="1070"/>
      <c r="X41" s="1062"/>
      <c r="Y41" s="1076"/>
      <c r="Z41" s="1077"/>
      <c r="AA41" s="1077"/>
    </row>
    <row r="42" spans="1:48" s="379" customFormat="1" ht="18">
      <c r="A42" s="1030">
        <v>17</v>
      </c>
      <c r="B42" s="1058"/>
      <c r="C42" s="1050" t="s">
        <v>705</v>
      </c>
      <c r="D42" s="1050" t="s">
        <v>133</v>
      </c>
      <c r="E42" s="1050" t="s">
        <v>277</v>
      </c>
      <c r="F42" s="1050" t="s">
        <v>706</v>
      </c>
      <c r="G42" s="1033">
        <v>8956509715</v>
      </c>
      <c r="H42" s="1032" t="s">
        <v>707</v>
      </c>
      <c r="I42" s="1035" t="s">
        <v>710</v>
      </c>
      <c r="J42" s="1035" t="s">
        <v>73</v>
      </c>
      <c r="K42" s="1035" t="s">
        <v>639</v>
      </c>
      <c r="L42" s="1050" t="s">
        <v>709</v>
      </c>
      <c r="M42" s="1080">
        <v>45663</v>
      </c>
      <c r="N42" s="1058">
        <v>67000</v>
      </c>
      <c r="O42" s="1058" t="s">
        <v>7</v>
      </c>
      <c r="P42" s="1058" t="s">
        <v>18</v>
      </c>
      <c r="Q42" s="1085">
        <v>1</v>
      </c>
      <c r="R42" s="1046">
        <v>4504516357</v>
      </c>
      <c r="S42" s="1061">
        <v>45712</v>
      </c>
      <c r="T42" s="1058">
        <v>65000</v>
      </c>
      <c r="U42" s="1058" t="s">
        <v>18</v>
      </c>
      <c r="V42" s="1025">
        <v>0</v>
      </c>
      <c r="W42" s="1070"/>
      <c r="X42" s="1074"/>
      <c r="Y42" s="1076"/>
      <c r="Z42" s="1077"/>
      <c r="AA42" s="1077"/>
    </row>
    <row r="43" spans="1:48" s="379" customFormat="1" ht="18">
      <c r="A43" s="1030">
        <v>18</v>
      </c>
      <c r="B43" s="1037">
        <v>45666</v>
      </c>
      <c r="C43" s="1050" t="s">
        <v>711</v>
      </c>
      <c r="D43" s="1050" t="s">
        <v>304</v>
      </c>
      <c r="E43" s="1050" t="s">
        <v>712</v>
      </c>
      <c r="F43" s="1050" t="s">
        <v>713</v>
      </c>
      <c r="G43" s="1050">
        <v>9004412241</v>
      </c>
      <c r="H43" s="1031" t="s">
        <v>714</v>
      </c>
      <c r="I43" s="1050" t="s">
        <v>715</v>
      </c>
      <c r="J43" s="1050" t="s">
        <v>73</v>
      </c>
      <c r="K43" s="1050" t="s">
        <v>639</v>
      </c>
      <c r="L43" s="1050" t="s">
        <v>716</v>
      </c>
      <c r="M43" s="1080">
        <v>45663</v>
      </c>
      <c r="N43" s="1058">
        <v>58000</v>
      </c>
      <c r="O43" s="1058" t="s">
        <v>7</v>
      </c>
      <c r="P43" s="1058" t="s">
        <v>18</v>
      </c>
      <c r="Q43" s="1085">
        <v>1</v>
      </c>
      <c r="R43" s="1046">
        <v>3001029670</v>
      </c>
      <c r="S43" s="1061">
        <v>45714</v>
      </c>
      <c r="T43" s="1058">
        <v>58000</v>
      </c>
      <c r="U43" s="1058" t="s">
        <v>18</v>
      </c>
      <c r="V43" s="1025">
        <f>Table626893456[[#This Row],[Offer Value]]-Table626893456[[#This Row],[PO Value]]</f>
        <v>0</v>
      </c>
      <c r="W43" s="1070"/>
      <c r="X43" s="1074"/>
      <c r="Y43" s="1076"/>
      <c r="Z43" s="1077"/>
      <c r="AA43" s="1077"/>
    </row>
    <row r="44" spans="1:48" s="379" customFormat="1" ht="18">
      <c r="A44" s="1030">
        <v>18</v>
      </c>
      <c r="B44" s="1037"/>
      <c r="C44" s="1050" t="s">
        <v>711</v>
      </c>
      <c r="D44" s="1050" t="s">
        <v>304</v>
      </c>
      <c r="E44" s="1050" t="s">
        <v>712</v>
      </c>
      <c r="F44" s="1050" t="s">
        <v>713</v>
      </c>
      <c r="G44" s="1050">
        <v>9004412241</v>
      </c>
      <c r="H44" s="1031" t="s">
        <v>714</v>
      </c>
      <c r="I44" s="1050" t="s">
        <v>717</v>
      </c>
      <c r="J44" s="1050" t="s">
        <v>73</v>
      </c>
      <c r="K44" s="1050" t="s">
        <v>639</v>
      </c>
      <c r="L44" s="1050" t="s">
        <v>716</v>
      </c>
      <c r="M44" s="1080">
        <v>45663</v>
      </c>
      <c r="N44" s="1058">
        <v>58000</v>
      </c>
      <c r="O44" s="1058" t="s">
        <v>7</v>
      </c>
      <c r="P44" s="1058" t="s">
        <v>18</v>
      </c>
      <c r="Q44" s="1085">
        <v>1</v>
      </c>
      <c r="R44" s="1046">
        <v>3001029670</v>
      </c>
      <c r="S44" s="1061">
        <v>45714</v>
      </c>
      <c r="T44" s="1058">
        <v>58000</v>
      </c>
      <c r="U44" s="1058" t="s">
        <v>18</v>
      </c>
      <c r="V44" s="1025">
        <f>Table626893456[[#This Row],[Offer Value]]-Table626893456[[#This Row],[PO Value]]</f>
        <v>0</v>
      </c>
      <c r="W44" s="1070"/>
      <c r="X44" s="1074"/>
      <c r="Y44" s="1076"/>
      <c r="Z44" s="1077"/>
      <c r="AA44" s="1077"/>
    </row>
    <row r="45" spans="1:48" s="379" customFormat="1" ht="18">
      <c r="A45" s="1030">
        <v>18</v>
      </c>
      <c r="B45" s="1037"/>
      <c r="C45" s="1050" t="s">
        <v>711</v>
      </c>
      <c r="D45" s="1050" t="s">
        <v>304</v>
      </c>
      <c r="E45" s="1050" t="s">
        <v>712</v>
      </c>
      <c r="F45" s="1050" t="s">
        <v>713</v>
      </c>
      <c r="G45" s="1050">
        <v>9004412241</v>
      </c>
      <c r="H45" s="1031" t="s">
        <v>714</v>
      </c>
      <c r="I45" s="1050" t="s">
        <v>718</v>
      </c>
      <c r="J45" s="1050" t="s">
        <v>73</v>
      </c>
      <c r="K45" s="1050" t="s">
        <v>639</v>
      </c>
      <c r="L45" s="1050" t="s">
        <v>716</v>
      </c>
      <c r="M45" s="1080">
        <v>45663</v>
      </c>
      <c r="N45" s="1058">
        <v>58000</v>
      </c>
      <c r="O45" s="1058" t="s">
        <v>7</v>
      </c>
      <c r="P45" s="1058" t="s">
        <v>18</v>
      </c>
      <c r="Q45" s="1085">
        <v>1</v>
      </c>
      <c r="R45" s="1046">
        <v>3001029670</v>
      </c>
      <c r="S45" s="1061">
        <v>45714</v>
      </c>
      <c r="T45" s="1058">
        <v>58000</v>
      </c>
      <c r="U45" s="1058" t="s">
        <v>18</v>
      </c>
      <c r="V45" s="1025">
        <f>Table626893456[[#This Row],[Offer Value]]-Table626893456[[#This Row],[PO Value]]</f>
        <v>0</v>
      </c>
      <c r="W45" s="1058"/>
      <c r="X45" s="1074"/>
      <c r="Y45" s="1063"/>
      <c r="Z45" s="1077"/>
      <c r="AA45" s="1077"/>
    </row>
    <row r="46" spans="1:48" s="379" customFormat="1" ht="18">
      <c r="A46" s="1030">
        <v>19</v>
      </c>
      <c r="B46" s="1037">
        <v>45666</v>
      </c>
      <c r="C46" s="1050" t="s">
        <v>173</v>
      </c>
      <c r="D46" s="1050" t="s">
        <v>133</v>
      </c>
      <c r="E46" s="1035" t="s">
        <v>277</v>
      </c>
      <c r="F46" s="1035" t="s">
        <v>719</v>
      </c>
      <c r="G46" s="1035">
        <v>9890500449</v>
      </c>
      <c r="H46" s="1036" t="s">
        <v>720</v>
      </c>
      <c r="I46" s="1050" t="s">
        <v>721</v>
      </c>
      <c r="J46" s="1050" t="s">
        <v>73</v>
      </c>
      <c r="K46" s="1050" t="s">
        <v>138</v>
      </c>
      <c r="L46" s="1050" t="s">
        <v>722</v>
      </c>
      <c r="M46" s="1080">
        <v>45666</v>
      </c>
      <c r="N46" s="1058">
        <v>45000</v>
      </c>
      <c r="O46" s="1058" t="s">
        <v>7</v>
      </c>
      <c r="P46" s="1058" t="s">
        <v>7</v>
      </c>
      <c r="Q46" s="1085">
        <v>1</v>
      </c>
      <c r="R46" s="1046">
        <v>7710025677</v>
      </c>
      <c r="S46" s="1061">
        <v>45664</v>
      </c>
      <c r="T46" s="1058">
        <v>45000</v>
      </c>
      <c r="U46" s="1058" t="s">
        <v>7</v>
      </c>
      <c r="V46" s="1025">
        <f>Table626893456[[#This Row],[Offer Value]]-Table626893456[[#This Row],[PO Value]]</f>
        <v>0</v>
      </c>
      <c r="W46" s="1058"/>
      <c r="X46" s="1062"/>
      <c r="Y46" s="1063" t="s">
        <v>723</v>
      </c>
      <c r="Z46" s="1077"/>
      <c r="AA46" s="1077"/>
    </row>
    <row r="47" spans="1:48" s="379" customFormat="1" ht="18">
      <c r="A47" s="1030">
        <v>19</v>
      </c>
      <c r="B47" s="1058"/>
      <c r="C47" s="1050" t="s">
        <v>173</v>
      </c>
      <c r="D47" s="1050" t="s">
        <v>133</v>
      </c>
      <c r="E47" s="1035" t="s">
        <v>277</v>
      </c>
      <c r="F47" s="1035" t="s">
        <v>719</v>
      </c>
      <c r="G47" s="1035">
        <v>9890500449</v>
      </c>
      <c r="H47" s="1036" t="s">
        <v>720</v>
      </c>
      <c r="I47" s="1050" t="s">
        <v>724</v>
      </c>
      <c r="J47" s="1050" t="s">
        <v>73</v>
      </c>
      <c r="K47" s="1050" t="s">
        <v>138</v>
      </c>
      <c r="L47" s="1050" t="s">
        <v>722</v>
      </c>
      <c r="M47" s="1080">
        <v>45666</v>
      </c>
      <c r="N47" s="1058">
        <v>45000</v>
      </c>
      <c r="O47" s="1058" t="s">
        <v>7</v>
      </c>
      <c r="P47" s="1058" t="s">
        <v>7</v>
      </c>
      <c r="Q47" s="1085">
        <v>1</v>
      </c>
      <c r="R47" s="1046">
        <v>7710025677</v>
      </c>
      <c r="S47" s="1061">
        <v>45664</v>
      </c>
      <c r="T47" s="1058">
        <v>45000</v>
      </c>
      <c r="U47" s="1058" t="s">
        <v>7</v>
      </c>
      <c r="V47" s="1025">
        <f>Table626893456[[#This Row],[Offer Value]]-Table626893456[[#This Row],[PO Value]]</f>
        <v>0</v>
      </c>
      <c r="W47" s="1070"/>
      <c r="X47" s="1062"/>
      <c r="Y47" s="1063" t="s">
        <v>723</v>
      </c>
      <c r="Z47" s="1077"/>
      <c r="AA47" s="1077"/>
    </row>
    <row r="48" spans="1:48" s="379" customFormat="1" ht="18">
      <c r="A48" s="1030">
        <v>19</v>
      </c>
      <c r="B48" s="1058"/>
      <c r="C48" s="1050" t="s">
        <v>173</v>
      </c>
      <c r="D48" s="1050" t="s">
        <v>133</v>
      </c>
      <c r="E48" s="1035" t="s">
        <v>277</v>
      </c>
      <c r="F48" s="1035" t="s">
        <v>719</v>
      </c>
      <c r="G48" s="1035">
        <v>9890500449</v>
      </c>
      <c r="H48" s="1036" t="s">
        <v>720</v>
      </c>
      <c r="I48" s="1050" t="s">
        <v>725</v>
      </c>
      <c r="J48" s="1050" t="s">
        <v>73</v>
      </c>
      <c r="K48" s="1050" t="s">
        <v>138</v>
      </c>
      <c r="L48" s="1050" t="s">
        <v>722</v>
      </c>
      <c r="M48" s="1080">
        <v>45666</v>
      </c>
      <c r="N48" s="1058">
        <v>45000</v>
      </c>
      <c r="O48" s="1058" t="s">
        <v>7</v>
      </c>
      <c r="P48" s="1058" t="s">
        <v>7</v>
      </c>
      <c r="Q48" s="1085">
        <v>1</v>
      </c>
      <c r="R48" s="1046">
        <v>7710025677</v>
      </c>
      <c r="S48" s="1061">
        <v>45664</v>
      </c>
      <c r="T48" s="1058">
        <v>45000</v>
      </c>
      <c r="U48" s="1058" t="s">
        <v>7</v>
      </c>
      <c r="V48" s="1025">
        <f>Table626893456[[#This Row],[Offer Value]]-Table626893456[[#This Row],[PO Value]]</f>
        <v>0</v>
      </c>
      <c r="W48" s="1070"/>
      <c r="X48" s="1062"/>
      <c r="Y48" s="1063" t="s">
        <v>723</v>
      </c>
      <c r="Z48" s="1077"/>
      <c r="AA48" s="1077"/>
    </row>
    <row r="49" spans="1:27" s="379" customFormat="1" ht="18">
      <c r="A49" s="1030">
        <v>19</v>
      </c>
      <c r="B49" s="1058"/>
      <c r="C49" s="1050" t="s">
        <v>173</v>
      </c>
      <c r="D49" s="1050" t="s">
        <v>133</v>
      </c>
      <c r="E49" s="1035" t="s">
        <v>277</v>
      </c>
      <c r="F49" s="1035" t="s">
        <v>719</v>
      </c>
      <c r="G49" s="1035">
        <v>9890500449</v>
      </c>
      <c r="H49" s="1036" t="s">
        <v>720</v>
      </c>
      <c r="I49" s="1050" t="s">
        <v>726</v>
      </c>
      <c r="J49" s="1050" t="s">
        <v>73</v>
      </c>
      <c r="K49" s="1050" t="s">
        <v>138</v>
      </c>
      <c r="L49" s="1050" t="s">
        <v>722</v>
      </c>
      <c r="M49" s="1080">
        <v>45666</v>
      </c>
      <c r="N49" s="1058">
        <v>45000</v>
      </c>
      <c r="O49" s="1058" t="s">
        <v>7</v>
      </c>
      <c r="P49" s="1058" t="s">
        <v>7</v>
      </c>
      <c r="Q49" s="1085">
        <v>1</v>
      </c>
      <c r="R49" s="1046">
        <v>7710025677</v>
      </c>
      <c r="S49" s="1061">
        <v>45664</v>
      </c>
      <c r="T49" s="1058">
        <v>45000</v>
      </c>
      <c r="U49" s="1058" t="s">
        <v>7</v>
      </c>
      <c r="V49" s="1025">
        <f>Table626893456[[#This Row],[Offer Value]]-Table626893456[[#This Row],[PO Value]]</f>
        <v>0</v>
      </c>
      <c r="W49" s="1070"/>
      <c r="X49" s="1062"/>
      <c r="Y49" s="1063" t="s">
        <v>723</v>
      </c>
      <c r="Z49" s="1077"/>
      <c r="AA49" s="1077"/>
    </row>
    <row r="50" spans="1:27" s="379" customFormat="1" ht="18">
      <c r="A50" s="1030">
        <v>19</v>
      </c>
      <c r="B50" s="1058"/>
      <c r="C50" s="1050" t="s">
        <v>173</v>
      </c>
      <c r="D50" s="1050" t="s">
        <v>133</v>
      </c>
      <c r="E50" s="1035" t="s">
        <v>277</v>
      </c>
      <c r="F50" s="1035" t="s">
        <v>719</v>
      </c>
      <c r="G50" s="1035">
        <v>9890500449</v>
      </c>
      <c r="H50" s="1036" t="s">
        <v>720</v>
      </c>
      <c r="I50" s="1050" t="s">
        <v>727</v>
      </c>
      <c r="J50" s="1050" t="s">
        <v>73</v>
      </c>
      <c r="K50" s="1050" t="s">
        <v>138</v>
      </c>
      <c r="L50" s="1050" t="s">
        <v>722</v>
      </c>
      <c r="M50" s="1080">
        <v>45666</v>
      </c>
      <c r="N50" s="1058">
        <v>45000</v>
      </c>
      <c r="O50" s="1058" t="s">
        <v>7</v>
      </c>
      <c r="P50" s="1058" t="s">
        <v>7</v>
      </c>
      <c r="Q50" s="1085">
        <v>1</v>
      </c>
      <c r="R50" s="1046">
        <v>7710025677</v>
      </c>
      <c r="S50" s="1061">
        <v>45664</v>
      </c>
      <c r="T50" s="1058">
        <v>45000</v>
      </c>
      <c r="U50" s="1058" t="s">
        <v>7</v>
      </c>
      <c r="V50" s="1025">
        <f>Table626893456[[#This Row],[Offer Value]]-Table626893456[[#This Row],[PO Value]]</f>
        <v>0</v>
      </c>
      <c r="W50" s="1070"/>
      <c r="X50" s="1062"/>
      <c r="Y50" s="1063" t="s">
        <v>723</v>
      </c>
      <c r="Z50" s="1077"/>
      <c r="AA50" s="1077"/>
    </row>
    <row r="51" spans="1:27" s="379" customFormat="1" ht="18">
      <c r="A51" s="1030">
        <v>19</v>
      </c>
      <c r="B51" s="1058"/>
      <c r="C51" s="1050" t="s">
        <v>173</v>
      </c>
      <c r="D51" s="1050" t="s">
        <v>133</v>
      </c>
      <c r="E51" s="1035" t="s">
        <v>277</v>
      </c>
      <c r="F51" s="1035" t="s">
        <v>719</v>
      </c>
      <c r="G51" s="1035">
        <v>9890500449</v>
      </c>
      <c r="H51" s="1036" t="s">
        <v>720</v>
      </c>
      <c r="I51" s="1050" t="s">
        <v>728</v>
      </c>
      <c r="J51" s="1050" t="s">
        <v>73</v>
      </c>
      <c r="K51" s="1050" t="s">
        <v>138</v>
      </c>
      <c r="L51" s="1050" t="s">
        <v>722</v>
      </c>
      <c r="M51" s="1080">
        <v>45666</v>
      </c>
      <c r="N51" s="1058">
        <v>45000</v>
      </c>
      <c r="O51" s="1058" t="s">
        <v>7</v>
      </c>
      <c r="P51" s="1058" t="s">
        <v>7</v>
      </c>
      <c r="Q51" s="1085">
        <v>1</v>
      </c>
      <c r="R51" s="1046">
        <v>7710025677</v>
      </c>
      <c r="S51" s="1061">
        <v>45664</v>
      </c>
      <c r="T51" s="1058">
        <v>45000</v>
      </c>
      <c r="U51" s="1058" t="s">
        <v>7</v>
      </c>
      <c r="V51" s="1025">
        <f>Table626893456[[#This Row],[Offer Value]]-Table626893456[[#This Row],[PO Value]]</f>
        <v>0</v>
      </c>
      <c r="W51" s="1070"/>
      <c r="X51" s="1062"/>
      <c r="Y51" s="1063" t="s">
        <v>723</v>
      </c>
      <c r="Z51" s="1077"/>
      <c r="AA51" s="1077"/>
    </row>
    <row r="52" spans="1:27" s="379" customFormat="1" ht="18">
      <c r="A52" s="1030">
        <v>19</v>
      </c>
      <c r="B52" s="1058"/>
      <c r="C52" s="1050" t="s">
        <v>173</v>
      </c>
      <c r="D52" s="1050" t="s">
        <v>133</v>
      </c>
      <c r="E52" s="1035" t="s">
        <v>277</v>
      </c>
      <c r="F52" s="1035" t="s">
        <v>719</v>
      </c>
      <c r="G52" s="1035">
        <v>9890500449</v>
      </c>
      <c r="H52" s="1036" t="s">
        <v>720</v>
      </c>
      <c r="I52" s="1050" t="s">
        <v>729</v>
      </c>
      <c r="J52" s="1050" t="s">
        <v>73</v>
      </c>
      <c r="K52" s="1050" t="s">
        <v>138</v>
      </c>
      <c r="L52" s="1050" t="s">
        <v>722</v>
      </c>
      <c r="M52" s="1080">
        <v>45666</v>
      </c>
      <c r="N52" s="1058">
        <v>45000</v>
      </c>
      <c r="O52" s="1058" t="s">
        <v>7</v>
      </c>
      <c r="P52" s="1058" t="s">
        <v>7</v>
      </c>
      <c r="Q52" s="1085">
        <v>1</v>
      </c>
      <c r="R52" s="1072">
        <v>7710025677</v>
      </c>
      <c r="S52" s="1061">
        <v>45664</v>
      </c>
      <c r="T52" s="1058">
        <v>45000</v>
      </c>
      <c r="U52" s="1058" t="s">
        <v>7</v>
      </c>
      <c r="V52" s="1025">
        <f>Table626893456[[#This Row],[Offer Value]]-Table626893456[[#This Row],[PO Value]]</f>
        <v>0</v>
      </c>
      <c r="W52" s="1070"/>
      <c r="X52" s="1062"/>
      <c r="Y52" s="1063" t="s">
        <v>723</v>
      </c>
      <c r="Z52" s="1077"/>
      <c r="AA52" s="1077"/>
    </row>
    <row r="53" spans="1:27" s="379" customFormat="1" ht="18">
      <c r="A53" s="1030">
        <v>19</v>
      </c>
      <c r="B53" s="1058"/>
      <c r="C53" s="1050" t="s">
        <v>173</v>
      </c>
      <c r="D53" s="1050" t="s">
        <v>133</v>
      </c>
      <c r="E53" s="1035" t="s">
        <v>277</v>
      </c>
      <c r="F53" s="1035" t="s">
        <v>719</v>
      </c>
      <c r="G53" s="1035">
        <v>9890500449</v>
      </c>
      <c r="H53" s="1036" t="s">
        <v>720</v>
      </c>
      <c r="I53" s="1050" t="s">
        <v>730</v>
      </c>
      <c r="J53" s="1050" t="s">
        <v>73</v>
      </c>
      <c r="K53" s="1050" t="s">
        <v>138</v>
      </c>
      <c r="L53" s="1050" t="s">
        <v>722</v>
      </c>
      <c r="M53" s="1080">
        <v>45666</v>
      </c>
      <c r="N53" s="1058">
        <v>45000</v>
      </c>
      <c r="O53" s="1058" t="s">
        <v>7</v>
      </c>
      <c r="P53" s="1058" t="s">
        <v>7</v>
      </c>
      <c r="Q53" s="1085">
        <v>1</v>
      </c>
      <c r="R53" s="1046">
        <v>7710025677</v>
      </c>
      <c r="S53" s="1061">
        <v>45664</v>
      </c>
      <c r="T53" s="1058">
        <v>45000</v>
      </c>
      <c r="U53" s="1058" t="s">
        <v>7</v>
      </c>
      <c r="V53" s="1025">
        <f>Table626893456[[#This Row],[Offer Value]]-Table626893456[[#This Row],[PO Value]]</f>
        <v>0</v>
      </c>
      <c r="W53" s="1070"/>
      <c r="X53" s="1062"/>
      <c r="Y53" s="1063" t="s">
        <v>723</v>
      </c>
      <c r="Z53" s="1077"/>
      <c r="AA53" s="1077"/>
    </row>
    <row r="54" spans="1:27" s="379" customFormat="1" ht="18">
      <c r="A54" s="1030">
        <v>19</v>
      </c>
      <c r="B54" s="1058"/>
      <c r="C54" s="1050" t="s">
        <v>173</v>
      </c>
      <c r="D54" s="1050" t="s">
        <v>133</v>
      </c>
      <c r="E54" s="1035" t="s">
        <v>277</v>
      </c>
      <c r="F54" s="1035" t="s">
        <v>719</v>
      </c>
      <c r="G54" s="1035">
        <v>9890500449</v>
      </c>
      <c r="H54" s="1036" t="s">
        <v>720</v>
      </c>
      <c r="I54" s="1050" t="s">
        <v>731</v>
      </c>
      <c r="J54" s="1050" t="s">
        <v>73</v>
      </c>
      <c r="K54" s="1050" t="s">
        <v>138</v>
      </c>
      <c r="L54" s="1050" t="s">
        <v>722</v>
      </c>
      <c r="M54" s="1080">
        <v>45666</v>
      </c>
      <c r="N54" s="1058">
        <v>45000</v>
      </c>
      <c r="O54" s="1058" t="s">
        <v>7</v>
      </c>
      <c r="P54" s="1058" t="s">
        <v>7</v>
      </c>
      <c r="Q54" s="1085">
        <v>1</v>
      </c>
      <c r="R54" s="1072">
        <v>7710025677</v>
      </c>
      <c r="S54" s="1061">
        <v>45664</v>
      </c>
      <c r="T54" s="1058">
        <v>45000</v>
      </c>
      <c r="U54" s="1058" t="s">
        <v>7</v>
      </c>
      <c r="V54" s="1025">
        <f>Table626893456[[#This Row],[Offer Value]]-Table626893456[[#This Row],[PO Value]]</f>
        <v>0</v>
      </c>
      <c r="W54" s="1070"/>
      <c r="X54" s="1062"/>
      <c r="Y54" s="1063" t="s">
        <v>723</v>
      </c>
      <c r="Z54" s="1077"/>
      <c r="AA54" s="1077"/>
    </row>
    <row r="55" spans="1:27" s="379" customFormat="1" ht="18">
      <c r="A55" s="1030">
        <v>19</v>
      </c>
      <c r="B55" s="1058"/>
      <c r="C55" s="1050" t="s">
        <v>173</v>
      </c>
      <c r="D55" s="1050" t="s">
        <v>133</v>
      </c>
      <c r="E55" s="1035" t="s">
        <v>277</v>
      </c>
      <c r="F55" s="1035" t="s">
        <v>719</v>
      </c>
      <c r="G55" s="1035">
        <v>9890500449</v>
      </c>
      <c r="H55" s="1036" t="s">
        <v>720</v>
      </c>
      <c r="I55" s="1050" t="s">
        <v>732</v>
      </c>
      <c r="J55" s="1050" t="s">
        <v>73</v>
      </c>
      <c r="K55" s="1050" t="s">
        <v>138</v>
      </c>
      <c r="L55" s="1050" t="s">
        <v>722</v>
      </c>
      <c r="M55" s="1080">
        <v>45666</v>
      </c>
      <c r="N55" s="1058">
        <v>45000</v>
      </c>
      <c r="O55" s="1058" t="s">
        <v>7</v>
      </c>
      <c r="P55" s="1058" t="s">
        <v>7</v>
      </c>
      <c r="Q55" s="1085">
        <v>1</v>
      </c>
      <c r="R55" s="1046">
        <v>7710025677</v>
      </c>
      <c r="S55" s="1061">
        <v>45664</v>
      </c>
      <c r="T55" s="1058">
        <v>45000</v>
      </c>
      <c r="U55" s="1058" t="s">
        <v>7</v>
      </c>
      <c r="V55" s="1025">
        <f>Table626893456[[#This Row],[Offer Value]]-Table626893456[[#This Row],[PO Value]]</f>
        <v>0</v>
      </c>
      <c r="W55" s="1070"/>
      <c r="X55" s="1062"/>
      <c r="Y55" s="1063" t="s">
        <v>723</v>
      </c>
      <c r="Z55" s="1077"/>
      <c r="AA55" s="1077"/>
    </row>
    <row r="56" spans="1:27" s="379" customFormat="1" ht="29.4">
      <c r="A56" s="1030">
        <v>20</v>
      </c>
      <c r="B56" s="1086">
        <v>45666</v>
      </c>
      <c r="C56" s="1078" t="s">
        <v>733</v>
      </c>
      <c r="D56" s="1078" t="s">
        <v>304</v>
      </c>
      <c r="E56" s="1325" t="s">
        <v>191</v>
      </c>
      <c r="F56" s="1325" t="s">
        <v>734</v>
      </c>
      <c r="G56" s="1325">
        <v>9833236099</v>
      </c>
      <c r="H56" s="1105" t="s">
        <v>735</v>
      </c>
      <c r="I56" s="1078" t="s">
        <v>736</v>
      </c>
      <c r="J56" s="1078" t="s">
        <v>75</v>
      </c>
      <c r="K56" s="1078" t="s">
        <v>157</v>
      </c>
      <c r="L56" s="1078" t="s">
        <v>737</v>
      </c>
      <c r="M56" s="1087">
        <v>45444</v>
      </c>
      <c r="N56" s="1088">
        <v>295000</v>
      </c>
      <c r="O56" s="1088" t="s">
        <v>7</v>
      </c>
      <c r="P56" s="1088" t="s">
        <v>7</v>
      </c>
      <c r="Q56" s="1089">
        <v>1</v>
      </c>
      <c r="R56" s="1046" t="s">
        <v>738</v>
      </c>
      <c r="S56" s="1090">
        <v>45668</v>
      </c>
      <c r="T56" s="1088">
        <v>292000</v>
      </c>
      <c r="U56" s="1088" t="s">
        <v>7</v>
      </c>
      <c r="V56" s="1025">
        <f>Table626893456[[#This Row],[Offer Value]]-Table626893456[[#This Row],[PO Value]]</f>
        <v>3000</v>
      </c>
      <c r="W56" s="1058"/>
      <c r="X56" s="1062"/>
      <c r="Y56" s="1063"/>
      <c r="Z56" s="1077"/>
      <c r="AA56" s="1077"/>
    </row>
    <row r="57" spans="1:27" s="379" customFormat="1" ht="18">
      <c r="A57" s="1030">
        <v>21</v>
      </c>
      <c r="B57" s="1037">
        <v>45666</v>
      </c>
      <c r="C57" s="1050" t="s">
        <v>600</v>
      </c>
      <c r="D57" s="1050" t="s">
        <v>133</v>
      </c>
      <c r="E57" s="1050" t="s">
        <v>602</v>
      </c>
      <c r="F57" s="1050" t="s">
        <v>739</v>
      </c>
      <c r="G57" s="1050">
        <v>9922560304</v>
      </c>
      <c r="H57" s="1031" t="s">
        <v>740</v>
      </c>
      <c r="I57" s="1050" t="s">
        <v>741</v>
      </c>
      <c r="J57" s="1050" t="s">
        <v>73</v>
      </c>
      <c r="K57" s="1050" t="s">
        <v>639</v>
      </c>
      <c r="L57" s="1050" t="s">
        <v>742</v>
      </c>
      <c r="M57" s="1080">
        <v>45656</v>
      </c>
      <c r="N57" s="1058">
        <v>80000</v>
      </c>
      <c r="O57" s="1058" t="s">
        <v>7</v>
      </c>
      <c r="P57" s="1058" t="s">
        <v>18</v>
      </c>
      <c r="Q57" s="1085">
        <v>1</v>
      </c>
      <c r="R57" s="1046" t="s">
        <v>743</v>
      </c>
      <c r="S57" s="1090">
        <v>45696</v>
      </c>
      <c r="T57" s="1058">
        <v>80000</v>
      </c>
      <c r="U57" s="1058" t="s">
        <v>18</v>
      </c>
      <c r="V57" s="1025">
        <f>Table626893456[[#This Row],[Offer Value]]-Table626893456[[#This Row],[PO Value]]</f>
        <v>0</v>
      </c>
      <c r="W57" s="1070"/>
      <c r="X57" s="1074"/>
      <c r="Y57" s="1063"/>
      <c r="Z57" s="1077"/>
      <c r="AA57" s="1077"/>
    </row>
    <row r="58" spans="1:27" s="379" customFormat="1" ht="18">
      <c r="A58" s="1030">
        <v>21</v>
      </c>
      <c r="B58" s="1037"/>
      <c r="C58" s="1050" t="s">
        <v>600</v>
      </c>
      <c r="D58" s="1050" t="s">
        <v>133</v>
      </c>
      <c r="E58" s="1050" t="s">
        <v>602</v>
      </c>
      <c r="F58" s="1050" t="s">
        <v>739</v>
      </c>
      <c r="G58" s="1050">
        <v>9922560304</v>
      </c>
      <c r="H58" s="1031" t="s">
        <v>740</v>
      </c>
      <c r="I58" s="1050" t="s">
        <v>744</v>
      </c>
      <c r="J58" s="1050" t="s">
        <v>73</v>
      </c>
      <c r="K58" s="1050" t="s">
        <v>685</v>
      </c>
      <c r="L58" s="1050" t="s">
        <v>742</v>
      </c>
      <c r="M58" s="1080">
        <v>45656</v>
      </c>
      <c r="N58" s="1058">
        <v>80000</v>
      </c>
      <c r="O58" s="1058" t="s">
        <v>7</v>
      </c>
      <c r="P58" s="1058" t="s">
        <v>18</v>
      </c>
      <c r="Q58" s="1085">
        <v>1</v>
      </c>
      <c r="R58" s="1046" t="s">
        <v>743</v>
      </c>
      <c r="S58" s="1090">
        <v>45696</v>
      </c>
      <c r="T58" s="1058">
        <v>80000</v>
      </c>
      <c r="U58" s="1058" t="s">
        <v>18</v>
      </c>
      <c r="V58" s="1025">
        <f>Table626893456[[#This Row],[Offer Value]]-Table626893456[[#This Row],[PO Value]]</f>
        <v>0</v>
      </c>
      <c r="W58" s="1058"/>
      <c r="X58" s="1074"/>
      <c r="Y58" s="1063"/>
      <c r="Z58" s="1077"/>
      <c r="AA58" s="1077"/>
    </row>
    <row r="59" spans="1:27" s="379" customFormat="1" ht="18">
      <c r="A59" s="487">
        <v>21</v>
      </c>
      <c r="B59" s="488"/>
      <c r="C59" s="489" t="s">
        <v>600</v>
      </c>
      <c r="D59" s="489" t="s">
        <v>133</v>
      </c>
      <c r="E59" s="489" t="s">
        <v>602</v>
      </c>
      <c r="F59" s="489" t="s">
        <v>739</v>
      </c>
      <c r="G59" s="489">
        <v>9922560304</v>
      </c>
      <c r="H59" s="383" t="s">
        <v>740</v>
      </c>
      <c r="I59" s="489" t="s">
        <v>605</v>
      </c>
      <c r="J59" s="489" t="s">
        <v>73</v>
      </c>
      <c r="K59" s="489" t="s">
        <v>639</v>
      </c>
      <c r="L59" s="489" t="s">
        <v>742</v>
      </c>
      <c r="M59" s="384">
        <v>45656</v>
      </c>
      <c r="N59" s="490">
        <v>0</v>
      </c>
      <c r="O59" s="490" t="s">
        <v>7</v>
      </c>
      <c r="P59" s="490"/>
      <c r="Q59" s="491">
        <v>0</v>
      </c>
      <c r="R59" s="492"/>
      <c r="S59" s="822"/>
      <c r="T59" s="490"/>
      <c r="U59" s="490"/>
      <c r="V59" s="284">
        <v>0</v>
      </c>
      <c r="W59" s="492"/>
      <c r="X59" s="982"/>
      <c r="Y59" s="494"/>
      <c r="Z59" s="1077"/>
      <c r="AA59" s="1077"/>
    </row>
    <row r="60" spans="1:27" s="379" customFormat="1" ht="18">
      <c r="A60" s="1030">
        <v>22</v>
      </c>
      <c r="B60" s="1037">
        <v>45666</v>
      </c>
      <c r="C60" s="1050" t="s">
        <v>625</v>
      </c>
      <c r="D60" s="1050" t="s">
        <v>133</v>
      </c>
      <c r="E60" s="1050" t="s">
        <v>641</v>
      </c>
      <c r="F60" s="1033" t="s">
        <v>745</v>
      </c>
      <c r="G60" s="1033"/>
      <c r="H60" s="1032" t="s">
        <v>746</v>
      </c>
      <c r="I60" s="1050" t="s">
        <v>747</v>
      </c>
      <c r="J60" s="1050" t="s">
        <v>75</v>
      </c>
      <c r="K60" s="1050" t="s">
        <v>685</v>
      </c>
      <c r="L60" s="1033" t="s">
        <v>748</v>
      </c>
      <c r="M60" s="1057">
        <v>45504</v>
      </c>
      <c r="N60" s="1030">
        <v>71040</v>
      </c>
      <c r="O60" s="1058" t="s">
        <v>7</v>
      </c>
      <c r="P60" s="1058" t="s">
        <v>7</v>
      </c>
      <c r="Q60" s="1085">
        <v>1</v>
      </c>
      <c r="R60" s="1046">
        <v>6620501</v>
      </c>
      <c r="S60" s="1061">
        <v>45661</v>
      </c>
      <c r="T60" s="1058">
        <v>71040</v>
      </c>
      <c r="U60" s="1058" t="s">
        <v>7</v>
      </c>
      <c r="V60" s="1025">
        <f>Table626893456[[#This Row],[Offer Value]]-Table626893456[[#This Row],[PO Value]]</f>
        <v>0</v>
      </c>
      <c r="W60" s="1070"/>
      <c r="X60" s="1062"/>
      <c r="Y60" s="1091" t="s">
        <v>202</v>
      </c>
      <c r="Z60" s="1077"/>
      <c r="AA60" s="1077"/>
    </row>
    <row r="61" spans="1:27" s="2266" customFormat="1" ht="29.4">
      <c r="A61" s="2255">
        <v>23</v>
      </c>
      <c r="B61" s="2256">
        <v>45666</v>
      </c>
      <c r="C61" s="2257" t="s">
        <v>749</v>
      </c>
      <c r="D61" s="2257" t="s">
        <v>133</v>
      </c>
      <c r="E61" s="2257" t="s">
        <v>153</v>
      </c>
      <c r="F61" s="2257" t="s">
        <v>750</v>
      </c>
      <c r="G61" s="2257">
        <v>9689348228</v>
      </c>
      <c r="H61" s="2258" t="s">
        <v>751</v>
      </c>
      <c r="I61" s="2257" t="s">
        <v>752</v>
      </c>
      <c r="J61" s="2257" t="s">
        <v>75</v>
      </c>
      <c r="K61" s="2257" t="s">
        <v>157</v>
      </c>
      <c r="L61" s="2257" t="s">
        <v>753</v>
      </c>
      <c r="M61" s="2259">
        <v>45666</v>
      </c>
      <c r="N61" s="2260">
        <v>446525</v>
      </c>
      <c r="O61" s="2260" t="s">
        <v>7</v>
      </c>
      <c r="P61" s="2260" t="s">
        <v>34</v>
      </c>
      <c r="Q61" s="2261">
        <v>1</v>
      </c>
      <c r="R61" s="2254">
        <v>2008042</v>
      </c>
      <c r="S61" s="2262">
        <v>45804</v>
      </c>
      <c r="T61" s="2260">
        <v>1151200</v>
      </c>
      <c r="U61" s="2260" t="s">
        <v>34</v>
      </c>
      <c r="V61" s="1349">
        <v>0</v>
      </c>
      <c r="W61" s="2260"/>
      <c r="X61" s="2263" t="s">
        <v>754</v>
      </c>
      <c r="Y61" s="2264"/>
      <c r="Z61" s="2265" t="s">
        <v>157</v>
      </c>
      <c r="AA61" s="2265"/>
    </row>
    <row r="62" spans="1:27" s="379" customFormat="1" ht="29.4">
      <c r="A62" s="487">
        <v>24</v>
      </c>
      <c r="B62" s="488">
        <v>45668</v>
      </c>
      <c r="C62" s="489" t="s">
        <v>755</v>
      </c>
      <c r="D62" s="489" t="s">
        <v>756</v>
      </c>
      <c r="E62" s="489" t="s">
        <v>277</v>
      </c>
      <c r="F62" s="489" t="s">
        <v>757</v>
      </c>
      <c r="G62" s="489"/>
      <c r="H62" s="383" t="s">
        <v>758</v>
      </c>
      <c r="I62" s="489" t="s">
        <v>759</v>
      </c>
      <c r="J62" s="489" t="s">
        <v>83</v>
      </c>
      <c r="K62" s="489" t="s">
        <v>157</v>
      </c>
      <c r="L62" s="489" t="s">
        <v>760</v>
      </c>
      <c r="M62" s="384">
        <v>45668</v>
      </c>
      <c r="N62" s="490">
        <v>188390</v>
      </c>
      <c r="O62" s="490" t="s">
        <v>7</v>
      </c>
      <c r="P62" s="490" t="s">
        <v>62</v>
      </c>
      <c r="Q62" s="491">
        <v>0.5</v>
      </c>
      <c r="R62" s="492"/>
      <c r="S62" s="492"/>
      <c r="T62" s="490"/>
      <c r="U62" s="490"/>
      <c r="V62" s="284">
        <f>Table626893456[[#This Row],[Offer Value]]-Table626893456[[#This Row],[PO Value]]</f>
        <v>188390</v>
      </c>
      <c r="W62" s="499"/>
      <c r="X62" s="981" t="s">
        <v>761</v>
      </c>
      <c r="Y62" s="494"/>
      <c r="Z62" s="1077"/>
      <c r="AA62" s="1077"/>
    </row>
    <row r="63" spans="1:27" s="379" customFormat="1" ht="18">
      <c r="A63" s="1030">
        <v>25</v>
      </c>
      <c r="B63" s="1037">
        <v>45667</v>
      </c>
      <c r="C63" s="1050" t="s">
        <v>755</v>
      </c>
      <c r="D63" s="1050" t="s">
        <v>762</v>
      </c>
      <c r="E63" s="1050" t="s">
        <v>277</v>
      </c>
      <c r="F63" s="1050" t="s">
        <v>763</v>
      </c>
      <c r="G63" s="1050">
        <v>9763858155</v>
      </c>
      <c r="H63" s="1031" t="s">
        <v>764</v>
      </c>
      <c r="I63" s="1050" t="s">
        <v>765</v>
      </c>
      <c r="J63" s="1050" t="s">
        <v>75</v>
      </c>
      <c r="K63" s="1050" t="s">
        <v>157</v>
      </c>
      <c r="L63" s="1050" t="s">
        <v>766</v>
      </c>
      <c r="M63" s="1080">
        <v>45667</v>
      </c>
      <c r="N63" s="1058">
        <v>837400</v>
      </c>
      <c r="O63" s="1058" t="s">
        <v>7</v>
      </c>
      <c r="P63" s="1058" t="s">
        <v>37</v>
      </c>
      <c r="Q63" s="1085">
        <v>1</v>
      </c>
      <c r="R63" s="1046">
        <v>4507602012</v>
      </c>
      <c r="S63" s="1046" t="s">
        <v>767</v>
      </c>
      <c r="T63" s="1058">
        <v>664608</v>
      </c>
      <c r="U63" s="1058" t="s">
        <v>37</v>
      </c>
      <c r="V63" s="1025">
        <v>0</v>
      </c>
      <c r="W63" s="1070"/>
      <c r="X63" s="1062"/>
      <c r="Y63" s="1063"/>
      <c r="Z63" s="1077" t="s">
        <v>157</v>
      </c>
      <c r="AA63" s="1077" t="s">
        <v>208</v>
      </c>
    </row>
    <row r="64" spans="1:27" s="379" customFormat="1" ht="18">
      <c r="A64" s="1340">
        <v>26</v>
      </c>
      <c r="B64" s="1341">
        <v>45840</v>
      </c>
      <c r="C64" s="1342" t="s">
        <v>755</v>
      </c>
      <c r="D64" s="1342" t="s">
        <v>768</v>
      </c>
      <c r="E64" s="1342" t="s">
        <v>277</v>
      </c>
      <c r="F64" s="1342" t="s">
        <v>769</v>
      </c>
      <c r="G64" s="1342">
        <v>9822412607</v>
      </c>
      <c r="H64" s="1343" t="s">
        <v>770</v>
      </c>
      <c r="I64" s="1342" t="s">
        <v>771</v>
      </c>
      <c r="J64" s="1342" t="s">
        <v>75</v>
      </c>
      <c r="K64" s="1342" t="s">
        <v>685</v>
      </c>
      <c r="L64" s="1342" t="s">
        <v>772</v>
      </c>
      <c r="M64" s="1344">
        <v>45840</v>
      </c>
      <c r="N64" s="1345">
        <v>916358</v>
      </c>
      <c r="O64" s="1345" t="s">
        <v>18</v>
      </c>
      <c r="P64" s="1345" t="s">
        <v>34</v>
      </c>
      <c r="Q64" s="1346">
        <v>1</v>
      </c>
      <c r="R64" s="1347">
        <v>4507707924</v>
      </c>
      <c r="S64" s="1347" t="s">
        <v>773</v>
      </c>
      <c r="T64" s="1345">
        <v>335717</v>
      </c>
      <c r="U64" s="1345" t="s">
        <v>44</v>
      </c>
      <c r="V64" s="1349">
        <v>0</v>
      </c>
      <c r="W64" s="1355"/>
      <c r="X64" s="1350"/>
      <c r="Y64" s="1351"/>
      <c r="Z64" s="1352" t="s">
        <v>208</v>
      </c>
      <c r="AA64" s="1352" t="s">
        <v>208</v>
      </c>
    </row>
    <row r="65" spans="1:27" s="379" customFormat="1" ht="18">
      <c r="A65" s="487">
        <v>27</v>
      </c>
      <c r="B65" s="488">
        <v>45840</v>
      </c>
      <c r="C65" s="489" t="s">
        <v>625</v>
      </c>
      <c r="D65" s="489" t="s">
        <v>133</v>
      </c>
      <c r="E65" s="489" t="s">
        <v>609</v>
      </c>
      <c r="F65" s="489" t="s">
        <v>774</v>
      </c>
      <c r="G65" s="489"/>
      <c r="H65" s="383" t="s">
        <v>775</v>
      </c>
      <c r="I65" s="489" t="s">
        <v>649</v>
      </c>
      <c r="J65" s="489" t="s">
        <v>75</v>
      </c>
      <c r="K65" s="489" t="s">
        <v>157</v>
      </c>
      <c r="L65" s="489" t="s">
        <v>776</v>
      </c>
      <c r="M65" s="384">
        <v>45840</v>
      </c>
      <c r="N65" s="490">
        <v>351591</v>
      </c>
      <c r="O65" s="490" t="s">
        <v>18</v>
      </c>
      <c r="P65" s="490" t="s">
        <v>62</v>
      </c>
      <c r="Q65" s="491">
        <v>0.5</v>
      </c>
      <c r="R65" s="492"/>
      <c r="S65" s="492"/>
      <c r="T65" s="490"/>
      <c r="U65" s="490"/>
      <c r="V65" s="284">
        <f>Table626893456[[#This Row],[Offer Value]]-Table626893456[[#This Row],[PO Value]]</f>
        <v>351591</v>
      </c>
      <c r="W65" s="490"/>
      <c r="X65" s="981"/>
      <c r="Y65" s="496"/>
      <c r="Z65" s="1077"/>
      <c r="AA65" s="1077"/>
    </row>
    <row r="66" spans="1:27" s="379" customFormat="1" ht="18">
      <c r="A66" s="1030">
        <v>28</v>
      </c>
      <c r="B66" s="1333">
        <v>45871</v>
      </c>
      <c r="C66" s="1050" t="s">
        <v>634</v>
      </c>
      <c r="D66" s="1050" t="s">
        <v>697</v>
      </c>
      <c r="E66" s="1050" t="s">
        <v>777</v>
      </c>
      <c r="F66" s="1035" t="s">
        <v>778</v>
      </c>
      <c r="G66" s="1035">
        <v>9860084034</v>
      </c>
      <c r="H66" s="1036" t="s">
        <v>779</v>
      </c>
      <c r="I66" s="1035" t="s">
        <v>780</v>
      </c>
      <c r="J66" s="1050" t="s">
        <v>75</v>
      </c>
      <c r="K66" s="1050" t="s">
        <v>157</v>
      </c>
      <c r="L66" s="1050" t="s">
        <v>781</v>
      </c>
      <c r="M66" s="1080">
        <v>45696</v>
      </c>
      <c r="N66" s="1058">
        <v>666014</v>
      </c>
      <c r="O66" s="1058" t="s">
        <v>18</v>
      </c>
      <c r="P66" s="1058" t="s">
        <v>25</v>
      </c>
      <c r="Q66" s="1085">
        <v>1</v>
      </c>
      <c r="R66" s="1046">
        <v>4512239733</v>
      </c>
      <c r="S66" s="1061">
        <v>45707</v>
      </c>
      <c r="T66" s="1058">
        <v>646033</v>
      </c>
      <c r="U66" s="1058" t="s">
        <v>18</v>
      </c>
      <c r="V66" s="1025">
        <v>0</v>
      </c>
      <c r="W66" s="1058"/>
      <c r="X66" s="1062"/>
      <c r="Y66" s="1063"/>
      <c r="Z66" s="1077" t="s">
        <v>157</v>
      </c>
      <c r="AA66" s="1077" t="s">
        <v>208</v>
      </c>
    </row>
    <row r="67" spans="1:27" s="379" customFormat="1" ht="18">
      <c r="A67" s="1340">
        <v>29</v>
      </c>
      <c r="B67" s="1341">
        <v>45705</v>
      </c>
      <c r="C67" s="1374" t="s">
        <v>782</v>
      </c>
      <c r="D67" s="1342" t="s">
        <v>304</v>
      </c>
      <c r="E67" s="1342" t="s">
        <v>783</v>
      </c>
      <c r="F67" s="1375" t="s">
        <v>784</v>
      </c>
      <c r="G67" s="1342"/>
      <c r="H67" s="1343" t="s">
        <v>785</v>
      </c>
      <c r="I67" s="1376" t="s">
        <v>786</v>
      </c>
      <c r="J67" s="1342" t="s">
        <v>73</v>
      </c>
      <c r="K67" s="1342" t="s">
        <v>138</v>
      </c>
      <c r="L67" s="1342" t="s">
        <v>787</v>
      </c>
      <c r="M67" s="1344">
        <v>45705</v>
      </c>
      <c r="N67" s="1345">
        <v>68000</v>
      </c>
      <c r="O67" s="1345" t="s">
        <v>18</v>
      </c>
      <c r="P67" s="1345" t="s">
        <v>25</v>
      </c>
      <c r="Q67" s="1346">
        <v>1</v>
      </c>
      <c r="R67" s="1347" t="s">
        <v>788</v>
      </c>
      <c r="S67" s="1348">
        <v>45705</v>
      </c>
      <c r="T67" s="1345">
        <v>68000</v>
      </c>
      <c r="U67" s="1345" t="s">
        <v>25</v>
      </c>
      <c r="V67" s="1349">
        <f>Table626893456[[#This Row],[Offer Value]]-Table626893456[[#This Row],[PO Value]]</f>
        <v>0</v>
      </c>
      <c r="W67" s="1345"/>
      <c r="X67" s="1350"/>
      <c r="Y67" s="1351"/>
      <c r="Z67" s="1077"/>
      <c r="AA67" s="1077"/>
    </row>
    <row r="68" spans="1:27" s="379" customFormat="1" ht="18">
      <c r="A68" s="1030">
        <v>30</v>
      </c>
      <c r="B68" s="1879">
        <v>45705</v>
      </c>
      <c r="C68" s="1043" t="s">
        <v>619</v>
      </c>
      <c r="D68" s="1050" t="s">
        <v>304</v>
      </c>
      <c r="E68" s="1050" t="s">
        <v>277</v>
      </c>
      <c r="F68" s="1050" t="s">
        <v>789</v>
      </c>
      <c r="G68" s="1050">
        <v>9833345459</v>
      </c>
      <c r="H68" s="1031" t="s">
        <v>790</v>
      </c>
      <c r="I68" s="1880">
        <v>102006834</v>
      </c>
      <c r="J68" s="1050" t="s">
        <v>73</v>
      </c>
      <c r="K68" s="1050" t="s">
        <v>138</v>
      </c>
      <c r="L68" s="1050" t="s">
        <v>791</v>
      </c>
      <c r="M68" s="1080">
        <v>45705</v>
      </c>
      <c r="N68" s="1058">
        <v>74000</v>
      </c>
      <c r="O68" s="1058" t="s">
        <v>18</v>
      </c>
      <c r="P68" s="1058" t="s">
        <v>34</v>
      </c>
      <c r="Q68" s="1085">
        <v>1</v>
      </c>
      <c r="R68" s="1046">
        <v>4502348009</v>
      </c>
      <c r="S68" s="1061">
        <v>45853</v>
      </c>
      <c r="T68" s="1058">
        <v>432000</v>
      </c>
      <c r="U68" s="1058" t="s">
        <v>37</v>
      </c>
      <c r="V68" s="1025">
        <v>0</v>
      </c>
      <c r="W68" s="1058"/>
      <c r="X68" s="1062"/>
      <c r="Y68" s="1063"/>
      <c r="Z68" s="656"/>
      <c r="AA68" s="656"/>
    </row>
    <row r="69" spans="1:27" s="379" customFormat="1" ht="19.350000000000001" customHeight="1">
      <c r="A69" s="1030">
        <v>30</v>
      </c>
      <c r="B69" s="1879"/>
      <c r="C69" s="1043" t="s">
        <v>619</v>
      </c>
      <c r="D69" s="1050" t="s">
        <v>304</v>
      </c>
      <c r="E69" s="1050" t="s">
        <v>277</v>
      </c>
      <c r="F69" s="1050" t="s">
        <v>789</v>
      </c>
      <c r="G69" s="1050">
        <v>9833345459</v>
      </c>
      <c r="H69" s="1031" t="s">
        <v>790</v>
      </c>
      <c r="I69" s="1880">
        <v>102006831</v>
      </c>
      <c r="J69" s="1050" t="s">
        <v>73</v>
      </c>
      <c r="K69" s="1050" t="s">
        <v>138</v>
      </c>
      <c r="L69" s="1050" t="s">
        <v>791</v>
      </c>
      <c r="M69" s="1080">
        <v>45705</v>
      </c>
      <c r="N69" s="1058">
        <v>74000</v>
      </c>
      <c r="O69" s="1058" t="s">
        <v>18</v>
      </c>
      <c r="P69" s="1058" t="s">
        <v>34</v>
      </c>
      <c r="Q69" s="1085">
        <v>1</v>
      </c>
      <c r="R69" s="1046">
        <v>4502348009</v>
      </c>
      <c r="S69" s="1061">
        <v>45853</v>
      </c>
      <c r="T69" s="1058">
        <v>432000</v>
      </c>
      <c r="U69" s="1058" t="s">
        <v>37</v>
      </c>
      <c r="V69" s="1025">
        <v>0</v>
      </c>
      <c r="W69" s="1046"/>
      <c r="X69" s="1062"/>
      <c r="Y69" s="1063"/>
      <c r="Z69" s="1077"/>
      <c r="AA69" s="1077"/>
    </row>
    <row r="70" spans="1:27" s="385" customFormat="1" ht="18">
      <c r="A70" s="1030">
        <v>31</v>
      </c>
      <c r="B70" s="1037">
        <v>45698</v>
      </c>
      <c r="C70" s="1050" t="s">
        <v>792</v>
      </c>
      <c r="D70" s="1034" t="s">
        <v>601</v>
      </c>
      <c r="E70" s="1034" t="s">
        <v>277</v>
      </c>
      <c r="F70" s="1034" t="s">
        <v>793</v>
      </c>
      <c r="G70" s="1034">
        <v>7796646965</v>
      </c>
      <c r="H70" s="1032" t="s">
        <v>794</v>
      </c>
      <c r="I70" s="1898" t="s">
        <v>795</v>
      </c>
      <c r="J70" s="1050" t="s">
        <v>73</v>
      </c>
      <c r="K70" s="1050" t="s">
        <v>138</v>
      </c>
      <c r="L70" s="1050" t="s">
        <v>796</v>
      </c>
      <c r="M70" s="1080">
        <v>45698</v>
      </c>
      <c r="N70" s="1058">
        <v>80000</v>
      </c>
      <c r="O70" s="1058" t="s">
        <v>18</v>
      </c>
      <c r="P70" s="1058" t="s">
        <v>25</v>
      </c>
      <c r="Q70" s="1085">
        <v>1</v>
      </c>
      <c r="R70" s="1046">
        <v>50055662</v>
      </c>
      <c r="S70" s="1061">
        <v>45743</v>
      </c>
      <c r="T70" s="1058">
        <v>80000</v>
      </c>
      <c r="U70" s="1058" t="s">
        <v>25</v>
      </c>
      <c r="V70" s="1025">
        <f>Table626893456[[#This Row],[Offer Value]]-Table626893456[[#This Row],[PO Value]]</f>
        <v>0</v>
      </c>
      <c r="W70" s="1058"/>
      <c r="X70" s="1062"/>
      <c r="Y70" s="1063"/>
      <c r="Z70" s="1899"/>
      <c r="AA70" s="1899"/>
    </row>
    <row r="71" spans="1:27" s="379" customFormat="1" ht="18">
      <c r="A71" s="1030">
        <v>31</v>
      </c>
      <c r="B71" s="1037"/>
      <c r="C71" s="1050" t="s">
        <v>792</v>
      </c>
      <c r="D71" s="1034" t="s">
        <v>601</v>
      </c>
      <c r="E71" s="1034" t="s">
        <v>277</v>
      </c>
      <c r="F71" s="1034" t="s">
        <v>793</v>
      </c>
      <c r="G71" s="1034">
        <v>7796646965</v>
      </c>
      <c r="H71" s="1032" t="s">
        <v>794</v>
      </c>
      <c r="I71" s="1898" t="s">
        <v>797</v>
      </c>
      <c r="J71" s="1050" t="s">
        <v>73</v>
      </c>
      <c r="K71" s="1050" t="s">
        <v>138</v>
      </c>
      <c r="L71" s="1050" t="s">
        <v>796</v>
      </c>
      <c r="M71" s="1080">
        <v>45698</v>
      </c>
      <c r="N71" s="1058">
        <v>80000</v>
      </c>
      <c r="O71" s="1058" t="s">
        <v>18</v>
      </c>
      <c r="P71" s="1058" t="s">
        <v>25</v>
      </c>
      <c r="Q71" s="1085">
        <v>1</v>
      </c>
      <c r="R71" s="1046">
        <v>50055662</v>
      </c>
      <c r="S71" s="1061">
        <v>45743</v>
      </c>
      <c r="T71" s="1058">
        <v>80000</v>
      </c>
      <c r="U71" s="1058" t="s">
        <v>25</v>
      </c>
      <c r="V71" s="1025">
        <f>Table626893456[[#This Row],[Offer Value]]-Table626893456[[#This Row],[PO Value]]</f>
        <v>0</v>
      </c>
      <c r="W71" s="1058"/>
      <c r="X71" s="1062"/>
      <c r="Y71" s="1063"/>
      <c r="Z71" s="1077"/>
      <c r="AA71" s="1077"/>
    </row>
    <row r="72" spans="1:27" s="379" customFormat="1" ht="18">
      <c r="A72" s="1030">
        <v>31</v>
      </c>
      <c r="B72" s="1037"/>
      <c r="C72" s="1050" t="s">
        <v>792</v>
      </c>
      <c r="D72" s="1034" t="s">
        <v>601</v>
      </c>
      <c r="E72" s="1034" t="s">
        <v>277</v>
      </c>
      <c r="F72" s="1034" t="s">
        <v>793</v>
      </c>
      <c r="G72" s="1034">
        <v>7796646965</v>
      </c>
      <c r="H72" s="1032" t="s">
        <v>794</v>
      </c>
      <c r="I72" s="1898" t="s">
        <v>798</v>
      </c>
      <c r="J72" s="1050" t="s">
        <v>73</v>
      </c>
      <c r="K72" s="1050" t="s">
        <v>138</v>
      </c>
      <c r="L72" s="1050" t="s">
        <v>796</v>
      </c>
      <c r="M72" s="1080">
        <v>45698</v>
      </c>
      <c r="N72" s="1058">
        <v>45000</v>
      </c>
      <c r="O72" s="1058" t="s">
        <v>18</v>
      </c>
      <c r="P72" s="1058" t="s">
        <v>25</v>
      </c>
      <c r="Q72" s="1085">
        <v>1</v>
      </c>
      <c r="R72" s="1046">
        <v>50055662</v>
      </c>
      <c r="S72" s="1061">
        <v>45743</v>
      </c>
      <c r="T72" s="1058">
        <v>45000</v>
      </c>
      <c r="U72" s="1058" t="s">
        <v>25</v>
      </c>
      <c r="V72" s="1025">
        <f>Table626893456[[#This Row],[Offer Value]]-Table626893456[[#This Row],[PO Value]]</f>
        <v>0</v>
      </c>
      <c r="W72" s="1058"/>
      <c r="X72" s="1062"/>
      <c r="Y72" s="1076"/>
      <c r="Z72" s="1077"/>
      <c r="AA72" s="1077"/>
    </row>
    <row r="73" spans="1:27" s="379" customFormat="1" ht="18">
      <c r="A73" s="1030">
        <v>31</v>
      </c>
      <c r="B73" s="1037"/>
      <c r="C73" s="1050" t="s">
        <v>792</v>
      </c>
      <c r="D73" s="1034" t="s">
        <v>601</v>
      </c>
      <c r="E73" s="1034" t="s">
        <v>277</v>
      </c>
      <c r="F73" s="1034" t="s">
        <v>793</v>
      </c>
      <c r="G73" s="1034">
        <v>7796646965</v>
      </c>
      <c r="H73" s="1032" t="s">
        <v>794</v>
      </c>
      <c r="I73" s="1891" t="s">
        <v>799</v>
      </c>
      <c r="J73" s="1050" t="s">
        <v>73</v>
      </c>
      <c r="K73" s="1050" t="s">
        <v>138</v>
      </c>
      <c r="L73" s="1050" t="s">
        <v>796</v>
      </c>
      <c r="M73" s="1080">
        <v>45698</v>
      </c>
      <c r="N73" s="1058">
        <v>45000</v>
      </c>
      <c r="O73" s="1058" t="s">
        <v>18</v>
      </c>
      <c r="P73" s="1058" t="s">
        <v>25</v>
      </c>
      <c r="Q73" s="1085">
        <v>1</v>
      </c>
      <c r="R73" s="1046">
        <v>50055662</v>
      </c>
      <c r="S73" s="1061">
        <v>45743</v>
      </c>
      <c r="T73" s="1058">
        <v>45000</v>
      </c>
      <c r="U73" s="1058" t="s">
        <v>25</v>
      </c>
      <c r="V73" s="1025">
        <f>Table626893456[[#This Row],[Offer Value]]-Table626893456[[#This Row],[PO Value]]</f>
        <v>0</v>
      </c>
      <c r="W73" s="1058"/>
      <c r="X73" s="1062"/>
      <c r="Y73" s="1063"/>
      <c r="Z73" s="1077"/>
      <c r="AA73" s="1077"/>
    </row>
    <row r="74" spans="1:27" s="379" customFormat="1" ht="18">
      <c r="A74" s="1030">
        <v>31</v>
      </c>
      <c r="B74" s="1037"/>
      <c r="C74" s="1050" t="s">
        <v>792</v>
      </c>
      <c r="D74" s="1034" t="s">
        <v>601</v>
      </c>
      <c r="E74" s="1034" t="s">
        <v>277</v>
      </c>
      <c r="F74" s="1034" t="s">
        <v>793</v>
      </c>
      <c r="G74" s="1034">
        <v>7796646965</v>
      </c>
      <c r="H74" s="1032" t="s">
        <v>794</v>
      </c>
      <c r="I74" s="1097" t="s">
        <v>800</v>
      </c>
      <c r="J74" s="1050" t="s">
        <v>73</v>
      </c>
      <c r="K74" s="1050" t="s">
        <v>138</v>
      </c>
      <c r="L74" s="1050" t="s">
        <v>796</v>
      </c>
      <c r="M74" s="1080">
        <v>45698</v>
      </c>
      <c r="N74" s="1058">
        <v>45000</v>
      </c>
      <c r="O74" s="1058" t="s">
        <v>18</v>
      </c>
      <c r="P74" s="1058" t="s">
        <v>25</v>
      </c>
      <c r="Q74" s="1085">
        <v>1</v>
      </c>
      <c r="R74" s="1046">
        <v>50055662</v>
      </c>
      <c r="S74" s="1061">
        <v>45743</v>
      </c>
      <c r="T74" s="1058">
        <v>45000</v>
      </c>
      <c r="U74" s="1058" t="s">
        <v>25</v>
      </c>
      <c r="V74" s="1025">
        <f>Table626893456[[#This Row],[Offer Value]]-Table626893456[[#This Row],[PO Value]]</f>
        <v>0</v>
      </c>
      <c r="W74" s="1070"/>
      <c r="X74" s="1062"/>
      <c r="Y74" s="1063"/>
      <c r="Z74" s="1077"/>
      <c r="AA74" s="1077"/>
    </row>
    <row r="75" spans="1:27" s="379" customFormat="1" ht="18">
      <c r="A75" s="1030">
        <v>31</v>
      </c>
      <c r="B75" s="1037"/>
      <c r="C75" s="1050" t="s">
        <v>792</v>
      </c>
      <c r="D75" s="1034" t="s">
        <v>601</v>
      </c>
      <c r="E75" s="1034" t="s">
        <v>277</v>
      </c>
      <c r="F75" s="1034" t="s">
        <v>793</v>
      </c>
      <c r="G75" s="1034">
        <v>7796646965</v>
      </c>
      <c r="H75" s="1032" t="s">
        <v>794</v>
      </c>
      <c r="I75" s="1097" t="s">
        <v>801</v>
      </c>
      <c r="J75" s="1050" t="s">
        <v>73</v>
      </c>
      <c r="K75" s="1050" t="s">
        <v>138</v>
      </c>
      <c r="L75" s="1050" t="s">
        <v>796</v>
      </c>
      <c r="M75" s="1080">
        <v>45698</v>
      </c>
      <c r="N75" s="1058">
        <v>45000</v>
      </c>
      <c r="O75" s="1058" t="s">
        <v>18</v>
      </c>
      <c r="P75" s="1058" t="s">
        <v>25</v>
      </c>
      <c r="Q75" s="1085">
        <v>1</v>
      </c>
      <c r="R75" s="1046">
        <v>50055662</v>
      </c>
      <c r="S75" s="1061">
        <v>45743</v>
      </c>
      <c r="T75" s="1058">
        <v>45000</v>
      </c>
      <c r="U75" s="1058" t="s">
        <v>25</v>
      </c>
      <c r="V75" s="1025">
        <f>Table626893456[[#This Row],[Offer Value]]-Table626893456[[#This Row],[PO Value]]</f>
        <v>0</v>
      </c>
      <c r="W75" s="1070"/>
      <c r="X75" s="1062"/>
      <c r="Y75" s="1063"/>
      <c r="Z75" s="1077"/>
      <c r="AA75" s="1077"/>
    </row>
    <row r="76" spans="1:27" s="379" customFormat="1" ht="18">
      <c r="A76" s="1030">
        <v>31</v>
      </c>
      <c r="B76" s="1037"/>
      <c r="C76" s="1050" t="s">
        <v>792</v>
      </c>
      <c r="D76" s="1034" t="s">
        <v>601</v>
      </c>
      <c r="E76" s="1034" t="s">
        <v>277</v>
      </c>
      <c r="F76" s="1034" t="s">
        <v>793</v>
      </c>
      <c r="G76" s="1034">
        <v>7796646965</v>
      </c>
      <c r="H76" s="1032" t="s">
        <v>794</v>
      </c>
      <c r="I76" s="1097" t="s">
        <v>802</v>
      </c>
      <c r="J76" s="1050" t="s">
        <v>73</v>
      </c>
      <c r="K76" s="1050" t="s">
        <v>138</v>
      </c>
      <c r="L76" s="1050" t="s">
        <v>796</v>
      </c>
      <c r="M76" s="1080">
        <v>45698</v>
      </c>
      <c r="N76" s="1058">
        <v>45000</v>
      </c>
      <c r="O76" s="1058" t="s">
        <v>18</v>
      </c>
      <c r="P76" s="1058" t="s">
        <v>25</v>
      </c>
      <c r="Q76" s="1085">
        <v>1</v>
      </c>
      <c r="R76" s="1046">
        <v>50055662</v>
      </c>
      <c r="S76" s="1061">
        <v>45743</v>
      </c>
      <c r="T76" s="1058">
        <v>45000</v>
      </c>
      <c r="U76" s="1058" t="s">
        <v>25</v>
      </c>
      <c r="V76" s="1025">
        <f>Table626893456[[#This Row],[Offer Value]]-Table626893456[[#This Row],[PO Value]]</f>
        <v>0</v>
      </c>
      <c r="W76" s="1070"/>
      <c r="X76" s="1062"/>
      <c r="Y76" s="1063"/>
      <c r="Z76" s="1077"/>
      <c r="AA76" s="1077"/>
    </row>
    <row r="77" spans="1:27" s="379" customFormat="1" ht="18">
      <c r="A77" s="1030">
        <v>31</v>
      </c>
      <c r="B77" s="1037"/>
      <c r="C77" s="1050" t="s">
        <v>792</v>
      </c>
      <c r="D77" s="1034" t="s">
        <v>601</v>
      </c>
      <c r="E77" s="1034" t="s">
        <v>277</v>
      </c>
      <c r="F77" s="1034" t="s">
        <v>793</v>
      </c>
      <c r="G77" s="1034">
        <v>7796646965</v>
      </c>
      <c r="H77" s="1032" t="s">
        <v>794</v>
      </c>
      <c r="I77" s="1097" t="s">
        <v>803</v>
      </c>
      <c r="J77" s="1050" t="s">
        <v>73</v>
      </c>
      <c r="K77" s="1050" t="s">
        <v>138</v>
      </c>
      <c r="L77" s="1050" t="s">
        <v>796</v>
      </c>
      <c r="M77" s="1080">
        <v>45698</v>
      </c>
      <c r="N77" s="1058">
        <v>45000</v>
      </c>
      <c r="O77" s="1058" t="s">
        <v>18</v>
      </c>
      <c r="P77" s="1058" t="s">
        <v>25</v>
      </c>
      <c r="Q77" s="1085">
        <v>1</v>
      </c>
      <c r="R77" s="1046">
        <v>50055662</v>
      </c>
      <c r="S77" s="1061">
        <v>45743</v>
      </c>
      <c r="T77" s="1058">
        <v>45000</v>
      </c>
      <c r="U77" s="1432" t="s">
        <v>25</v>
      </c>
      <c r="V77" s="1025">
        <f>Table626893456[[#This Row],[Offer Value]]-Table626893456[[#This Row],[PO Value]]</f>
        <v>0</v>
      </c>
      <c r="W77" s="1058"/>
      <c r="X77" s="1062"/>
      <c r="Y77" s="1063"/>
      <c r="Z77" s="1077"/>
      <c r="AA77" s="1077"/>
    </row>
    <row r="78" spans="1:27" s="379" customFormat="1" ht="18">
      <c r="A78" s="1030">
        <v>31</v>
      </c>
      <c r="B78" s="1037"/>
      <c r="C78" s="1071" t="s">
        <v>792</v>
      </c>
      <c r="D78" s="1034" t="s">
        <v>601</v>
      </c>
      <c r="E78" s="1034" t="s">
        <v>277</v>
      </c>
      <c r="F78" s="1034" t="s">
        <v>793</v>
      </c>
      <c r="G78" s="1034">
        <v>7796646965</v>
      </c>
      <c r="H78" s="1032" t="s">
        <v>794</v>
      </c>
      <c r="I78" s="1097" t="s">
        <v>804</v>
      </c>
      <c r="J78" s="1050" t="s">
        <v>73</v>
      </c>
      <c r="K78" s="1050" t="s">
        <v>138</v>
      </c>
      <c r="L78" s="1050" t="s">
        <v>796</v>
      </c>
      <c r="M78" s="1080">
        <v>45698</v>
      </c>
      <c r="N78" s="1058">
        <v>45000</v>
      </c>
      <c r="O78" s="1058" t="s">
        <v>18</v>
      </c>
      <c r="P78" s="1058" t="s">
        <v>25</v>
      </c>
      <c r="Q78" s="1085">
        <v>1</v>
      </c>
      <c r="R78" s="1058">
        <v>50055662</v>
      </c>
      <c r="S78" s="1061">
        <v>45743</v>
      </c>
      <c r="T78" s="1058">
        <v>45000</v>
      </c>
      <c r="U78" s="1432" t="s">
        <v>25</v>
      </c>
      <c r="V78" s="1025">
        <f>Table626893456[[#This Row],[Offer Value]]-Table626893456[[#This Row],[PO Value]]</f>
        <v>0</v>
      </c>
      <c r="W78" s="1058"/>
      <c r="X78" s="1062"/>
      <c r="Y78" s="1076"/>
      <c r="Z78" s="1077"/>
      <c r="AA78" s="1077"/>
    </row>
    <row r="79" spans="1:27" s="379" customFormat="1" ht="18">
      <c r="A79" s="1030">
        <v>31</v>
      </c>
      <c r="B79" s="1037"/>
      <c r="C79" s="1071" t="s">
        <v>792</v>
      </c>
      <c r="D79" s="1034" t="s">
        <v>601</v>
      </c>
      <c r="E79" s="1034" t="s">
        <v>277</v>
      </c>
      <c r="F79" s="1034" t="s">
        <v>793</v>
      </c>
      <c r="G79" s="1034">
        <v>7796646965</v>
      </c>
      <c r="H79" s="1032" t="s">
        <v>794</v>
      </c>
      <c r="I79" s="1097" t="s">
        <v>805</v>
      </c>
      <c r="J79" s="1050" t="s">
        <v>73</v>
      </c>
      <c r="K79" s="1050" t="s">
        <v>138</v>
      </c>
      <c r="L79" s="1050" t="s">
        <v>796</v>
      </c>
      <c r="M79" s="1080">
        <v>45698</v>
      </c>
      <c r="N79" s="1058">
        <v>45000</v>
      </c>
      <c r="O79" s="1058" t="s">
        <v>18</v>
      </c>
      <c r="P79" s="1058" t="s">
        <v>25</v>
      </c>
      <c r="Q79" s="1085">
        <v>1</v>
      </c>
      <c r="R79" s="1058">
        <v>50055662</v>
      </c>
      <c r="S79" s="1061">
        <v>45743</v>
      </c>
      <c r="T79" s="1058">
        <v>45000</v>
      </c>
      <c r="U79" s="1432" t="s">
        <v>25</v>
      </c>
      <c r="V79" s="1025">
        <f>Table626893456[[#This Row],[Offer Value]]-Table626893456[[#This Row],[PO Value]]</f>
        <v>0</v>
      </c>
      <c r="W79" s="1058"/>
      <c r="X79" s="1062"/>
      <c r="Y79" s="1076"/>
      <c r="Z79" s="1077"/>
      <c r="AA79" s="1077"/>
    </row>
    <row r="80" spans="1:27" s="379" customFormat="1" ht="18">
      <c r="A80" s="1030">
        <v>31</v>
      </c>
      <c r="B80" s="1037"/>
      <c r="C80" s="1071" t="s">
        <v>792</v>
      </c>
      <c r="D80" s="1034" t="s">
        <v>601</v>
      </c>
      <c r="E80" s="1034" t="s">
        <v>277</v>
      </c>
      <c r="F80" s="1034" t="s">
        <v>793</v>
      </c>
      <c r="G80" s="1034">
        <v>7796646965</v>
      </c>
      <c r="H80" s="1032" t="s">
        <v>794</v>
      </c>
      <c r="I80" s="1097" t="s">
        <v>806</v>
      </c>
      <c r="J80" s="1050" t="s">
        <v>73</v>
      </c>
      <c r="K80" s="1050" t="s">
        <v>138</v>
      </c>
      <c r="L80" s="1050" t="s">
        <v>796</v>
      </c>
      <c r="M80" s="1080">
        <v>45698</v>
      </c>
      <c r="N80" s="1058">
        <v>45000</v>
      </c>
      <c r="O80" s="1058" t="s">
        <v>18</v>
      </c>
      <c r="P80" s="1058" t="s">
        <v>25</v>
      </c>
      <c r="Q80" s="1085">
        <v>1</v>
      </c>
      <c r="R80" s="1058">
        <v>50055662</v>
      </c>
      <c r="S80" s="1061">
        <v>45743</v>
      </c>
      <c r="T80" s="1058">
        <v>45000</v>
      </c>
      <c r="U80" s="1432" t="s">
        <v>25</v>
      </c>
      <c r="V80" s="1025">
        <f>Table626893456[[#This Row],[Offer Value]]-Table626893456[[#This Row],[PO Value]]</f>
        <v>0</v>
      </c>
      <c r="W80" s="1324"/>
      <c r="X80" s="1331"/>
      <c r="Y80" s="1076"/>
      <c r="Z80" s="1077"/>
      <c r="AA80" s="1077"/>
    </row>
    <row r="81" spans="1:65" s="387" customFormat="1" ht="18">
      <c r="A81" s="1030">
        <v>31</v>
      </c>
      <c r="B81" s="1037"/>
      <c r="C81" s="1050" t="s">
        <v>792</v>
      </c>
      <c r="D81" s="1034" t="s">
        <v>601</v>
      </c>
      <c r="E81" s="1034" t="s">
        <v>277</v>
      </c>
      <c r="F81" s="1034" t="s">
        <v>793</v>
      </c>
      <c r="G81" s="1034">
        <v>7796646965</v>
      </c>
      <c r="H81" s="1032" t="s">
        <v>794</v>
      </c>
      <c r="I81" s="1097" t="s">
        <v>807</v>
      </c>
      <c r="J81" s="1050" t="s">
        <v>73</v>
      </c>
      <c r="K81" s="1050" t="s">
        <v>138</v>
      </c>
      <c r="L81" s="1050" t="s">
        <v>796</v>
      </c>
      <c r="M81" s="1080">
        <v>45698</v>
      </c>
      <c r="N81" s="1058">
        <v>45000</v>
      </c>
      <c r="O81" s="1058" t="s">
        <v>18</v>
      </c>
      <c r="P81" s="1058" t="s">
        <v>25</v>
      </c>
      <c r="Q81" s="1085">
        <v>1</v>
      </c>
      <c r="R81" s="1046">
        <v>50055662</v>
      </c>
      <c r="S81" s="1061">
        <v>45743</v>
      </c>
      <c r="T81" s="1058">
        <v>45000</v>
      </c>
      <c r="U81" s="1058" t="s">
        <v>25</v>
      </c>
      <c r="V81" s="1025">
        <f>Table626893456[[#This Row],[Offer Value]]-Table626893456[[#This Row],[PO Value]]</f>
        <v>0</v>
      </c>
      <c r="W81" s="1058"/>
      <c r="X81" s="1062"/>
      <c r="Y81" s="1063"/>
      <c r="Z81" s="1077"/>
      <c r="AA81" s="1077"/>
      <c r="AB81" s="379"/>
      <c r="AC81" s="379"/>
      <c r="AD81" s="379"/>
      <c r="AE81" s="379"/>
      <c r="AF81" s="379"/>
      <c r="AG81" s="379"/>
      <c r="AH81" s="379"/>
      <c r="AI81" s="379"/>
      <c r="AJ81" s="379"/>
      <c r="AK81" s="379"/>
      <c r="AL81" s="379"/>
      <c r="AM81" s="379"/>
      <c r="AN81" s="379"/>
      <c r="AO81" s="379"/>
      <c r="AP81" s="379"/>
      <c r="AQ81" s="379"/>
      <c r="AR81" s="379"/>
      <c r="AS81" s="379"/>
      <c r="AT81" s="379"/>
      <c r="AU81" s="379"/>
      <c r="AV81" s="379"/>
      <c r="AW81" s="379"/>
      <c r="AX81" s="379"/>
      <c r="AY81" s="379"/>
      <c r="AZ81" s="379"/>
      <c r="BA81" s="379"/>
      <c r="BB81" s="379"/>
      <c r="BC81" s="379"/>
      <c r="BD81" s="379"/>
      <c r="BE81" s="379"/>
      <c r="BF81" s="379"/>
      <c r="BG81" s="379"/>
      <c r="BH81" s="379"/>
      <c r="BI81" s="379"/>
      <c r="BJ81" s="379"/>
      <c r="BK81" s="379"/>
      <c r="BL81" s="379"/>
      <c r="BM81" s="379"/>
    </row>
    <row r="82" spans="1:65" s="379" customFormat="1" ht="18">
      <c r="A82" s="1030">
        <v>31</v>
      </c>
      <c r="B82" s="1037"/>
      <c r="C82" s="1050" t="s">
        <v>792</v>
      </c>
      <c r="D82" s="1034" t="s">
        <v>601</v>
      </c>
      <c r="E82" s="1034" t="s">
        <v>277</v>
      </c>
      <c r="F82" s="1034" t="s">
        <v>793</v>
      </c>
      <c r="G82" s="1034">
        <v>7796646965</v>
      </c>
      <c r="H82" s="1032" t="s">
        <v>794</v>
      </c>
      <c r="I82" s="1097" t="s">
        <v>808</v>
      </c>
      <c r="J82" s="1050" t="s">
        <v>73</v>
      </c>
      <c r="K82" s="1050" t="s">
        <v>138</v>
      </c>
      <c r="L82" s="1050" t="s">
        <v>796</v>
      </c>
      <c r="M82" s="1080">
        <v>45698</v>
      </c>
      <c r="N82" s="1058">
        <v>45000</v>
      </c>
      <c r="O82" s="1058" t="s">
        <v>18</v>
      </c>
      <c r="P82" s="1058" t="s">
        <v>25</v>
      </c>
      <c r="Q82" s="1085">
        <v>1</v>
      </c>
      <c r="R82" s="1046">
        <v>50055662</v>
      </c>
      <c r="S82" s="1061">
        <v>45743</v>
      </c>
      <c r="T82" s="1058">
        <v>45000</v>
      </c>
      <c r="U82" s="1058" t="s">
        <v>25</v>
      </c>
      <c r="V82" s="1025">
        <f>Table626893456[[#This Row],[Offer Value]]-Table626893456[[#This Row],[PO Value]]</f>
        <v>0</v>
      </c>
      <c r="W82" s="1070"/>
      <c r="X82" s="1062"/>
      <c r="Y82" s="1091"/>
      <c r="Z82" s="1077"/>
      <c r="AA82" s="1077"/>
    </row>
    <row r="83" spans="1:65" s="379" customFormat="1" ht="18">
      <c r="A83" s="1030">
        <v>31</v>
      </c>
      <c r="B83" s="1037"/>
      <c r="C83" s="1050" t="s">
        <v>792</v>
      </c>
      <c r="D83" s="1034" t="s">
        <v>601</v>
      </c>
      <c r="E83" s="1034" t="s">
        <v>277</v>
      </c>
      <c r="F83" s="1034" t="s">
        <v>793</v>
      </c>
      <c r="G83" s="1034">
        <v>7796646965</v>
      </c>
      <c r="H83" s="1032" t="s">
        <v>794</v>
      </c>
      <c r="I83" s="1097" t="s">
        <v>809</v>
      </c>
      <c r="J83" s="1050" t="s">
        <v>73</v>
      </c>
      <c r="K83" s="1050" t="s">
        <v>138</v>
      </c>
      <c r="L83" s="1050" t="s">
        <v>796</v>
      </c>
      <c r="M83" s="1080">
        <v>45698</v>
      </c>
      <c r="N83" s="1058">
        <v>45000</v>
      </c>
      <c r="O83" s="1058" t="s">
        <v>18</v>
      </c>
      <c r="P83" s="1058" t="s">
        <v>25</v>
      </c>
      <c r="Q83" s="1085">
        <v>1</v>
      </c>
      <c r="R83" s="1046">
        <v>50055662</v>
      </c>
      <c r="S83" s="1061">
        <v>45743</v>
      </c>
      <c r="T83" s="1058">
        <v>45000</v>
      </c>
      <c r="U83" s="1058" t="s">
        <v>25</v>
      </c>
      <c r="V83" s="1025">
        <f>Table626893456[[#This Row],[Offer Value]]-Table626893456[[#This Row],[PO Value]]</f>
        <v>0</v>
      </c>
      <c r="W83" s="1070"/>
      <c r="X83" s="1062"/>
      <c r="Y83" s="1091"/>
      <c r="Z83" s="1077"/>
      <c r="AA83" s="1077"/>
    </row>
    <row r="84" spans="1:65" s="379" customFormat="1" ht="18">
      <c r="A84" s="1030">
        <v>31</v>
      </c>
      <c r="B84" s="1037"/>
      <c r="C84" s="1050" t="s">
        <v>792</v>
      </c>
      <c r="D84" s="1034" t="s">
        <v>601</v>
      </c>
      <c r="E84" s="1034" t="s">
        <v>277</v>
      </c>
      <c r="F84" s="1034" t="s">
        <v>793</v>
      </c>
      <c r="G84" s="1034">
        <v>7796646965</v>
      </c>
      <c r="H84" s="1032" t="s">
        <v>794</v>
      </c>
      <c r="I84" s="1891" t="s">
        <v>810</v>
      </c>
      <c r="J84" s="1050" t="s">
        <v>73</v>
      </c>
      <c r="K84" s="1050" t="s">
        <v>138</v>
      </c>
      <c r="L84" s="1050" t="s">
        <v>796</v>
      </c>
      <c r="M84" s="1080">
        <v>45698</v>
      </c>
      <c r="N84" s="1058">
        <v>45000</v>
      </c>
      <c r="O84" s="1058" t="s">
        <v>18</v>
      </c>
      <c r="P84" s="1058" t="s">
        <v>25</v>
      </c>
      <c r="Q84" s="1085">
        <v>1</v>
      </c>
      <c r="R84" s="1046">
        <v>50055662</v>
      </c>
      <c r="S84" s="1061">
        <v>45743</v>
      </c>
      <c r="T84" s="1058">
        <v>45000</v>
      </c>
      <c r="U84" s="1058" t="s">
        <v>25</v>
      </c>
      <c r="V84" s="1025">
        <f>Table626893456[[#This Row],[Offer Value]]-Table626893456[[#This Row],[PO Value]]</f>
        <v>0</v>
      </c>
      <c r="W84" s="1070"/>
      <c r="X84" s="1062"/>
      <c r="Y84" s="1091"/>
      <c r="Z84" s="1077"/>
      <c r="AA84" s="1077"/>
    </row>
    <row r="85" spans="1:65" s="379" customFormat="1" ht="18">
      <c r="A85" s="1095">
        <v>32</v>
      </c>
      <c r="B85" s="1879">
        <v>45698</v>
      </c>
      <c r="C85" s="1097" t="s">
        <v>792</v>
      </c>
      <c r="D85" s="1097" t="s">
        <v>601</v>
      </c>
      <c r="E85" s="1034" t="s">
        <v>277</v>
      </c>
      <c r="F85" s="1034" t="s">
        <v>793</v>
      </c>
      <c r="G85" s="1034">
        <v>7796646965</v>
      </c>
      <c r="H85" s="1032" t="s">
        <v>794</v>
      </c>
      <c r="I85" s="1891" t="s">
        <v>810</v>
      </c>
      <c r="J85" s="1892" t="s">
        <v>81</v>
      </c>
      <c r="K85" s="1100" t="s">
        <v>685</v>
      </c>
      <c r="L85" s="1097" t="s">
        <v>811</v>
      </c>
      <c r="M85" s="1893">
        <v>45698</v>
      </c>
      <c r="N85" s="1058">
        <v>1499595</v>
      </c>
      <c r="O85" s="1058" t="s">
        <v>18</v>
      </c>
      <c r="P85" s="1058" t="s">
        <v>25</v>
      </c>
      <c r="Q85" s="1085">
        <v>1</v>
      </c>
      <c r="R85" s="1046">
        <v>50055312</v>
      </c>
      <c r="S85" s="1061">
        <v>45719</v>
      </c>
      <c r="T85" s="1058">
        <v>1455917</v>
      </c>
      <c r="U85" s="1900" t="s">
        <v>25</v>
      </c>
      <c r="V85" s="1897">
        <v>0</v>
      </c>
      <c r="W85" s="1638"/>
      <c r="X85" s="1062"/>
      <c r="Y85" s="1901"/>
      <c r="Z85" s="1077" t="s">
        <v>812</v>
      </c>
      <c r="AA85" s="1077" t="s">
        <v>812</v>
      </c>
    </row>
    <row r="86" spans="1:65" s="379" customFormat="1" ht="18">
      <c r="A86" s="1030">
        <v>33</v>
      </c>
      <c r="B86" s="1037">
        <v>45707</v>
      </c>
      <c r="C86" s="1050" t="s">
        <v>749</v>
      </c>
      <c r="D86" s="1050" t="s">
        <v>133</v>
      </c>
      <c r="E86" s="1050" t="s">
        <v>277</v>
      </c>
      <c r="F86" s="1050" t="s">
        <v>813</v>
      </c>
      <c r="G86" s="1050">
        <v>8975397991</v>
      </c>
      <c r="H86" s="1031" t="s">
        <v>814</v>
      </c>
      <c r="I86" s="1050" t="s">
        <v>752</v>
      </c>
      <c r="J86" s="1050" t="s">
        <v>75</v>
      </c>
      <c r="K86" s="1050" t="s">
        <v>685</v>
      </c>
      <c r="L86" s="1050" t="s">
        <v>815</v>
      </c>
      <c r="M86" s="1080">
        <v>45707</v>
      </c>
      <c r="N86" s="1058">
        <v>445627</v>
      </c>
      <c r="O86" s="1058" t="s">
        <v>18</v>
      </c>
      <c r="P86" s="1058" t="s">
        <v>25</v>
      </c>
      <c r="Q86" s="1085">
        <v>1</v>
      </c>
      <c r="R86" s="1046">
        <v>2006269</v>
      </c>
      <c r="S86" s="1061">
        <v>45728</v>
      </c>
      <c r="T86" s="1058">
        <v>367397</v>
      </c>
      <c r="U86" s="1058" t="s">
        <v>25</v>
      </c>
      <c r="V86" s="1025">
        <v>0</v>
      </c>
      <c r="W86" s="1070"/>
      <c r="X86" s="1062"/>
      <c r="Y86" s="1091"/>
      <c r="Z86" s="1077" t="s">
        <v>157</v>
      </c>
      <c r="AA86" s="1077" t="s">
        <v>208</v>
      </c>
    </row>
    <row r="87" spans="1:65" s="379" customFormat="1" ht="18">
      <c r="A87" s="1030">
        <v>34</v>
      </c>
      <c r="B87" s="1037">
        <v>45717</v>
      </c>
      <c r="C87" s="1050" t="s">
        <v>749</v>
      </c>
      <c r="D87" s="1050" t="s">
        <v>133</v>
      </c>
      <c r="E87" s="1050" t="s">
        <v>277</v>
      </c>
      <c r="F87" s="1050" t="s">
        <v>813</v>
      </c>
      <c r="G87" s="1050">
        <v>8975397991</v>
      </c>
      <c r="H87" s="1031" t="s">
        <v>814</v>
      </c>
      <c r="I87" s="1050" t="s">
        <v>816</v>
      </c>
      <c r="J87" s="1050" t="s">
        <v>73</v>
      </c>
      <c r="K87" s="1050" t="s">
        <v>639</v>
      </c>
      <c r="L87" s="1050" t="s">
        <v>817</v>
      </c>
      <c r="M87" s="1080">
        <v>45717</v>
      </c>
      <c r="N87" s="1058">
        <v>72000</v>
      </c>
      <c r="O87" s="1058" t="s">
        <v>25</v>
      </c>
      <c r="P87" s="1058" t="s">
        <v>25</v>
      </c>
      <c r="Q87" s="1085">
        <v>1</v>
      </c>
      <c r="R87" s="1046">
        <v>2006637</v>
      </c>
      <c r="S87" s="1061">
        <v>45729</v>
      </c>
      <c r="T87" s="1058">
        <v>72000</v>
      </c>
      <c r="U87" s="1058" t="s">
        <v>25</v>
      </c>
      <c r="V87" s="1025">
        <f>Table626893456[[#This Row],[Offer Value]]-Table626893456[[#This Row],[PO Value]]</f>
        <v>0</v>
      </c>
      <c r="W87" s="1070"/>
      <c r="X87" s="1062"/>
      <c r="Y87" s="1091"/>
      <c r="Z87" s="1077"/>
      <c r="AA87" s="1077"/>
    </row>
    <row r="88" spans="1:65" s="379" customFormat="1" ht="18">
      <c r="A88" s="1030">
        <v>34</v>
      </c>
      <c r="B88" s="1037"/>
      <c r="C88" s="1050" t="s">
        <v>749</v>
      </c>
      <c r="D88" s="1050" t="s">
        <v>133</v>
      </c>
      <c r="E88" s="1050" t="s">
        <v>277</v>
      </c>
      <c r="F88" s="1050" t="s">
        <v>813</v>
      </c>
      <c r="G88" s="1050">
        <v>8975397991</v>
      </c>
      <c r="H88" s="1031" t="s">
        <v>814</v>
      </c>
      <c r="I88" s="1050" t="s">
        <v>818</v>
      </c>
      <c r="J88" s="1050" t="s">
        <v>73</v>
      </c>
      <c r="K88" s="1050" t="s">
        <v>639</v>
      </c>
      <c r="L88" s="1050" t="s">
        <v>817</v>
      </c>
      <c r="M88" s="1080">
        <v>45717</v>
      </c>
      <c r="N88" s="1058">
        <v>72000</v>
      </c>
      <c r="O88" s="1058" t="s">
        <v>25</v>
      </c>
      <c r="P88" s="1058" t="s">
        <v>25</v>
      </c>
      <c r="Q88" s="1085">
        <v>1</v>
      </c>
      <c r="R88" s="1046">
        <v>2006637</v>
      </c>
      <c r="S88" s="1061">
        <v>45729</v>
      </c>
      <c r="T88" s="1058">
        <v>72000</v>
      </c>
      <c r="U88" s="1058" t="s">
        <v>25</v>
      </c>
      <c r="V88" s="1025">
        <f>Table626893456[[#This Row],[Offer Value]]-Table626893456[[#This Row],[PO Value]]</f>
        <v>0</v>
      </c>
      <c r="W88" s="1058"/>
      <c r="X88" s="1062"/>
      <c r="Y88" s="1063"/>
      <c r="Z88" s="1077"/>
      <c r="AA88" s="1077"/>
    </row>
    <row r="89" spans="1:65" s="379" customFormat="1" ht="18">
      <c r="A89" s="1095">
        <v>34</v>
      </c>
      <c r="B89" s="1037"/>
      <c r="C89" s="1050" t="s">
        <v>749</v>
      </c>
      <c r="D89" s="1050" t="s">
        <v>133</v>
      </c>
      <c r="E89" s="1050" t="s">
        <v>277</v>
      </c>
      <c r="F89" s="1050" t="s">
        <v>813</v>
      </c>
      <c r="G89" s="1050">
        <v>8975397991</v>
      </c>
      <c r="H89" s="1031" t="s">
        <v>814</v>
      </c>
      <c r="I89" s="1050" t="s">
        <v>752</v>
      </c>
      <c r="J89" s="1050" t="s">
        <v>73</v>
      </c>
      <c r="K89" s="1050" t="s">
        <v>639</v>
      </c>
      <c r="L89" s="1050" t="s">
        <v>817</v>
      </c>
      <c r="M89" s="1080">
        <v>45717</v>
      </c>
      <c r="N89" s="1058">
        <v>72000</v>
      </c>
      <c r="O89" s="1058" t="s">
        <v>25</v>
      </c>
      <c r="P89" s="1058" t="s">
        <v>25</v>
      </c>
      <c r="Q89" s="1085">
        <v>1</v>
      </c>
      <c r="R89" s="1046">
        <v>2006637</v>
      </c>
      <c r="S89" s="1061">
        <v>45729</v>
      </c>
      <c r="T89" s="1058">
        <v>72000</v>
      </c>
      <c r="U89" s="1058" t="s">
        <v>25</v>
      </c>
      <c r="V89" s="1025">
        <f>Table626893456[[#This Row],[Offer Value]]-Table626893456[[#This Row],[PO Value]]</f>
        <v>0</v>
      </c>
      <c r="W89" s="1058"/>
      <c r="X89" s="1062"/>
      <c r="Y89" s="1091"/>
      <c r="Z89" s="1077"/>
      <c r="AA89" s="1077"/>
    </row>
    <row r="90" spans="1:65" s="379" customFormat="1" ht="18">
      <c r="A90" s="1095">
        <v>34</v>
      </c>
      <c r="B90" s="1037"/>
      <c r="C90" s="1050" t="s">
        <v>749</v>
      </c>
      <c r="D90" s="1050" t="s">
        <v>133</v>
      </c>
      <c r="E90" s="1050" t="s">
        <v>277</v>
      </c>
      <c r="F90" s="1050" t="s">
        <v>813</v>
      </c>
      <c r="G90" s="1050">
        <v>8975397991</v>
      </c>
      <c r="H90" s="1031" t="s">
        <v>814</v>
      </c>
      <c r="I90" s="1050" t="s">
        <v>819</v>
      </c>
      <c r="J90" s="1050" t="s">
        <v>73</v>
      </c>
      <c r="K90" s="1050" t="s">
        <v>639</v>
      </c>
      <c r="L90" s="1050" t="s">
        <v>817</v>
      </c>
      <c r="M90" s="1080">
        <v>45717</v>
      </c>
      <c r="N90" s="1058">
        <v>72000</v>
      </c>
      <c r="O90" s="1058" t="s">
        <v>25</v>
      </c>
      <c r="P90" s="1058" t="s">
        <v>25</v>
      </c>
      <c r="Q90" s="1085">
        <v>1</v>
      </c>
      <c r="R90" s="1046">
        <v>2006637</v>
      </c>
      <c r="S90" s="1061">
        <v>45729</v>
      </c>
      <c r="T90" s="1058">
        <v>72000</v>
      </c>
      <c r="U90" s="1058" t="s">
        <v>25</v>
      </c>
      <c r="V90" s="1025">
        <f>Table626893456[[#This Row],[Offer Value]]-Table626893456[[#This Row],[PO Value]]</f>
        <v>0</v>
      </c>
      <c r="W90" s="1058"/>
      <c r="X90" s="1062"/>
      <c r="Y90" s="1063"/>
      <c r="Z90" s="1077"/>
      <c r="AA90" s="1077"/>
    </row>
    <row r="91" spans="1:65" s="379" customFormat="1" ht="18">
      <c r="A91" s="1030">
        <v>35</v>
      </c>
      <c r="B91" s="1037">
        <v>45717</v>
      </c>
      <c r="C91" s="1050" t="s">
        <v>711</v>
      </c>
      <c r="D91" s="1050" t="s">
        <v>304</v>
      </c>
      <c r="E91" s="1050" t="s">
        <v>820</v>
      </c>
      <c r="F91" s="1050" t="s">
        <v>821</v>
      </c>
      <c r="G91" s="1050">
        <v>8422085743</v>
      </c>
      <c r="H91" s="1031" t="s">
        <v>822</v>
      </c>
      <c r="I91" s="1050" t="s">
        <v>823</v>
      </c>
      <c r="J91" s="1050" t="s">
        <v>73</v>
      </c>
      <c r="K91" s="1050" t="s">
        <v>639</v>
      </c>
      <c r="L91" s="1050" t="s">
        <v>824</v>
      </c>
      <c r="M91" s="1080">
        <v>45721</v>
      </c>
      <c r="N91" s="1058">
        <v>58000</v>
      </c>
      <c r="O91" s="1058" t="s">
        <v>25</v>
      </c>
      <c r="P91" s="1058" t="s">
        <v>25</v>
      </c>
      <c r="Q91" s="1085">
        <v>1</v>
      </c>
      <c r="R91" s="1046">
        <v>3001030991</v>
      </c>
      <c r="S91" s="1061">
        <v>45719</v>
      </c>
      <c r="T91" s="1058">
        <v>58000</v>
      </c>
      <c r="U91" s="1058" t="s">
        <v>25</v>
      </c>
      <c r="V91" s="1025">
        <f>Table626893456[[#This Row],[Offer Value]]-Table626893456[[#This Row],[PO Value]]</f>
        <v>0</v>
      </c>
      <c r="W91" s="1058"/>
      <c r="X91" s="1062"/>
      <c r="Y91" s="1063"/>
      <c r="Z91" s="1077"/>
      <c r="AA91" s="1077"/>
    </row>
    <row r="92" spans="1:65" s="379" customFormat="1" ht="18">
      <c r="A92" s="1030">
        <v>35</v>
      </c>
      <c r="B92" s="1037"/>
      <c r="C92" s="1050" t="s">
        <v>711</v>
      </c>
      <c r="D92" s="1050" t="s">
        <v>304</v>
      </c>
      <c r="E92" s="1050" t="s">
        <v>820</v>
      </c>
      <c r="F92" s="1050" t="s">
        <v>821</v>
      </c>
      <c r="G92" s="1050">
        <v>8422085743</v>
      </c>
      <c r="H92" s="1031" t="s">
        <v>822</v>
      </c>
      <c r="I92" s="1050" t="s">
        <v>715</v>
      </c>
      <c r="J92" s="1050" t="s">
        <v>73</v>
      </c>
      <c r="K92" s="1050" t="s">
        <v>639</v>
      </c>
      <c r="L92" s="1050" t="s">
        <v>824</v>
      </c>
      <c r="M92" s="1080">
        <v>45721</v>
      </c>
      <c r="N92" s="1058">
        <v>58000</v>
      </c>
      <c r="O92" s="1058" t="s">
        <v>25</v>
      </c>
      <c r="P92" s="1058" t="s">
        <v>25</v>
      </c>
      <c r="Q92" s="1085">
        <v>1</v>
      </c>
      <c r="R92" s="1046">
        <v>3001030991</v>
      </c>
      <c r="S92" s="1073">
        <v>45719</v>
      </c>
      <c r="T92" s="1058">
        <v>58000</v>
      </c>
      <c r="U92" s="1058" t="s">
        <v>25</v>
      </c>
      <c r="V92" s="1025">
        <f>Table626893456[[#This Row],[Offer Value]]-Table626893456[[#This Row],[PO Value]]</f>
        <v>0</v>
      </c>
      <c r="W92" s="1058"/>
      <c r="X92" s="1062"/>
      <c r="Y92" s="1063"/>
      <c r="Z92" s="1077"/>
      <c r="AA92" s="1077"/>
    </row>
    <row r="93" spans="1:65" s="379" customFormat="1" ht="18">
      <c r="A93" s="1030">
        <v>36</v>
      </c>
      <c r="B93" s="1037">
        <v>45722</v>
      </c>
      <c r="C93" s="1050" t="s">
        <v>755</v>
      </c>
      <c r="D93" s="1050" t="s">
        <v>768</v>
      </c>
      <c r="E93" s="1050" t="s">
        <v>277</v>
      </c>
      <c r="F93" s="1035" t="s">
        <v>769</v>
      </c>
      <c r="G93" s="1035">
        <v>9822412607</v>
      </c>
      <c r="H93" s="1036" t="s">
        <v>770</v>
      </c>
      <c r="I93" s="1050" t="s">
        <v>825</v>
      </c>
      <c r="J93" s="1050" t="s">
        <v>73</v>
      </c>
      <c r="K93" s="1050" t="s">
        <v>639</v>
      </c>
      <c r="L93" s="1050" t="s">
        <v>826</v>
      </c>
      <c r="M93" s="1080">
        <v>45722</v>
      </c>
      <c r="N93" s="1058">
        <v>68000</v>
      </c>
      <c r="O93" s="1058" t="s">
        <v>25</v>
      </c>
      <c r="P93" s="1058" t="s">
        <v>30</v>
      </c>
      <c r="Q93" s="1085">
        <v>1</v>
      </c>
      <c r="R93" s="1067">
        <v>4507494931</v>
      </c>
      <c r="S93" s="1902">
        <v>45771</v>
      </c>
      <c r="T93" s="1058">
        <v>62000</v>
      </c>
      <c r="U93" s="1058" t="s">
        <v>30</v>
      </c>
      <c r="V93" s="1025">
        <v>0</v>
      </c>
      <c r="W93" s="1058"/>
      <c r="X93" s="1062"/>
      <c r="Y93" s="1063"/>
      <c r="Z93" s="1077"/>
      <c r="AA93" s="1077"/>
    </row>
    <row r="94" spans="1:65" s="388" customFormat="1" ht="18">
      <c r="A94" s="1030">
        <v>36</v>
      </c>
      <c r="B94" s="1058"/>
      <c r="C94" s="1050" t="s">
        <v>755</v>
      </c>
      <c r="D94" s="1050" t="s">
        <v>768</v>
      </c>
      <c r="E94" s="1050" t="s">
        <v>277</v>
      </c>
      <c r="F94" s="1035" t="s">
        <v>769</v>
      </c>
      <c r="G94" s="1035">
        <v>9822412607</v>
      </c>
      <c r="H94" s="1036" t="s">
        <v>770</v>
      </c>
      <c r="I94" s="1050" t="s">
        <v>827</v>
      </c>
      <c r="J94" s="1415" t="s">
        <v>73</v>
      </c>
      <c r="K94" s="1050" t="s">
        <v>639</v>
      </c>
      <c r="L94" s="1050" t="s">
        <v>826</v>
      </c>
      <c r="M94" s="1080">
        <v>45722</v>
      </c>
      <c r="N94" s="1058">
        <v>68000</v>
      </c>
      <c r="O94" s="1058" t="s">
        <v>25</v>
      </c>
      <c r="P94" s="1058" t="s">
        <v>30</v>
      </c>
      <c r="Q94" s="1085">
        <v>1</v>
      </c>
      <c r="R94" s="1067">
        <v>4507494931</v>
      </c>
      <c r="S94" s="1903">
        <v>45771</v>
      </c>
      <c r="T94" s="1058">
        <v>62000</v>
      </c>
      <c r="U94" s="1058" t="s">
        <v>30</v>
      </c>
      <c r="V94" s="1025">
        <v>0</v>
      </c>
      <c r="W94" s="1058"/>
      <c r="X94" s="1062"/>
      <c r="Y94" s="1063"/>
      <c r="Z94" s="1077"/>
      <c r="AA94" s="1077"/>
      <c r="AB94" s="379"/>
      <c r="AC94" s="379"/>
      <c r="AD94" s="379"/>
      <c r="AE94" s="379"/>
      <c r="AF94" s="379"/>
      <c r="AG94" s="379"/>
      <c r="AH94" s="379"/>
      <c r="AI94" s="379"/>
      <c r="AJ94" s="379"/>
      <c r="AK94" s="379"/>
      <c r="AL94" s="379"/>
      <c r="AM94" s="379"/>
      <c r="AN94" s="379"/>
      <c r="AO94" s="379"/>
      <c r="AP94" s="379"/>
      <c r="AQ94" s="379"/>
      <c r="AR94" s="379"/>
      <c r="AS94" s="379"/>
      <c r="AT94" s="379"/>
      <c r="AU94" s="379"/>
      <c r="AV94" s="379"/>
      <c r="AW94" s="379"/>
      <c r="AX94" s="379"/>
      <c r="AY94" s="379"/>
      <c r="AZ94" s="379"/>
      <c r="BA94" s="379"/>
      <c r="BB94" s="379"/>
      <c r="BC94" s="379"/>
      <c r="BD94" s="379"/>
      <c r="BE94" s="379"/>
      <c r="BF94" s="379"/>
      <c r="BG94" s="379"/>
      <c r="BH94" s="379"/>
      <c r="BI94" s="379"/>
      <c r="BJ94" s="379"/>
      <c r="BK94" s="379"/>
      <c r="BL94" s="379"/>
      <c r="BM94" s="379"/>
    </row>
    <row r="95" spans="1:65" s="379" customFormat="1" ht="18">
      <c r="A95" s="1030">
        <v>36</v>
      </c>
      <c r="B95" s="1037"/>
      <c r="C95" s="1050" t="s">
        <v>755</v>
      </c>
      <c r="D95" s="1050" t="s">
        <v>768</v>
      </c>
      <c r="E95" s="1050" t="s">
        <v>277</v>
      </c>
      <c r="F95" s="1035" t="s">
        <v>769</v>
      </c>
      <c r="G95" s="1035">
        <v>9822412607</v>
      </c>
      <c r="H95" s="1036" t="s">
        <v>770</v>
      </c>
      <c r="I95" s="1058" t="s">
        <v>771</v>
      </c>
      <c r="J95" s="1050" t="s">
        <v>73</v>
      </c>
      <c r="K95" s="1050" t="s">
        <v>639</v>
      </c>
      <c r="L95" s="1050" t="s">
        <v>826</v>
      </c>
      <c r="M95" s="1080">
        <v>45722</v>
      </c>
      <c r="N95" s="1058">
        <v>68000</v>
      </c>
      <c r="O95" s="1058" t="s">
        <v>25</v>
      </c>
      <c r="P95" s="1058" t="s">
        <v>30</v>
      </c>
      <c r="Q95" s="1085">
        <v>1</v>
      </c>
      <c r="R95" s="1067">
        <v>4507494931</v>
      </c>
      <c r="S95" s="1061">
        <v>45771</v>
      </c>
      <c r="T95" s="1058">
        <v>62000</v>
      </c>
      <c r="U95" s="1058" t="s">
        <v>30</v>
      </c>
      <c r="V95" s="1025">
        <v>0</v>
      </c>
      <c r="W95" s="1058"/>
      <c r="X95" s="1062"/>
      <c r="Y95" s="1063"/>
      <c r="Z95" s="1077"/>
      <c r="AA95" s="1077"/>
    </row>
    <row r="96" spans="1:65" s="379" customFormat="1" ht="18">
      <c r="A96" s="1030">
        <v>36</v>
      </c>
      <c r="B96" s="1037"/>
      <c r="C96" s="1050" t="s">
        <v>755</v>
      </c>
      <c r="D96" s="1050" t="s">
        <v>768</v>
      </c>
      <c r="E96" s="1050" t="s">
        <v>277</v>
      </c>
      <c r="F96" s="1035" t="s">
        <v>769</v>
      </c>
      <c r="G96" s="1035">
        <v>9822412607</v>
      </c>
      <c r="H96" s="1036" t="s">
        <v>770</v>
      </c>
      <c r="I96" s="1050" t="s">
        <v>828</v>
      </c>
      <c r="J96" s="1050" t="s">
        <v>73</v>
      </c>
      <c r="K96" s="1050" t="s">
        <v>639</v>
      </c>
      <c r="L96" s="1050" t="s">
        <v>826</v>
      </c>
      <c r="M96" s="1080">
        <v>45722</v>
      </c>
      <c r="N96" s="1058">
        <v>68000</v>
      </c>
      <c r="O96" s="1058" t="s">
        <v>25</v>
      </c>
      <c r="P96" s="1058" t="s">
        <v>30</v>
      </c>
      <c r="Q96" s="1085">
        <v>1</v>
      </c>
      <c r="R96" s="1067">
        <v>4507494931</v>
      </c>
      <c r="S96" s="1903">
        <v>45771</v>
      </c>
      <c r="T96" s="1058">
        <v>62000</v>
      </c>
      <c r="U96" s="1058" t="s">
        <v>30</v>
      </c>
      <c r="V96" s="1025">
        <v>0</v>
      </c>
      <c r="W96" s="1058"/>
      <c r="X96" s="1062"/>
      <c r="Y96" s="1063"/>
      <c r="Z96" s="1077"/>
      <c r="AA96" s="1077"/>
    </row>
    <row r="97" spans="1:27" s="379" customFormat="1" ht="18">
      <c r="A97" s="1030">
        <v>36</v>
      </c>
      <c r="B97" s="1037"/>
      <c r="C97" s="1050" t="s">
        <v>755</v>
      </c>
      <c r="D97" s="1050" t="s">
        <v>768</v>
      </c>
      <c r="E97" s="1050" t="s">
        <v>277</v>
      </c>
      <c r="F97" s="1035" t="s">
        <v>769</v>
      </c>
      <c r="G97" s="1035">
        <v>9822412607</v>
      </c>
      <c r="H97" s="1036" t="s">
        <v>770</v>
      </c>
      <c r="I97" s="1050" t="s">
        <v>829</v>
      </c>
      <c r="J97" s="1050" t="s">
        <v>73</v>
      </c>
      <c r="K97" s="1050" t="s">
        <v>639</v>
      </c>
      <c r="L97" s="1050" t="s">
        <v>826</v>
      </c>
      <c r="M97" s="1080">
        <v>45722</v>
      </c>
      <c r="N97" s="1058">
        <v>68000</v>
      </c>
      <c r="O97" s="1058" t="s">
        <v>25</v>
      </c>
      <c r="P97" s="1058" t="s">
        <v>30</v>
      </c>
      <c r="Q97" s="1085">
        <v>1</v>
      </c>
      <c r="R97" s="1067">
        <v>4507494931</v>
      </c>
      <c r="S97" s="1903">
        <v>45771</v>
      </c>
      <c r="T97" s="1058">
        <v>62000</v>
      </c>
      <c r="U97" s="1058" t="s">
        <v>30</v>
      </c>
      <c r="V97" s="1025">
        <v>0</v>
      </c>
      <c r="W97" s="1058"/>
      <c r="X97" s="1062"/>
      <c r="Y97" s="1063"/>
      <c r="Z97" s="1077"/>
      <c r="AA97" s="1077"/>
    </row>
    <row r="98" spans="1:27" s="379" customFormat="1" ht="18">
      <c r="A98" s="1030">
        <v>36</v>
      </c>
      <c r="B98" s="1037"/>
      <c r="C98" s="1050" t="s">
        <v>755</v>
      </c>
      <c r="D98" s="1050" t="s">
        <v>768</v>
      </c>
      <c r="E98" s="1050" t="s">
        <v>277</v>
      </c>
      <c r="F98" s="1035" t="s">
        <v>769</v>
      </c>
      <c r="G98" s="1035">
        <v>9822412607</v>
      </c>
      <c r="H98" s="1036" t="s">
        <v>770</v>
      </c>
      <c r="I98" s="1050" t="s">
        <v>830</v>
      </c>
      <c r="J98" s="1083" t="s">
        <v>73</v>
      </c>
      <c r="K98" s="1050" t="s">
        <v>639</v>
      </c>
      <c r="L98" s="1050" t="s">
        <v>826</v>
      </c>
      <c r="M98" s="1080">
        <v>45722</v>
      </c>
      <c r="N98" s="1058">
        <v>68000</v>
      </c>
      <c r="O98" s="1058" t="s">
        <v>25</v>
      </c>
      <c r="P98" s="1058" t="s">
        <v>30</v>
      </c>
      <c r="Q98" s="1085">
        <v>1</v>
      </c>
      <c r="R98" s="1067">
        <v>4507494931</v>
      </c>
      <c r="S98" s="1903">
        <v>45771</v>
      </c>
      <c r="T98" s="1058">
        <v>62000</v>
      </c>
      <c r="U98" s="1058" t="s">
        <v>30</v>
      </c>
      <c r="V98" s="1025">
        <v>0</v>
      </c>
      <c r="W98" s="1058"/>
      <c r="X98" s="1062"/>
      <c r="Y98" s="1063"/>
      <c r="Z98" s="1077"/>
      <c r="AA98" s="1077"/>
    </row>
    <row r="99" spans="1:27" s="379" customFormat="1" ht="18">
      <c r="A99" s="1030">
        <v>37</v>
      </c>
      <c r="B99" s="1037">
        <v>45729</v>
      </c>
      <c r="C99" s="1050" t="s">
        <v>634</v>
      </c>
      <c r="D99" s="1050" t="s">
        <v>133</v>
      </c>
      <c r="E99" s="1050" t="s">
        <v>277</v>
      </c>
      <c r="F99" s="1050" t="s">
        <v>831</v>
      </c>
      <c r="G99" s="1050"/>
      <c r="H99" s="1031" t="s">
        <v>832</v>
      </c>
      <c r="I99" s="1050" t="s">
        <v>833</v>
      </c>
      <c r="J99" s="1050" t="s">
        <v>73</v>
      </c>
      <c r="K99" s="1050" t="s">
        <v>639</v>
      </c>
      <c r="L99" s="1050" t="s">
        <v>834</v>
      </c>
      <c r="M99" s="1080">
        <v>45729</v>
      </c>
      <c r="N99" s="1058">
        <v>46000</v>
      </c>
      <c r="O99" s="1058" t="s">
        <v>25</v>
      </c>
      <c r="P99" s="1058" t="s">
        <v>28</v>
      </c>
      <c r="Q99" s="1085">
        <v>1</v>
      </c>
      <c r="R99" s="1046">
        <v>4512404840</v>
      </c>
      <c r="S99" s="1431">
        <v>45742</v>
      </c>
      <c r="T99" s="1058">
        <v>46000</v>
      </c>
      <c r="U99" s="1058" t="s">
        <v>25</v>
      </c>
      <c r="V99" s="1025">
        <f>Table626893456[[#This Row],[Offer Value]]-Table626893456[[#This Row],[PO Value]]</f>
        <v>0</v>
      </c>
      <c r="W99" s="1058"/>
      <c r="X99" s="1062"/>
      <c r="Y99" s="1063"/>
      <c r="Z99" s="1077"/>
      <c r="AA99" s="1077"/>
    </row>
    <row r="100" spans="1:27" s="379" customFormat="1" ht="18">
      <c r="A100" s="1095">
        <v>37</v>
      </c>
      <c r="B100" s="1037"/>
      <c r="C100" s="1050" t="s">
        <v>634</v>
      </c>
      <c r="D100" s="1050" t="s">
        <v>133</v>
      </c>
      <c r="E100" s="1050" t="s">
        <v>277</v>
      </c>
      <c r="F100" s="1050" t="s">
        <v>831</v>
      </c>
      <c r="G100" s="1050"/>
      <c r="H100" s="1031" t="s">
        <v>832</v>
      </c>
      <c r="I100" s="1050" t="s">
        <v>835</v>
      </c>
      <c r="J100" s="1050" t="s">
        <v>73</v>
      </c>
      <c r="K100" s="1050" t="s">
        <v>639</v>
      </c>
      <c r="L100" s="1050" t="s">
        <v>834</v>
      </c>
      <c r="M100" s="1080">
        <v>45729</v>
      </c>
      <c r="N100" s="1058">
        <v>46000</v>
      </c>
      <c r="O100" s="1058" t="s">
        <v>25</v>
      </c>
      <c r="P100" s="1058" t="s">
        <v>28</v>
      </c>
      <c r="Q100" s="1085">
        <v>1</v>
      </c>
      <c r="R100" s="1046">
        <v>4512404840</v>
      </c>
      <c r="S100" s="1431">
        <v>45742</v>
      </c>
      <c r="T100" s="1058">
        <v>46000</v>
      </c>
      <c r="U100" s="1058" t="s">
        <v>25</v>
      </c>
      <c r="V100" s="1025">
        <f>Table626893456[[#This Row],[Offer Value]]-Table626893456[[#This Row],[PO Value]]</f>
        <v>0</v>
      </c>
      <c r="W100" s="1058"/>
      <c r="X100" s="1062"/>
      <c r="Y100" s="1063"/>
      <c r="Z100" s="1077"/>
      <c r="AA100" s="1077"/>
    </row>
    <row r="101" spans="1:27" s="379" customFormat="1" ht="18">
      <c r="A101" s="1095">
        <v>38</v>
      </c>
      <c r="B101" s="1421">
        <v>45729</v>
      </c>
      <c r="C101" s="1071" t="s">
        <v>634</v>
      </c>
      <c r="D101" s="1071" t="s">
        <v>133</v>
      </c>
      <c r="E101" s="1071" t="s">
        <v>836</v>
      </c>
      <c r="F101" s="1071" t="s">
        <v>837</v>
      </c>
      <c r="G101" s="1071">
        <v>9922423997</v>
      </c>
      <c r="H101" s="1408" t="s">
        <v>838</v>
      </c>
      <c r="I101" s="1071" t="s">
        <v>839</v>
      </c>
      <c r="J101" s="1050" t="s">
        <v>73</v>
      </c>
      <c r="K101" s="1050" t="s">
        <v>639</v>
      </c>
      <c r="L101" s="1071" t="s">
        <v>840</v>
      </c>
      <c r="M101" s="1080">
        <v>45729</v>
      </c>
      <c r="N101" s="1058">
        <v>46000</v>
      </c>
      <c r="O101" s="1058" t="s">
        <v>25</v>
      </c>
      <c r="P101" s="1058" t="s">
        <v>28</v>
      </c>
      <c r="Q101" s="1085">
        <v>1</v>
      </c>
      <c r="R101" s="1429">
        <v>4512404853</v>
      </c>
      <c r="S101" s="1431">
        <v>45742</v>
      </c>
      <c r="T101" s="1432">
        <v>46000</v>
      </c>
      <c r="U101" s="1432" t="s">
        <v>25</v>
      </c>
      <c r="V101" s="1025">
        <f>Table626893456[[#This Row],[Offer Value]]-Table626893456[[#This Row],[PO Value]]</f>
        <v>0</v>
      </c>
      <c r="W101" s="1070"/>
      <c r="X101" s="1062"/>
      <c r="Y101" s="1422"/>
      <c r="Z101" s="1077"/>
      <c r="AA101" s="1077"/>
    </row>
    <row r="102" spans="1:27" s="379" customFormat="1" ht="18">
      <c r="A102" s="1095">
        <v>38</v>
      </c>
      <c r="B102" s="1421"/>
      <c r="C102" s="1423" t="s">
        <v>634</v>
      </c>
      <c r="D102" s="1423" t="s">
        <v>133</v>
      </c>
      <c r="E102" s="1423" t="s">
        <v>841</v>
      </c>
      <c r="F102" s="1423" t="s">
        <v>837</v>
      </c>
      <c r="G102" s="1423">
        <v>9922423997</v>
      </c>
      <c r="H102" s="1424" t="s">
        <v>838</v>
      </c>
      <c r="I102" s="1423" t="s">
        <v>842</v>
      </c>
      <c r="J102" s="1425" t="s">
        <v>73</v>
      </c>
      <c r="K102" s="1425" t="s">
        <v>639</v>
      </c>
      <c r="L102" s="1423" t="s">
        <v>840</v>
      </c>
      <c r="M102" s="1080">
        <v>45729</v>
      </c>
      <c r="N102" s="1058">
        <v>46000</v>
      </c>
      <c r="O102" s="1058" t="s">
        <v>25</v>
      </c>
      <c r="P102" s="1058" t="s">
        <v>28</v>
      </c>
      <c r="Q102" s="1085">
        <v>1</v>
      </c>
      <c r="R102" s="1430">
        <v>4512404853</v>
      </c>
      <c r="S102" s="1433">
        <v>45742</v>
      </c>
      <c r="T102" s="1434">
        <v>46000</v>
      </c>
      <c r="U102" s="1434" t="s">
        <v>25</v>
      </c>
      <c r="V102" s="1025">
        <f>Table626893456[[#This Row],[Offer Value]]-Table626893456[[#This Row],[PO Value]]</f>
        <v>0</v>
      </c>
      <c r="W102" s="1423"/>
      <c r="X102" s="1426"/>
      <c r="Y102" s="1427"/>
      <c r="Z102" s="1077"/>
      <c r="AA102" s="1077"/>
    </row>
    <row r="103" spans="1:27" s="389" customFormat="1" ht="18">
      <c r="A103" s="2041">
        <v>38</v>
      </c>
      <c r="B103" s="1037"/>
      <c r="C103" s="1050" t="s">
        <v>634</v>
      </c>
      <c r="D103" s="1050" t="s">
        <v>133</v>
      </c>
      <c r="E103" s="1050" t="s">
        <v>841</v>
      </c>
      <c r="F103" s="1050" t="s">
        <v>837</v>
      </c>
      <c r="G103" s="1050">
        <v>9922423997</v>
      </c>
      <c r="H103" s="1031" t="s">
        <v>838</v>
      </c>
      <c r="I103" s="1050" t="s">
        <v>843</v>
      </c>
      <c r="J103" s="1050" t="s">
        <v>73</v>
      </c>
      <c r="K103" s="1050" t="s">
        <v>639</v>
      </c>
      <c r="L103" s="1050" t="s">
        <v>840</v>
      </c>
      <c r="M103" s="1080">
        <v>45729</v>
      </c>
      <c r="N103" s="1058">
        <v>46000</v>
      </c>
      <c r="O103" s="1058" t="s">
        <v>25</v>
      </c>
      <c r="P103" s="1058" t="s">
        <v>28</v>
      </c>
      <c r="Q103" s="1085">
        <v>1</v>
      </c>
      <c r="R103" s="1046">
        <v>4512404853</v>
      </c>
      <c r="S103" s="1061">
        <v>45742</v>
      </c>
      <c r="T103" s="1058">
        <v>46000</v>
      </c>
      <c r="U103" s="1058" t="s">
        <v>25</v>
      </c>
      <c r="V103" s="1025">
        <f>Table626893456[[#This Row],[Offer Value]]-Table626893456[[#This Row],[PO Value]]</f>
        <v>0</v>
      </c>
      <c r="W103" s="1058"/>
      <c r="X103" s="1428"/>
      <c r="Y103" s="1063"/>
      <c r="Z103" s="1896"/>
      <c r="AA103" s="1896"/>
    </row>
    <row r="104" spans="1:27" s="379" customFormat="1" ht="18">
      <c r="A104" s="2041">
        <v>39</v>
      </c>
      <c r="B104" s="1037">
        <v>45729</v>
      </c>
      <c r="C104" s="1050" t="s">
        <v>755</v>
      </c>
      <c r="D104" s="1050" t="s">
        <v>756</v>
      </c>
      <c r="E104" s="1050" t="s">
        <v>277</v>
      </c>
      <c r="F104" s="1050" t="s">
        <v>757</v>
      </c>
      <c r="G104" s="1050">
        <v>8087766962</v>
      </c>
      <c r="H104" s="1031" t="s">
        <v>758</v>
      </c>
      <c r="I104" s="1050" t="s">
        <v>759</v>
      </c>
      <c r="J104" s="1050" t="s">
        <v>73</v>
      </c>
      <c r="K104" s="1050" t="s">
        <v>639</v>
      </c>
      <c r="L104" s="1050" t="s">
        <v>844</v>
      </c>
      <c r="M104" s="1080">
        <v>45730</v>
      </c>
      <c r="N104" s="1058">
        <v>68000</v>
      </c>
      <c r="O104" s="1058" t="s">
        <v>25</v>
      </c>
      <c r="P104" s="1058" t="s">
        <v>25</v>
      </c>
      <c r="Q104" s="1085">
        <v>1</v>
      </c>
      <c r="R104" s="1070">
        <v>4507449999</v>
      </c>
      <c r="S104" s="1384">
        <v>45742</v>
      </c>
      <c r="T104" s="1070">
        <v>67000</v>
      </c>
      <c r="U104" s="1385" t="s">
        <v>25</v>
      </c>
      <c r="V104" s="1025">
        <v>0</v>
      </c>
      <c r="W104" s="1058"/>
      <c r="X104" s="1062"/>
      <c r="Y104" s="1386"/>
      <c r="Z104" s="1077"/>
      <c r="AA104" s="1077"/>
    </row>
    <row r="105" spans="1:27" s="379" customFormat="1" ht="18">
      <c r="A105" s="2041">
        <v>40</v>
      </c>
      <c r="B105" s="1037">
        <v>45730</v>
      </c>
      <c r="C105" s="1050" t="s">
        <v>650</v>
      </c>
      <c r="D105" s="1050" t="s">
        <v>845</v>
      </c>
      <c r="E105" s="1050" t="s">
        <v>846</v>
      </c>
      <c r="F105" s="1050" t="s">
        <v>847</v>
      </c>
      <c r="G105" s="1050">
        <v>9975695729</v>
      </c>
      <c r="H105" s="1031" t="s">
        <v>848</v>
      </c>
      <c r="I105" s="1050" t="s">
        <v>849</v>
      </c>
      <c r="J105" s="1050" t="s">
        <v>73</v>
      </c>
      <c r="K105" s="1050" t="s">
        <v>639</v>
      </c>
      <c r="L105" s="1050" t="s">
        <v>850</v>
      </c>
      <c r="M105" s="1080">
        <v>45730</v>
      </c>
      <c r="N105" s="1058">
        <v>85000</v>
      </c>
      <c r="O105" s="1058" t="s">
        <v>25</v>
      </c>
      <c r="P105" s="1058" t="s">
        <v>34</v>
      </c>
      <c r="Q105" s="1085">
        <v>1</v>
      </c>
      <c r="R105" s="1046">
        <v>4601465639</v>
      </c>
      <c r="S105" s="1061">
        <v>45845</v>
      </c>
      <c r="T105" s="1058">
        <v>85000</v>
      </c>
      <c r="U105" s="1058" t="s">
        <v>37</v>
      </c>
      <c r="V105" s="1025">
        <v>0</v>
      </c>
      <c r="W105" s="1058"/>
      <c r="X105" s="1062"/>
      <c r="Y105" s="1881"/>
      <c r="Z105" s="1077"/>
      <c r="AA105" s="1077"/>
    </row>
    <row r="106" spans="1:27" s="379" customFormat="1" ht="18">
      <c r="A106" s="2041">
        <v>40</v>
      </c>
      <c r="B106" s="1037"/>
      <c r="C106" s="1050" t="s">
        <v>650</v>
      </c>
      <c r="D106" s="1050" t="s">
        <v>845</v>
      </c>
      <c r="E106" s="1050" t="s">
        <v>851</v>
      </c>
      <c r="F106" s="1050" t="s">
        <v>847</v>
      </c>
      <c r="G106" s="1050">
        <v>9975695729</v>
      </c>
      <c r="H106" s="1031" t="s">
        <v>848</v>
      </c>
      <c r="I106" s="1050" t="s">
        <v>852</v>
      </c>
      <c r="J106" s="1050" t="s">
        <v>73</v>
      </c>
      <c r="K106" s="1050" t="s">
        <v>639</v>
      </c>
      <c r="L106" s="1050" t="s">
        <v>850</v>
      </c>
      <c r="M106" s="1080">
        <v>45730</v>
      </c>
      <c r="N106" s="1058">
        <v>85000</v>
      </c>
      <c r="O106" s="1058" t="s">
        <v>25</v>
      </c>
      <c r="P106" s="1058" t="s">
        <v>34</v>
      </c>
      <c r="Q106" s="1085">
        <v>1</v>
      </c>
      <c r="R106" s="1046">
        <v>4601465628</v>
      </c>
      <c r="S106" s="1061">
        <v>45845</v>
      </c>
      <c r="T106" s="1058">
        <v>85000</v>
      </c>
      <c r="U106" s="1058" t="s">
        <v>37</v>
      </c>
      <c r="V106" s="1025">
        <v>0</v>
      </c>
      <c r="W106" s="1058"/>
      <c r="X106" s="1062"/>
      <c r="Y106" s="1386"/>
      <c r="Z106" s="1077"/>
      <c r="AA106" s="1077"/>
    </row>
    <row r="107" spans="1:27" s="380" customFormat="1" ht="18">
      <c r="A107" s="2041">
        <v>40</v>
      </c>
      <c r="B107" s="1037"/>
      <c r="C107" s="1050" t="s">
        <v>650</v>
      </c>
      <c r="D107" s="1050" t="s">
        <v>845</v>
      </c>
      <c r="E107" s="1050" t="s">
        <v>853</v>
      </c>
      <c r="F107" s="1050" t="s">
        <v>847</v>
      </c>
      <c r="G107" s="1050">
        <v>9975695729</v>
      </c>
      <c r="H107" s="1031" t="s">
        <v>848</v>
      </c>
      <c r="I107" s="1050" t="s">
        <v>854</v>
      </c>
      <c r="J107" s="1050" t="s">
        <v>73</v>
      </c>
      <c r="K107" s="1050" t="s">
        <v>639</v>
      </c>
      <c r="L107" s="1050" t="s">
        <v>850</v>
      </c>
      <c r="M107" s="1080">
        <v>45730</v>
      </c>
      <c r="N107" s="1058">
        <v>85000</v>
      </c>
      <c r="O107" s="1058" t="s">
        <v>25</v>
      </c>
      <c r="P107" s="1058" t="s">
        <v>34</v>
      </c>
      <c r="Q107" s="1085">
        <v>1</v>
      </c>
      <c r="R107" s="1046">
        <v>4601465566</v>
      </c>
      <c r="S107" s="1061">
        <v>45845</v>
      </c>
      <c r="T107" s="1058">
        <v>85000</v>
      </c>
      <c r="U107" s="1058" t="s">
        <v>37</v>
      </c>
      <c r="V107" s="1025">
        <v>0</v>
      </c>
      <c r="W107" s="1058"/>
      <c r="X107" s="1062"/>
      <c r="Y107" s="1386"/>
      <c r="Z107" s="1077"/>
      <c r="AA107" s="1077"/>
    </row>
    <row r="108" spans="1:27" s="379" customFormat="1" ht="18">
      <c r="A108" s="2041">
        <v>41</v>
      </c>
      <c r="B108" s="1037">
        <v>45733</v>
      </c>
      <c r="C108" s="1071" t="s">
        <v>634</v>
      </c>
      <c r="D108" s="1071" t="s">
        <v>133</v>
      </c>
      <c r="E108" s="1071" t="s">
        <v>855</v>
      </c>
      <c r="F108" s="1071" t="s">
        <v>856</v>
      </c>
      <c r="G108" s="1071">
        <v>9822696069</v>
      </c>
      <c r="H108" s="1408" t="s">
        <v>857</v>
      </c>
      <c r="I108" s="1071" t="s">
        <v>858</v>
      </c>
      <c r="J108" s="1050" t="s">
        <v>73</v>
      </c>
      <c r="K108" s="1050" t="s">
        <v>639</v>
      </c>
      <c r="L108" s="1409" t="s">
        <v>859</v>
      </c>
      <c r="M108" s="1410">
        <v>45733</v>
      </c>
      <c r="N108" s="1058">
        <v>46000</v>
      </c>
      <c r="O108" s="1058" t="s">
        <v>25</v>
      </c>
      <c r="P108" s="1058" t="s">
        <v>25</v>
      </c>
      <c r="Q108" s="1411">
        <v>1</v>
      </c>
      <c r="R108" s="1419">
        <v>4512404825</v>
      </c>
      <c r="S108" s="1420">
        <v>45742</v>
      </c>
      <c r="T108" s="1058">
        <v>46000</v>
      </c>
      <c r="U108" s="1071" t="s">
        <v>25</v>
      </c>
      <c r="V108" s="1025">
        <f>Table626893456[[#This Row],[Offer Value]]-Table626893456[[#This Row],[PO Value]]</f>
        <v>0</v>
      </c>
      <c r="W108" s="1071"/>
      <c r="X108" s="1412"/>
      <c r="Y108" s="1413"/>
      <c r="Z108" s="1077"/>
      <c r="AA108" s="1077"/>
    </row>
    <row r="109" spans="1:27" s="389" customFormat="1" ht="18.600000000000001" customHeight="1">
      <c r="A109" s="2041">
        <v>41</v>
      </c>
      <c r="B109" s="1414"/>
      <c r="C109" s="1071" t="s">
        <v>634</v>
      </c>
      <c r="D109" s="1071" t="s">
        <v>133</v>
      </c>
      <c r="E109" s="1071" t="s">
        <v>855</v>
      </c>
      <c r="F109" s="1071" t="s">
        <v>856</v>
      </c>
      <c r="G109" s="1071">
        <v>9822696069</v>
      </c>
      <c r="H109" s="1031" t="s">
        <v>857</v>
      </c>
      <c r="I109" s="1415" t="s">
        <v>860</v>
      </c>
      <c r="J109" s="1415" t="s">
        <v>73</v>
      </c>
      <c r="K109" s="1415" t="s">
        <v>639</v>
      </c>
      <c r="L109" s="1416" t="s">
        <v>859</v>
      </c>
      <c r="M109" s="1417">
        <v>45733</v>
      </c>
      <c r="N109" s="1058">
        <v>46000</v>
      </c>
      <c r="O109" s="1418" t="s">
        <v>25</v>
      </c>
      <c r="P109" s="1418" t="s">
        <v>25</v>
      </c>
      <c r="Q109" s="1085">
        <v>1</v>
      </c>
      <c r="R109" s="1419">
        <v>4512404825</v>
      </c>
      <c r="S109" s="1420">
        <v>45742</v>
      </c>
      <c r="T109" s="1058">
        <v>46000</v>
      </c>
      <c r="U109" s="1418" t="s">
        <v>25</v>
      </c>
      <c r="V109" s="1025">
        <f>Table626893456[[#This Row],[Offer Value]]-Table626893456[[#This Row],[PO Value]]</f>
        <v>0</v>
      </c>
      <c r="W109" s="1418"/>
      <c r="X109" s="1062"/>
      <c r="Y109" s="1386"/>
      <c r="Z109" s="1896"/>
      <c r="AA109" s="1896"/>
    </row>
    <row r="110" spans="1:27" s="379" customFormat="1" ht="18">
      <c r="A110" s="2041">
        <v>42</v>
      </c>
      <c r="B110" s="1037">
        <v>45733</v>
      </c>
      <c r="C110" s="1050" t="s">
        <v>634</v>
      </c>
      <c r="D110" s="1050" t="s">
        <v>133</v>
      </c>
      <c r="E110" s="1050" t="s">
        <v>861</v>
      </c>
      <c r="F110" s="1050" t="s">
        <v>862</v>
      </c>
      <c r="G110" s="1050">
        <v>9881028664</v>
      </c>
      <c r="H110" s="1031" t="s">
        <v>863</v>
      </c>
      <c r="I110" s="1050" t="s">
        <v>864</v>
      </c>
      <c r="J110" s="1050" t="s">
        <v>73</v>
      </c>
      <c r="K110" s="1050" t="s">
        <v>685</v>
      </c>
      <c r="L110" s="1050" t="s">
        <v>865</v>
      </c>
      <c r="M110" s="1080" t="s">
        <v>866</v>
      </c>
      <c r="N110" s="1058">
        <v>46000</v>
      </c>
      <c r="O110" s="1058" t="s">
        <v>25</v>
      </c>
      <c r="P110" s="1058" t="s">
        <v>28</v>
      </c>
      <c r="Q110" s="1085">
        <v>1</v>
      </c>
      <c r="R110" s="1046">
        <v>4512433191</v>
      </c>
      <c r="S110" s="1061">
        <v>45749</v>
      </c>
      <c r="T110" s="1058">
        <v>46000</v>
      </c>
      <c r="U110" s="1058" t="s">
        <v>28</v>
      </c>
      <c r="V110" s="1025">
        <f>Table626893456[[#This Row],[Offer Value]]-Table626893456[[#This Row],[PO Value]]</f>
        <v>0</v>
      </c>
      <c r="W110" s="1058"/>
      <c r="X110" s="1062"/>
      <c r="Y110" s="1063"/>
      <c r="Z110" s="1077"/>
      <c r="AA110" s="1077"/>
    </row>
    <row r="111" spans="1:27" s="379" customFormat="1" ht="29.4">
      <c r="A111" s="1030">
        <v>43</v>
      </c>
      <c r="B111" s="1037">
        <v>45728</v>
      </c>
      <c r="C111" s="1050" t="s">
        <v>867</v>
      </c>
      <c r="D111" s="1050" t="s">
        <v>868</v>
      </c>
      <c r="E111" s="1050" t="s">
        <v>153</v>
      </c>
      <c r="F111" s="1050" t="s">
        <v>869</v>
      </c>
      <c r="G111" s="1050">
        <v>7350995364</v>
      </c>
      <c r="H111" s="1031" t="s">
        <v>870</v>
      </c>
      <c r="I111" s="1050" t="s">
        <v>871</v>
      </c>
      <c r="J111" s="1050" t="s">
        <v>75</v>
      </c>
      <c r="K111" s="1050" t="s">
        <v>685</v>
      </c>
      <c r="L111" s="1050" t="s">
        <v>872</v>
      </c>
      <c r="M111" s="1080">
        <v>45728</v>
      </c>
      <c r="N111" s="1058">
        <v>238122</v>
      </c>
      <c r="O111" s="1058" t="s">
        <v>25</v>
      </c>
      <c r="P111" s="1058" t="s">
        <v>25</v>
      </c>
      <c r="Q111" s="1085">
        <v>1</v>
      </c>
      <c r="R111" s="1046">
        <v>4400209383</v>
      </c>
      <c r="S111" s="1061">
        <v>45741</v>
      </c>
      <c r="T111" s="1058">
        <v>222000</v>
      </c>
      <c r="U111" s="1058" t="s">
        <v>25</v>
      </c>
      <c r="V111" s="1025">
        <v>0</v>
      </c>
      <c r="W111" s="1058"/>
      <c r="X111" s="1062"/>
      <c r="Y111" s="1063"/>
      <c r="Z111" s="1077"/>
      <c r="AA111" s="1077"/>
    </row>
    <row r="112" spans="1:27" s="379" customFormat="1" ht="18">
      <c r="A112" s="1340">
        <v>44</v>
      </c>
      <c r="B112" s="1341">
        <v>45723</v>
      </c>
      <c r="C112" s="1342" t="s">
        <v>600</v>
      </c>
      <c r="D112" s="1342" t="s">
        <v>601</v>
      </c>
      <c r="E112" s="1342" t="s">
        <v>873</v>
      </c>
      <c r="F112" s="1342" t="s">
        <v>874</v>
      </c>
      <c r="G112" s="1342">
        <v>9881235724</v>
      </c>
      <c r="H112" s="1343" t="s">
        <v>875</v>
      </c>
      <c r="I112" s="1342" t="s">
        <v>876</v>
      </c>
      <c r="J112" s="1342" t="s">
        <v>77</v>
      </c>
      <c r="K112" s="1342" t="s">
        <v>639</v>
      </c>
      <c r="L112" s="1342" t="s">
        <v>877</v>
      </c>
      <c r="M112" s="1344">
        <v>45723</v>
      </c>
      <c r="N112" s="1345">
        <v>365000</v>
      </c>
      <c r="O112" s="1345" t="s">
        <v>25</v>
      </c>
      <c r="P112" s="1345" t="s">
        <v>49</v>
      </c>
      <c r="Q112" s="1346">
        <v>1</v>
      </c>
      <c r="R112" s="1347" t="s">
        <v>878</v>
      </c>
      <c r="S112" s="1348">
        <v>45404</v>
      </c>
      <c r="T112" s="1345">
        <v>360000</v>
      </c>
      <c r="U112" s="1345" t="s">
        <v>49</v>
      </c>
      <c r="V112" s="1349">
        <v>0</v>
      </c>
      <c r="W112" s="1345"/>
      <c r="X112" s="1350"/>
      <c r="Y112" s="1351"/>
      <c r="Z112" s="1352"/>
      <c r="AA112" s="1352"/>
    </row>
    <row r="113" spans="1:27" s="379" customFormat="1" ht="18">
      <c r="A113" s="1030">
        <v>45</v>
      </c>
      <c r="B113" s="1037">
        <v>45740</v>
      </c>
      <c r="C113" s="1050" t="s">
        <v>634</v>
      </c>
      <c r="D113" s="1050" t="s">
        <v>133</v>
      </c>
      <c r="E113" s="1050" t="s">
        <v>777</v>
      </c>
      <c r="F113" s="1050" t="s">
        <v>778</v>
      </c>
      <c r="G113" s="1050">
        <v>9860084043</v>
      </c>
      <c r="H113" s="1031" t="s">
        <v>779</v>
      </c>
      <c r="I113" s="1050">
        <v>136391</v>
      </c>
      <c r="J113" s="1050" t="s">
        <v>73</v>
      </c>
      <c r="K113" s="1050" t="s">
        <v>639</v>
      </c>
      <c r="L113" s="1050" t="s">
        <v>879</v>
      </c>
      <c r="M113" s="1080">
        <v>45740</v>
      </c>
      <c r="N113" s="1058">
        <v>269660</v>
      </c>
      <c r="O113" s="1058" t="s">
        <v>25</v>
      </c>
      <c r="P113" s="1058" t="s">
        <v>28</v>
      </c>
      <c r="Q113" s="1085">
        <v>1</v>
      </c>
      <c r="R113" s="1046">
        <v>4512439844</v>
      </c>
      <c r="S113" s="1061">
        <v>45750</v>
      </c>
      <c r="T113" s="1058">
        <v>269660</v>
      </c>
      <c r="U113" s="1058" t="s">
        <v>28</v>
      </c>
      <c r="V113" s="1025">
        <f>Table626893456[[#This Row],[Offer Value]]-Table626893456[[#This Row],[PO Value]]</f>
        <v>0</v>
      </c>
      <c r="W113" s="1058"/>
      <c r="X113" s="1062"/>
      <c r="Y113" s="1063"/>
      <c r="Z113" s="1077"/>
      <c r="AA113" s="1077"/>
    </row>
    <row r="114" spans="1:27" s="379" customFormat="1" ht="18">
      <c r="A114" s="1030">
        <v>46</v>
      </c>
      <c r="B114" s="1037">
        <v>45741</v>
      </c>
      <c r="C114" s="1050" t="s">
        <v>749</v>
      </c>
      <c r="D114" s="1050" t="s">
        <v>133</v>
      </c>
      <c r="E114" s="1050" t="s">
        <v>880</v>
      </c>
      <c r="F114" s="1050" t="s">
        <v>813</v>
      </c>
      <c r="G114" s="1050">
        <v>8975397991</v>
      </c>
      <c r="H114" s="1031" t="s">
        <v>814</v>
      </c>
      <c r="I114" s="1050" t="s">
        <v>752</v>
      </c>
      <c r="J114" s="1050" t="s">
        <v>74</v>
      </c>
      <c r="K114" s="1050" t="s">
        <v>685</v>
      </c>
      <c r="L114" s="1462" t="s">
        <v>881</v>
      </c>
      <c r="M114" s="1080">
        <v>45740</v>
      </c>
      <c r="N114" s="1058">
        <v>146990</v>
      </c>
      <c r="O114" s="1058" t="s">
        <v>25</v>
      </c>
      <c r="P114" s="1058" t="s">
        <v>28</v>
      </c>
      <c r="Q114" s="1085">
        <v>1</v>
      </c>
      <c r="R114" s="1046">
        <v>2007022</v>
      </c>
      <c r="S114" s="1061">
        <v>45748</v>
      </c>
      <c r="T114" s="1058">
        <v>285160</v>
      </c>
      <c r="U114" s="1058" t="s">
        <v>28</v>
      </c>
      <c r="V114" s="1025">
        <v>0</v>
      </c>
      <c r="W114" s="1058"/>
      <c r="X114" s="1062"/>
      <c r="Y114" s="1063"/>
      <c r="Z114" s="1077"/>
      <c r="AA114" s="1077"/>
    </row>
    <row r="115" spans="1:27" s="379" customFormat="1" ht="18">
      <c r="A115" s="1030">
        <v>47</v>
      </c>
      <c r="B115" s="1037">
        <v>45741</v>
      </c>
      <c r="C115" s="1050" t="s">
        <v>600</v>
      </c>
      <c r="D115" s="1050" t="s">
        <v>601</v>
      </c>
      <c r="E115" s="1050" t="s">
        <v>882</v>
      </c>
      <c r="F115" s="1050" t="s">
        <v>883</v>
      </c>
      <c r="G115" s="1050">
        <v>19003779</v>
      </c>
      <c r="H115" s="1031" t="s">
        <v>884</v>
      </c>
      <c r="I115" s="1050" t="s">
        <v>885</v>
      </c>
      <c r="J115" s="1050" t="s">
        <v>73</v>
      </c>
      <c r="K115" s="1050" t="s">
        <v>639</v>
      </c>
      <c r="L115" s="1050" t="s">
        <v>886</v>
      </c>
      <c r="M115" s="1080">
        <v>45656</v>
      </c>
      <c r="N115" s="1058">
        <v>80000</v>
      </c>
      <c r="O115" s="1058" t="s">
        <v>25</v>
      </c>
      <c r="P115" s="1058" t="s">
        <v>28</v>
      </c>
      <c r="Q115" s="1085">
        <v>1</v>
      </c>
      <c r="R115" s="1046" t="s">
        <v>887</v>
      </c>
      <c r="S115" s="1061">
        <v>45750</v>
      </c>
      <c r="T115" s="1058">
        <v>80000</v>
      </c>
      <c r="U115" s="1058" t="s">
        <v>28</v>
      </c>
      <c r="V115" s="1025">
        <f>Table626893456[[#This Row],[Offer Value]]-Table626893456[[#This Row],[PO Value]]</f>
        <v>0</v>
      </c>
      <c r="W115" s="1058"/>
      <c r="X115" s="1062"/>
      <c r="Y115" s="1063"/>
      <c r="Z115" s="1077"/>
      <c r="AA115" s="1077"/>
    </row>
    <row r="116" spans="1:27" s="379" customFormat="1" ht="29.4">
      <c r="A116" s="1030">
        <v>48</v>
      </c>
      <c r="B116" s="1037">
        <v>45772</v>
      </c>
      <c r="C116" s="1050" t="s">
        <v>173</v>
      </c>
      <c r="D116" s="1050" t="s">
        <v>133</v>
      </c>
      <c r="E116" s="1050" t="s">
        <v>277</v>
      </c>
      <c r="F116" s="1035" t="s">
        <v>719</v>
      </c>
      <c r="G116" s="1035">
        <v>9890500449</v>
      </c>
      <c r="H116" s="1036" t="s">
        <v>720</v>
      </c>
      <c r="I116" s="1050" t="s">
        <v>721</v>
      </c>
      <c r="J116" s="1050" t="s">
        <v>83</v>
      </c>
      <c r="K116" s="1050" t="s">
        <v>685</v>
      </c>
      <c r="L116" s="1050" t="s">
        <v>888</v>
      </c>
      <c r="M116" s="1080">
        <v>45567</v>
      </c>
      <c r="N116" s="1058">
        <v>1153400</v>
      </c>
      <c r="O116" s="1058" t="s">
        <v>28</v>
      </c>
      <c r="P116" s="1058" t="s">
        <v>28</v>
      </c>
      <c r="Q116" s="1085">
        <v>1</v>
      </c>
      <c r="R116" s="1046">
        <v>7210030994</v>
      </c>
      <c r="S116" s="1061">
        <v>45722</v>
      </c>
      <c r="T116" s="1058">
        <v>1095730</v>
      </c>
      <c r="U116" s="1058" t="s">
        <v>28</v>
      </c>
      <c r="V116" s="1025">
        <v>0</v>
      </c>
      <c r="W116" s="1058"/>
      <c r="X116" s="1062"/>
      <c r="Y116" s="1063"/>
      <c r="Z116" s="1077" t="s">
        <v>157</v>
      </c>
      <c r="AA116" s="1077" t="s">
        <v>208</v>
      </c>
    </row>
    <row r="117" spans="1:27" s="379" customFormat="1" ht="29.4">
      <c r="A117" s="1030">
        <v>49</v>
      </c>
      <c r="B117" s="1037">
        <v>45756</v>
      </c>
      <c r="C117" s="1050" t="s">
        <v>889</v>
      </c>
      <c r="D117" s="1050" t="s">
        <v>133</v>
      </c>
      <c r="E117" s="1050" t="s">
        <v>277</v>
      </c>
      <c r="F117" s="1050" t="s">
        <v>890</v>
      </c>
      <c r="G117" s="1050">
        <v>9907829409</v>
      </c>
      <c r="H117" s="1031" t="s">
        <v>891</v>
      </c>
      <c r="I117" s="1050" t="s">
        <v>892</v>
      </c>
      <c r="J117" s="1050" t="s">
        <v>77</v>
      </c>
      <c r="K117" s="1050" t="s">
        <v>639</v>
      </c>
      <c r="L117" s="1050" t="s">
        <v>893</v>
      </c>
      <c r="M117" s="1080">
        <v>45756</v>
      </c>
      <c r="N117" s="1058">
        <v>395000</v>
      </c>
      <c r="O117" s="1058" t="s">
        <v>28</v>
      </c>
      <c r="P117" s="1058" t="s">
        <v>34</v>
      </c>
      <c r="Q117" s="1085">
        <v>1</v>
      </c>
      <c r="R117" s="1058">
        <v>4503772757</v>
      </c>
      <c r="S117" s="1037">
        <v>45817</v>
      </c>
      <c r="T117" s="1058">
        <v>380000</v>
      </c>
      <c r="U117" s="1058" t="s">
        <v>34</v>
      </c>
      <c r="V117" s="1025">
        <v>0</v>
      </c>
      <c r="W117" s="1058"/>
      <c r="X117" s="1062"/>
      <c r="Y117" s="1063"/>
      <c r="Z117" s="1077"/>
      <c r="AA117" s="1077"/>
    </row>
    <row r="118" spans="1:27" s="379" customFormat="1" ht="18">
      <c r="A118" s="1030">
        <v>50</v>
      </c>
      <c r="B118" s="1037">
        <v>45776</v>
      </c>
      <c r="C118" s="1050" t="s">
        <v>634</v>
      </c>
      <c r="D118" s="1050" t="s">
        <v>133</v>
      </c>
      <c r="E118" s="1050" t="s">
        <v>777</v>
      </c>
      <c r="F118" s="1050" t="s">
        <v>778</v>
      </c>
      <c r="G118" s="1050">
        <v>9860084043</v>
      </c>
      <c r="H118" s="1031" t="s">
        <v>779</v>
      </c>
      <c r="I118" s="1050" t="s">
        <v>780</v>
      </c>
      <c r="J118" s="1050" t="s">
        <v>74</v>
      </c>
      <c r="K118" s="1050" t="s">
        <v>639</v>
      </c>
      <c r="L118" s="1050" t="s">
        <v>894</v>
      </c>
      <c r="M118" s="1080">
        <v>45776</v>
      </c>
      <c r="N118" s="1058">
        <v>255000</v>
      </c>
      <c r="O118" s="1058" t="s">
        <v>28</v>
      </c>
      <c r="P118" s="1058" t="s">
        <v>30</v>
      </c>
      <c r="Q118" s="1085">
        <v>1</v>
      </c>
      <c r="R118" s="1058">
        <v>4512581674</v>
      </c>
      <c r="S118" s="1037">
        <v>45785</v>
      </c>
      <c r="T118" s="1058">
        <v>247350</v>
      </c>
      <c r="U118" s="1058" t="s">
        <v>30</v>
      </c>
      <c r="V118" s="1025">
        <v>0</v>
      </c>
      <c r="W118" s="1058"/>
      <c r="X118" s="1062"/>
      <c r="Y118" s="1063"/>
      <c r="Z118" s="1077"/>
      <c r="AA118" s="1077"/>
    </row>
    <row r="119" spans="1:27" s="388" customFormat="1" ht="18">
      <c r="A119" s="1030">
        <v>51</v>
      </c>
      <c r="B119" s="1037">
        <v>45776</v>
      </c>
      <c r="C119" s="1058" t="s">
        <v>687</v>
      </c>
      <c r="D119" s="1058" t="s">
        <v>304</v>
      </c>
      <c r="E119" s="1058" t="s">
        <v>895</v>
      </c>
      <c r="F119" s="1058" t="s">
        <v>896</v>
      </c>
      <c r="G119" s="1058">
        <v>9819509486</v>
      </c>
      <c r="H119" s="1408" t="s">
        <v>897</v>
      </c>
      <c r="I119" s="1058" t="s">
        <v>898</v>
      </c>
      <c r="J119" s="1046" t="s">
        <v>75</v>
      </c>
      <c r="K119" s="1046" t="s">
        <v>685</v>
      </c>
      <c r="L119" s="1050" t="s">
        <v>899</v>
      </c>
      <c r="M119" s="1080">
        <v>45776</v>
      </c>
      <c r="N119" s="1058">
        <v>1120351</v>
      </c>
      <c r="O119" s="1058" t="s">
        <v>28</v>
      </c>
      <c r="P119" s="1058" t="s">
        <v>34</v>
      </c>
      <c r="Q119" s="1085">
        <v>1</v>
      </c>
      <c r="R119" s="1046">
        <v>4513539130</v>
      </c>
      <c r="S119" s="1061">
        <v>45825</v>
      </c>
      <c r="T119" s="1058">
        <v>1164160</v>
      </c>
      <c r="U119" s="1058" t="s">
        <v>34</v>
      </c>
      <c r="V119" s="1025">
        <v>0</v>
      </c>
      <c r="W119" s="1058"/>
      <c r="X119" s="1062"/>
      <c r="Y119" s="1063"/>
      <c r="Z119" s="1077" t="s">
        <v>157</v>
      </c>
      <c r="AA119" s="1077" t="s">
        <v>208</v>
      </c>
    </row>
    <row r="120" spans="1:27" s="379" customFormat="1" ht="29.4">
      <c r="A120" s="1030">
        <v>52</v>
      </c>
      <c r="B120" s="1037">
        <v>45776</v>
      </c>
      <c r="C120" s="1058" t="s">
        <v>687</v>
      </c>
      <c r="D120" s="1058" t="s">
        <v>304</v>
      </c>
      <c r="E120" s="1058" t="s">
        <v>895</v>
      </c>
      <c r="F120" s="1058" t="s">
        <v>896</v>
      </c>
      <c r="G120" s="1058">
        <v>9819509486</v>
      </c>
      <c r="H120" s="1408" t="s">
        <v>897</v>
      </c>
      <c r="I120" s="1058" t="s">
        <v>900</v>
      </c>
      <c r="J120" s="1046" t="s">
        <v>83</v>
      </c>
      <c r="K120" s="1046" t="s">
        <v>685</v>
      </c>
      <c r="L120" s="1050" t="s">
        <v>901</v>
      </c>
      <c r="M120" s="1080">
        <v>45776</v>
      </c>
      <c r="N120" s="1058">
        <v>504980</v>
      </c>
      <c r="O120" s="1058" t="s">
        <v>28</v>
      </c>
      <c r="P120" s="1058" t="s">
        <v>34</v>
      </c>
      <c r="Q120" s="1085">
        <v>1</v>
      </c>
      <c r="R120" s="1046">
        <v>4513551713</v>
      </c>
      <c r="S120" s="1061">
        <v>45834</v>
      </c>
      <c r="T120" s="1058">
        <v>473960</v>
      </c>
      <c r="U120" s="1058" t="s">
        <v>34</v>
      </c>
      <c r="V120" s="1025">
        <v>0</v>
      </c>
      <c r="W120" s="1058"/>
      <c r="X120" s="1062"/>
      <c r="Y120" s="1063"/>
      <c r="Z120" s="1077" t="s">
        <v>157</v>
      </c>
      <c r="AA120" s="1077" t="s">
        <v>208</v>
      </c>
    </row>
    <row r="121" spans="1:27" s="379" customFormat="1" ht="18">
      <c r="A121" s="1030">
        <v>53</v>
      </c>
      <c r="B121" s="1037">
        <v>45789</v>
      </c>
      <c r="C121" s="1425" t="s">
        <v>902</v>
      </c>
      <c r="D121" s="1425" t="s">
        <v>133</v>
      </c>
      <c r="E121" s="1425" t="s">
        <v>277</v>
      </c>
      <c r="F121" s="1425" t="s">
        <v>903</v>
      </c>
      <c r="G121" s="1425"/>
      <c r="H121" s="1904" t="s">
        <v>904</v>
      </c>
      <c r="I121" s="1425" t="s">
        <v>905</v>
      </c>
      <c r="J121" s="1425" t="s">
        <v>75</v>
      </c>
      <c r="K121" s="1425" t="s">
        <v>685</v>
      </c>
      <c r="L121" s="1050" t="s">
        <v>906</v>
      </c>
      <c r="M121" s="1080">
        <v>45789</v>
      </c>
      <c r="N121" s="1058">
        <v>532152</v>
      </c>
      <c r="O121" s="1883" t="s">
        <v>30</v>
      </c>
      <c r="P121" s="1883" t="s">
        <v>30</v>
      </c>
      <c r="Q121" s="1882">
        <v>1</v>
      </c>
      <c r="R121" s="1046">
        <v>64633</v>
      </c>
      <c r="S121" s="1061">
        <v>45799</v>
      </c>
      <c r="T121" s="1883">
        <v>210000</v>
      </c>
      <c r="U121" s="1883" t="s">
        <v>30</v>
      </c>
      <c r="V121" s="1025">
        <v>0</v>
      </c>
      <c r="W121" s="1058"/>
      <c r="X121" s="1062"/>
      <c r="Y121" s="1063"/>
      <c r="Z121" s="1077" t="s">
        <v>157</v>
      </c>
      <c r="AA121" s="1077" t="s">
        <v>157</v>
      </c>
    </row>
    <row r="122" spans="1:27" s="379" customFormat="1" ht="18">
      <c r="A122" s="1030">
        <v>54</v>
      </c>
      <c r="B122" s="1037">
        <v>45789</v>
      </c>
      <c r="C122" s="1050" t="s">
        <v>625</v>
      </c>
      <c r="D122" s="1050" t="s">
        <v>133</v>
      </c>
      <c r="E122" s="1033" t="s">
        <v>153</v>
      </c>
      <c r="F122" s="1033" t="s">
        <v>627</v>
      </c>
      <c r="G122" s="1033">
        <v>7774083585</v>
      </c>
      <c r="H122" s="1032" t="s">
        <v>628</v>
      </c>
      <c r="I122" s="1033" t="s">
        <v>633</v>
      </c>
      <c r="J122" s="1083" t="s">
        <v>75</v>
      </c>
      <c r="K122" s="1033" t="s">
        <v>157</v>
      </c>
      <c r="L122" s="1050" t="s">
        <v>907</v>
      </c>
      <c r="M122" s="1080">
        <v>45789</v>
      </c>
      <c r="N122" s="1058">
        <v>265652</v>
      </c>
      <c r="O122" s="1058" t="s">
        <v>30</v>
      </c>
      <c r="P122" s="1058" t="s">
        <v>34</v>
      </c>
      <c r="Q122" s="1882">
        <v>1</v>
      </c>
      <c r="R122" s="1046">
        <v>10093038</v>
      </c>
      <c r="S122" s="1061">
        <v>45832</v>
      </c>
      <c r="T122" s="1883">
        <v>246524</v>
      </c>
      <c r="U122" s="1883" t="s">
        <v>34</v>
      </c>
      <c r="V122" s="1025">
        <f>Table626893456[[#This Row],[Offer Value]]-Table626893456[[#This Row],[PO Value]]</f>
        <v>19128</v>
      </c>
      <c r="W122" s="1058"/>
      <c r="X122" s="1062"/>
      <c r="Y122" s="1063"/>
      <c r="Z122" s="1077"/>
      <c r="AA122" s="1077"/>
    </row>
    <row r="123" spans="1:27" s="379" customFormat="1" ht="18">
      <c r="A123" s="1030">
        <v>55</v>
      </c>
      <c r="B123" s="1037">
        <v>45756</v>
      </c>
      <c r="C123" s="1050" t="s">
        <v>444</v>
      </c>
      <c r="D123" s="1050" t="s">
        <v>133</v>
      </c>
      <c r="E123" s="1050" t="s">
        <v>908</v>
      </c>
      <c r="F123" s="1050" t="s">
        <v>909</v>
      </c>
      <c r="G123" s="1050">
        <v>8805988365</v>
      </c>
      <c r="H123" s="1031" t="s">
        <v>910</v>
      </c>
      <c r="I123" s="1050" t="s">
        <v>911</v>
      </c>
      <c r="J123" s="1050" t="s">
        <v>73</v>
      </c>
      <c r="K123" s="1050" t="s">
        <v>685</v>
      </c>
      <c r="L123" s="1050" t="s">
        <v>912</v>
      </c>
      <c r="M123" s="1080">
        <v>45756</v>
      </c>
      <c r="N123" s="1058">
        <v>77500</v>
      </c>
      <c r="O123" s="1058" t="s">
        <v>28</v>
      </c>
      <c r="P123" s="1058" t="s">
        <v>34</v>
      </c>
      <c r="Q123" s="1882">
        <v>1</v>
      </c>
      <c r="R123" s="1046">
        <v>8176740</v>
      </c>
      <c r="S123" s="1061">
        <v>45832</v>
      </c>
      <c r="T123" s="1883">
        <v>77500</v>
      </c>
      <c r="U123" s="1883" t="s">
        <v>34</v>
      </c>
      <c r="V123" s="1025">
        <f>Table626893456[[#This Row],[Offer Value]]-Table626893456[[#This Row],[PO Value]]</f>
        <v>0</v>
      </c>
      <c r="W123" s="1058"/>
      <c r="X123" s="1062"/>
      <c r="Y123" s="1063"/>
      <c r="Z123" s="1077"/>
      <c r="AA123" s="1077"/>
    </row>
    <row r="124" spans="1:27" s="379" customFormat="1" ht="18">
      <c r="A124" s="1030">
        <v>55</v>
      </c>
      <c r="B124" s="1058"/>
      <c r="C124" s="1050" t="s">
        <v>444</v>
      </c>
      <c r="D124" s="1050" t="s">
        <v>133</v>
      </c>
      <c r="E124" s="1050" t="s">
        <v>908</v>
      </c>
      <c r="F124" s="1050" t="s">
        <v>909</v>
      </c>
      <c r="G124" s="1050">
        <v>8805988365</v>
      </c>
      <c r="H124" s="1031" t="s">
        <v>910</v>
      </c>
      <c r="I124" s="1050" t="s">
        <v>913</v>
      </c>
      <c r="J124" s="1050" t="s">
        <v>73</v>
      </c>
      <c r="K124" s="1050" t="s">
        <v>685</v>
      </c>
      <c r="L124" s="1050" t="s">
        <v>912</v>
      </c>
      <c r="M124" s="1080">
        <v>45756</v>
      </c>
      <c r="N124" s="1058">
        <v>77500</v>
      </c>
      <c r="O124" s="1058" t="s">
        <v>28</v>
      </c>
      <c r="P124" s="1058" t="s">
        <v>34</v>
      </c>
      <c r="Q124" s="1882">
        <v>1</v>
      </c>
      <c r="R124" s="1046">
        <v>8176740</v>
      </c>
      <c r="S124" s="1061">
        <v>45832</v>
      </c>
      <c r="T124" s="1883">
        <v>77500</v>
      </c>
      <c r="U124" s="1883" t="s">
        <v>34</v>
      </c>
      <c r="V124" s="1025">
        <f>Table626893456[[#This Row],[Offer Value]]-Table626893456[[#This Row],[PO Value]]</f>
        <v>0</v>
      </c>
      <c r="W124" s="1058"/>
      <c r="X124" s="1062"/>
      <c r="Y124" s="1063"/>
      <c r="Z124" s="1077"/>
      <c r="AA124" s="1077"/>
    </row>
    <row r="125" spans="1:27" s="379" customFormat="1" ht="18">
      <c r="A125" s="1030">
        <v>56</v>
      </c>
      <c r="B125" s="1037">
        <v>45802</v>
      </c>
      <c r="C125" s="1050" t="s">
        <v>634</v>
      </c>
      <c r="D125" s="1050" t="s">
        <v>133</v>
      </c>
      <c r="E125" s="1050" t="s">
        <v>635</v>
      </c>
      <c r="F125" s="1050" t="s">
        <v>914</v>
      </c>
      <c r="G125" s="1050">
        <v>9890911016</v>
      </c>
      <c r="H125" s="1031" t="s">
        <v>915</v>
      </c>
      <c r="I125" s="1050" t="s">
        <v>916</v>
      </c>
      <c r="J125" s="1050" t="s">
        <v>73</v>
      </c>
      <c r="K125" s="1050" t="s">
        <v>639</v>
      </c>
      <c r="L125" s="1050" t="s">
        <v>917</v>
      </c>
      <c r="M125" s="1080">
        <v>45802</v>
      </c>
      <c r="N125" s="1058">
        <v>46000</v>
      </c>
      <c r="O125" s="1058" t="s">
        <v>30</v>
      </c>
      <c r="P125" s="1058" t="s">
        <v>34</v>
      </c>
      <c r="Q125" s="1882">
        <v>1</v>
      </c>
      <c r="R125" s="1046">
        <v>4512862106</v>
      </c>
      <c r="S125" s="1061">
        <v>45855</v>
      </c>
      <c r="T125" s="1883">
        <v>46000</v>
      </c>
      <c r="U125" s="1883" t="s">
        <v>37</v>
      </c>
      <c r="V125" s="1025">
        <f>Table626893456[[#This Row],[Offer Value]]-Table626893456[[#This Row],[PO Value]]</f>
        <v>0</v>
      </c>
      <c r="W125" s="1058"/>
      <c r="X125" s="1062"/>
      <c r="Y125" s="1063"/>
      <c r="Z125" s="1077"/>
      <c r="AA125" s="1077"/>
    </row>
    <row r="126" spans="1:27" s="379" customFormat="1" ht="18">
      <c r="A126" s="1030">
        <v>56</v>
      </c>
      <c r="B126" s="1058"/>
      <c r="C126" s="1050" t="s">
        <v>634</v>
      </c>
      <c r="D126" s="1050" t="s">
        <v>133</v>
      </c>
      <c r="E126" s="1050" t="s">
        <v>635</v>
      </c>
      <c r="F126" s="1050" t="s">
        <v>914</v>
      </c>
      <c r="G126" s="1050">
        <v>9890911016</v>
      </c>
      <c r="H126" s="1031" t="s">
        <v>915</v>
      </c>
      <c r="I126" s="1050" t="s">
        <v>918</v>
      </c>
      <c r="J126" s="1050" t="s">
        <v>73</v>
      </c>
      <c r="K126" s="1050" t="s">
        <v>639</v>
      </c>
      <c r="L126" s="1050" t="s">
        <v>917</v>
      </c>
      <c r="M126" s="1080">
        <v>45802</v>
      </c>
      <c r="N126" s="1058">
        <v>46000</v>
      </c>
      <c r="O126" s="1058" t="s">
        <v>30</v>
      </c>
      <c r="P126" s="1058" t="s">
        <v>34</v>
      </c>
      <c r="Q126" s="1882">
        <v>1</v>
      </c>
      <c r="R126" s="1046">
        <v>4512862106</v>
      </c>
      <c r="S126" s="1061">
        <v>45855</v>
      </c>
      <c r="T126" s="1883">
        <v>46000</v>
      </c>
      <c r="U126" s="1883" t="s">
        <v>37</v>
      </c>
      <c r="V126" s="1025">
        <f>Table626893456[[#This Row],[Offer Value]]-Table626893456[[#This Row],[PO Value]]</f>
        <v>0</v>
      </c>
      <c r="W126" s="1058"/>
      <c r="X126" s="1062"/>
      <c r="Y126" s="1063"/>
      <c r="Z126" s="1077"/>
      <c r="AA126" s="1077"/>
    </row>
    <row r="127" spans="1:27" s="379" customFormat="1" ht="18">
      <c r="A127" s="1030">
        <v>56</v>
      </c>
      <c r="B127" s="1058"/>
      <c r="C127" s="1050" t="s">
        <v>634</v>
      </c>
      <c r="D127" s="1050" t="s">
        <v>133</v>
      </c>
      <c r="E127" s="1050" t="s">
        <v>635</v>
      </c>
      <c r="F127" s="1050" t="s">
        <v>914</v>
      </c>
      <c r="G127" s="1050">
        <v>9890911016</v>
      </c>
      <c r="H127" s="1031" t="s">
        <v>915</v>
      </c>
      <c r="I127" s="1050" t="s">
        <v>919</v>
      </c>
      <c r="J127" s="1050" t="s">
        <v>73</v>
      </c>
      <c r="K127" s="1050" t="s">
        <v>639</v>
      </c>
      <c r="L127" s="1050" t="s">
        <v>917</v>
      </c>
      <c r="M127" s="1080">
        <v>45802</v>
      </c>
      <c r="N127" s="1058">
        <v>46000</v>
      </c>
      <c r="O127" s="1058" t="s">
        <v>30</v>
      </c>
      <c r="P127" s="1058" t="s">
        <v>34</v>
      </c>
      <c r="Q127" s="1882">
        <v>1</v>
      </c>
      <c r="R127" s="1046">
        <v>4512862106</v>
      </c>
      <c r="S127" s="1061">
        <v>45855</v>
      </c>
      <c r="T127" s="1883">
        <v>46000</v>
      </c>
      <c r="U127" s="1883" t="s">
        <v>37</v>
      </c>
      <c r="V127" s="1025">
        <f>Table626893456[[#This Row],[Offer Value]]-Table626893456[[#This Row],[PO Value]]</f>
        <v>0</v>
      </c>
      <c r="W127" s="1058"/>
      <c r="X127" s="1062"/>
      <c r="Y127" s="1063"/>
      <c r="Z127" s="1077"/>
      <c r="AA127" s="1077"/>
    </row>
    <row r="128" spans="1:27" s="379" customFormat="1" ht="18">
      <c r="A128" s="1030">
        <v>56</v>
      </c>
      <c r="B128" s="1058"/>
      <c r="C128" s="1050" t="s">
        <v>634</v>
      </c>
      <c r="D128" s="1050" t="s">
        <v>133</v>
      </c>
      <c r="E128" s="1050" t="s">
        <v>635</v>
      </c>
      <c r="F128" s="1050" t="s">
        <v>914</v>
      </c>
      <c r="G128" s="1050">
        <v>9890911016</v>
      </c>
      <c r="H128" s="1031" t="s">
        <v>915</v>
      </c>
      <c r="I128" s="1050" t="s">
        <v>920</v>
      </c>
      <c r="J128" s="1050" t="s">
        <v>73</v>
      </c>
      <c r="K128" s="1050" t="s">
        <v>639</v>
      </c>
      <c r="L128" s="1050" t="s">
        <v>917</v>
      </c>
      <c r="M128" s="1080">
        <v>45802</v>
      </c>
      <c r="N128" s="1058">
        <v>46000</v>
      </c>
      <c r="O128" s="1058" t="s">
        <v>30</v>
      </c>
      <c r="P128" s="1058" t="s">
        <v>34</v>
      </c>
      <c r="Q128" s="1882">
        <v>1</v>
      </c>
      <c r="R128" s="1046">
        <v>4512862106</v>
      </c>
      <c r="S128" s="1061">
        <v>45855</v>
      </c>
      <c r="T128" s="1883">
        <v>46000</v>
      </c>
      <c r="U128" s="1883" t="s">
        <v>37</v>
      </c>
      <c r="V128" s="1025">
        <f>Table626893456[[#This Row],[Offer Value]]-Table626893456[[#This Row],[PO Value]]</f>
        <v>0</v>
      </c>
      <c r="W128" s="1058"/>
      <c r="X128" s="1062"/>
      <c r="Y128" s="1063"/>
      <c r="Z128" s="1077"/>
      <c r="AA128" s="1077"/>
    </row>
    <row r="129" spans="1:27" s="379" customFormat="1" ht="18">
      <c r="A129" s="1030">
        <v>56</v>
      </c>
      <c r="B129" s="1037"/>
      <c r="C129" s="1050" t="s">
        <v>634</v>
      </c>
      <c r="D129" s="1050" t="s">
        <v>133</v>
      </c>
      <c r="E129" s="1050" t="s">
        <v>635</v>
      </c>
      <c r="F129" s="1050" t="s">
        <v>914</v>
      </c>
      <c r="G129" s="1050">
        <v>9890911016</v>
      </c>
      <c r="H129" s="1031" t="s">
        <v>915</v>
      </c>
      <c r="I129" s="1050" t="s">
        <v>921</v>
      </c>
      <c r="J129" s="1050" t="s">
        <v>73</v>
      </c>
      <c r="K129" s="1050" t="s">
        <v>639</v>
      </c>
      <c r="L129" s="1050" t="s">
        <v>917</v>
      </c>
      <c r="M129" s="1080">
        <v>45802</v>
      </c>
      <c r="N129" s="1058">
        <v>46000</v>
      </c>
      <c r="O129" s="1058" t="s">
        <v>30</v>
      </c>
      <c r="P129" s="1058" t="s">
        <v>34</v>
      </c>
      <c r="Q129" s="1882">
        <v>1</v>
      </c>
      <c r="R129" s="1046">
        <v>4512862106</v>
      </c>
      <c r="S129" s="1061">
        <v>45855</v>
      </c>
      <c r="T129" s="1883">
        <v>46000</v>
      </c>
      <c r="U129" s="1883" t="s">
        <v>37</v>
      </c>
      <c r="V129" s="1025">
        <f>Table626893456[[#This Row],[Offer Value]]-Table626893456[[#This Row],[PO Value]]</f>
        <v>0</v>
      </c>
      <c r="W129" s="1058"/>
      <c r="X129" s="1062"/>
      <c r="Y129" s="1063"/>
      <c r="Z129" s="1077"/>
      <c r="AA129" s="1077"/>
    </row>
    <row r="130" spans="1:27" s="379" customFormat="1" ht="18">
      <c r="A130" s="1030">
        <v>56</v>
      </c>
      <c r="B130" s="1037"/>
      <c r="C130" s="1050" t="s">
        <v>634</v>
      </c>
      <c r="D130" s="1050" t="s">
        <v>133</v>
      </c>
      <c r="E130" s="1050" t="s">
        <v>635</v>
      </c>
      <c r="F130" s="1050" t="s">
        <v>914</v>
      </c>
      <c r="G130" s="1050">
        <v>9890911016</v>
      </c>
      <c r="H130" s="1031" t="s">
        <v>915</v>
      </c>
      <c r="I130" s="1050" t="s">
        <v>922</v>
      </c>
      <c r="J130" s="1050" t="s">
        <v>73</v>
      </c>
      <c r="K130" s="1050" t="s">
        <v>639</v>
      </c>
      <c r="L130" s="1050" t="s">
        <v>917</v>
      </c>
      <c r="M130" s="1080">
        <v>45802</v>
      </c>
      <c r="N130" s="1058">
        <v>46000</v>
      </c>
      <c r="O130" s="1058" t="s">
        <v>30</v>
      </c>
      <c r="P130" s="1058" t="s">
        <v>34</v>
      </c>
      <c r="Q130" s="1882">
        <v>1</v>
      </c>
      <c r="R130" s="1046">
        <v>4512862106</v>
      </c>
      <c r="S130" s="1061">
        <v>45855</v>
      </c>
      <c r="T130" s="1883">
        <v>46000</v>
      </c>
      <c r="U130" s="1883" t="s">
        <v>37</v>
      </c>
      <c r="V130" s="1025">
        <f>Table626893456[[#This Row],[Offer Value]]-Table626893456[[#This Row],[PO Value]]</f>
        <v>0</v>
      </c>
      <c r="W130" s="1058"/>
      <c r="X130" s="1062"/>
      <c r="Y130" s="1063"/>
      <c r="Z130" s="1077"/>
      <c r="AA130" s="1077"/>
    </row>
    <row r="131" spans="1:27" s="379" customFormat="1" ht="18">
      <c r="A131" s="1030">
        <v>56</v>
      </c>
      <c r="B131" s="1058"/>
      <c r="C131" s="1050" t="s">
        <v>634</v>
      </c>
      <c r="D131" s="1050" t="s">
        <v>133</v>
      </c>
      <c r="E131" s="1050" t="s">
        <v>635</v>
      </c>
      <c r="F131" s="1050" t="s">
        <v>914</v>
      </c>
      <c r="G131" s="1050">
        <v>9890911016</v>
      </c>
      <c r="H131" s="1031" t="s">
        <v>915</v>
      </c>
      <c r="I131" s="1050" t="s">
        <v>923</v>
      </c>
      <c r="J131" s="1050" t="s">
        <v>73</v>
      </c>
      <c r="K131" s="1050" t="s">
        <v>639</v>
      </c>
      <c r="L131" s="1050" t="s">
        <v>917</v>
      </c>
      <c r="M131" s="1080">
        <v>45802</v>
      </c>
      <c r="N131" s="1058">
        <v>46000</v>
      </c>
      <c r="O131" s="1058" t="s">
        <v>30</v>
      </c>
      <c r="P131" s="1058" t="s">
        <v>34</v>
      </c>
      <c r="Q131" s="1882">
        <v>1</v>
      </c>
      <c r="R131" s="1046">
        <v>4512862106</v>
      </c>
      <c r="S131" s="1061">
        <v>45855</v>
      </c>
      <c r="T131" s="1883">
        <v>46000</v>
      </c>
      <c r="U131" s="1883" t="s">
        <v>37</v>
      </c>
      <c r="V131" s="1025">
        <f>Table626893456[[#This Row],[Offer Value]]-Table626893456[[#This Row],[PO Value]]</f>
        <v>0</v>
      </c>
      <c r="W131" s="1058"/>
      <c r="X131" s="1062"/>
      <c r="Y131" s="1063"/>
      <c r="Z131" s="1077"/>
      <c r="AA131" s="1077"/>
    </row>
    <row r="132" spans="1:27" s="379" customFormat="1" ht="18">
      <c r="A132" s="1030">
        <v>56</v>
      </c>
      <c r="B132" s="1058"/>
      <c r="C132" s="1050" t="s">
        <v>634</v>
      </c>
      <c r="D132" s="1050" t="s">
        <v>133</v>
      </c>
      <c r="E132" s="1050" t="s">
        <v>635</v>
      </c>
      <c r="F132" s="1050" t="s">
        <v>914</v>
      </c>
      <c r="G132" s="1050">
        <v>9890911016</v>
      </c>
      <c r="H132" s="1031" t="s">
        <v>915</v>
      </c>
      <c r="I132" s="1050" t="s">
        <v>924</v>
      </c>
      <c r="J132" s="1050" t="s">
        <v>73</v>
      </c>
      <c r="K132" s="1050" t="s">
        <v>639</v>
      </c>
      <c r="L132" s="1050" t="s">
        <v>917</v>
      </c>
      <c r="M132" s="1080">
        <v>45802</v>
      </c>
      <c r="N132" s="1058">
        <v>46000</v>
      </c>
      <c r="O132" s="1058" t="s">
        <v>30</v>
      </c>
      <c r="P132" s="1058" t="s">
        <v>34</v>
      </c>
      <c r="Q132" s="1882">
        <v>1</v>
      </c>
      <c r="R132" s="1046">
        <v>4512862106</v>
      </c>
      <c r="S132" s="1061">
        <v>45855</v>
      </c>
      <c r="T132" s="1883">
        <v>46000</v>
      </c>
      <c r="U132" s="1883" t="s">
        <v>37</v>
      </c>
      <c r="V132" s="1025">
        <f>Table626893456[[#This Row],[Offer Value]]-Table626893456[[#This Row],[PO Value]]</f>
        <v>0</v>
      </c>
      <c r="W132" s="1058"/>
      <c r="X132" s="1062"/>
      <c r="Y132" s="1063"/>
      <c r="Z132" s="1077"/>
      <c r="AA132" s="1077"/>
    </row>
    <row r="133" spans="1:27" s="379" customFormat="1" ht="18">
      <c r="A133" s="1030">
        <v>56</v>
      </c>
      <c r="B133" s="1037"/>
      <c r="C133" s="1050" t="s">
        <v>634</v>
      </c>
      <c r="D133" s="1050" t="s">
        <v>133</v>
      </c>
      <c r="E133" s="1050" t="s">
        <v>635</v>
      </c>
      <c r="F133" s="1050" t="s">
        <v>914</v>
      </c>
      <c r="G133" s="1050">
        <v>9890911016</v>
      </c>
      <c r="H133" s="1031" t="s">
        <v>915</v>
      </c>
      <c r="I133" s="1050" t="s">
        <v>638</v>
      </c>
      <c r="J133" s="1050" t="s">
        <v>73</v>
      </c>
      <c r="K133" s="1050" t="s">
        <v>639</v>
      </c>
      <c r="L133" s="1050" t="s">
        <v>917</v>
      </c>
      <c r="M133" s="1080">
        <v>45802</v>
      </c>
      <c r="N133" s="1058">
        <v>46000</v>
      </c>
      <c r="O133" s="1058" t="s">
        <v>30</v>
      </c>
      <c r="P133" s="1058" t="s">
        <v>34</v>
      </c>
      <c r="Q133" s="1882">
        <v>1</v>
      </c>
      <c r="R133" s="1046">
        <v>4512862106</v>
      </c>
      <c r="S133" s="1061">
        <v>45855</v>
      </c>
      <c r="T133" s="1883">
        <v>46000</v>
      </c>
      <c r="U133" s="1883" t="s">
        <v>37</v>
      </c>
      <c r="V133" s="1025">
        <f>Table626893456[[#This Row],[Offer Value]]-Table626893456[[#This Row],[PO Value]]</f>
        <v>0</v>
      </c>
      <c r="W133" s="1058"/>
      <c r="X133" s="1062"/>
      <c r="Y133" s="1076"/>
      <c r="Z133" s="1077"/>
      <c r="AA133" s="1077"/>
    </row>
    <row r="134" spans="1:27" s="379" customFormat="1" ht="18">
      <c r="A134" s="1030">
        <v>56</v>
      </c>
      <c r="B134" s="1058"/>
      <c r="C134" s="1050" t="s">
        <v>634</v>
      </c>
      <c r="D134" s="1050" t="s">
        <v>133</v>
      </c>
      <c r="E134" s="1050" t="s">
        <v>635</v>
      </c>
      <c r="F134" s="1050" t="s">
        <v>914</v>
      </c>
      <c r="G134" s="1050">
        <v>9890911016</v>
      </c>
      <c r="H134" s="1031" t="s">
        <v>915</v>
      </c>
      <c r="I134" s="1050" t="s">
        <v>925</v>
      </c>
      <c r="J134" s="1050" t="s">
        <v>73</v>
      </c>
      <c r="K134" s="1050" t="s">
        <v>685</v>
      </c>
      <c r="L134" s="1050" t="s">
        <v>917</v>
      </c>
      <c r="M134" s="1080">
        <v>45802</v>
      </c>
      <c r="N134" s="1058">
        <v>46000</v>
      </c>
      <c r="O134" s="1058" t="s">
        <v>30</v>
      </c>
      <c r="P134" s="1058" t="s">
        <v>34</v>
      </c>
      <c r="Q134" s="1882">
        <v>1</v>
      </c>
      <c r="R134" s="1046">
        <v>4512862106</v>
      </c>
      <c r="S134" s="1061">
        <v>45855</v>
      </c>
      <c r="T134" s="1883">
        <v>46000</v>
      </c>
      <c r="U134" s="1883" t="s">
        <v>37</v>
      </c>
      <c r="V134" s="1025">
        <f>Table626893456[[#This Row],[Offer Value]]-Table626893456[[#This Row],[PO Value]]</f>
        <v>0</v>
      </c>
      <c r="W134" s="1058"/>
      <c r="X134" s="1062"/>
      <c r="Y134" s="1076"/>
      <c r="Z134" s="1077"/>
      <c r="AA134" s="1077"/>
    </row>
    <row r="135" spans="1:27" s="379" customFormat="1" ht="18">
      <c r="A135" s="1030">
        <v>57</v>
      </c>
      <c r="B135" s="1037">
        <v>45802</v>
      </c>
      <c r="C135" s="1050" t="s">
        <v>634</v>
      </c>
      <c r="D135" s="1050" t="s">
        <v>133</v>
      </c>
      <c r="E135" s="1050" t="s">
        <v>926</v>
      </c>
      <c r="F135" s="1050" t="s">
        <v>927</v>
      </c>
      <c r="G135" s="1050">
        <v>9552768600</v>
      </c>
      <c r="H135" s="1031" t="s">
        <v>928</v>
      </c>
      <c r="I135" s="1050" t="s">
        <v>929</v>
      </c>
      <c r="J135" s="1050" t="s">
        <v>73</v>
      </c>
      <c r="K135" s="1050" t="s">
        <v>639</v>
      </c>
      <c r="L135" s="1050" t="s">
        <v>930</v>
      </c>
      <c r="M135" s="1080">
        <v>45802</v>
      </c>
      <c r="N135" s="1058">
        <v>46000</v>
      </c>
      <c r="O135" s="1058" t="s">
        <v>30</v>
      </c>
      <c r="P135" s="1058" t="s">
        <v>34</v>
      </c>
      <c r="Q135" s="1882">
        <v>1</v>
      </c>
      <c r="R135" s="1046">
        <v>4512760492</v>
      </c>
      <c r="S135" s="1061">
        <v>46192</v>
      </c>
      <c r="T135" s="1058">
        <v>46000</v>
      </c>
      <c r="U135" s="1058" t="s">
        <v>34</v>
      </c>
      <c r="V135" s="1025">
        <f>Table626893456[[#This Row],[Offer Value]]-Table626893456[[#This Row],[PO Value]]</f>
        <v>0</v>
      </c>
      <c r="W135" s="1058"/>
      <c r="X135" s="1062"/>
      <c r="Y135" s="1063"/>
      <c r="Z135" s="1077"/>
      <c r="AA135" s="1077"/>
    </row>
    <row r="136" spans="1:27" s="379" customFormat="1" ht="18">
      <c r="A136" s="1030">
        <v>57</v>
      </c>
      <c r="B136" s="1058"/>
      <c r="C136" s="1050" t="s">
        <v>634</v>
      </c>
      <c r="D136" s="1050" t="s">
        <v>133</v>
      </c>
      <c r="E136" s="1050" t="s">
        <v>926</v>
      </c>
      <c r="F136" s="1050" t="s">
        <v>927</v>
      </c>
      <c r="G136" s="1050">
        <v>9552768600</v>
      </c>
      <c r="H136" s="1031" t="s">
        <v>928</v>
      </c>
      <c r="I136" s="1050" t="s">
        <v>931</v>
      </c>
      <c r="J136" s="1050" t="s">
        <v>73</v>
      </c>
      <c r="K136" s="1050" t="s">
        <v>639</v>
      </c>
      <c r="L136" s="1050" t="s">
        <v>930</v>
      </c>
      <c r="M136" s="1080">
        <v>45802</v>
      </c>
      <c r="N136" s="1058">
        <v>46000</v>
      </c>
      <c r="O136" s="1058" t="s">
        <v>30</v>
      </c>
      <c r="P136" s="1058" t="s">
        <v>34</v>
      </c>
      <c r="Q136" s="1882">
        <v>1</v>
      </c>
      <c r="R136" s="1046">
        <v>4512760492</v>
      </c>
      <c r="S136" s="1061">
        <v>45827</v>
      </c>
      <c r="T136" s="1058">
        <v>46000</v>
      </c>
      <c r="U136" s="1058" t="s">
        <v>34</v>
      </c>
      <c r="V136" s="1025">
        <f>Table626893456[[#This Row],[Offer Value]]-Table626893456[[#This Row],[PO Value]]</f>
        <v>0</v>
      </c>
      <c r="W136" s="1058"/>
      <c r="X136" s="1062"/>
      <c r="Y136" s="1063"/>
      <c r="Z136" s="1077"/>
      <c r="AA136" s="1077"/>
    </row>
    <row r="137" spans="1:27" s="1" customFormat="1" ht="18" customHeight="1">
      <c r="A137" s="1030">
        <v>58</v>
      </c>
      <c r="B137" s="1879">
        <v>45698</v>
      </c>
      <c r="C137" s="1097" t="s">
        <v>792</v>
      </c>
      <c r="D137" s="1097" t="s">
        <v>601</v>
      </c>
      <c r="E137" s="1033" t="s">
        <v>277</v>
      </c>
      <c r="F137" s="1033" t="s">
        <v>793</v>
      </c>
      <c r="G137" s="1033">
        <v>7796646965</v>
      </c>
      <c r="H137" s="1032" t="s">
        <v>794</v>
      </c>
      <c r="I137" s="1891" t="s">
        <v>810</v>
      </c>
      <c r="J137" s="1892" t="s">
        <v>81</v>
      </c>
      <c r="K137" s="1100" t="s">
        <v>685</v>
      </c>
      <c r="L137" s="1097" t="s">
        <v>811</v>
      </c>
      <c r="M137" s="1893">
        <v>45698</v>
      </c>
      <c r="N137" s="1058">
        <v>45000</v>
      </c>
      <c r="O137" s="1058" t="s">
        <v>30</v>
      </c>
      <c r="P137" s="1058" t="s">
        <v>30</v>
      </c>
      <c r="Q137" s="1085">
        <v>1</v>
      </c>
      <c r="R137" s="1046">
        <v>50056292</v>
      </c>
      <c r="S137" s="1061">
        <v>45783</v>
      </c>
      <c r="T137" s="1058">
        <v>43650</v>
      </c>
      <c r="U137" s="1058" t="s">
        <v>30</v>
      </c>
      <c r="V137" s="1025">
        <v>0</v>
      </c>
      <c r="W137" s="1058"/>
      <c r="X137" s="1062"/>
      <c r="Y137" s="1063"/>
      <c r="Z137" s="1888"/>
      <c r="AA137" s="1888"/>
    </row>
    <row r="138" spans="1:27" s="379" customFormat="1" ht="18" customHeight="1">
      <c r="A138" s="1030">
        <v>59</v>
      </c>
      <c r="B138" s="1037">
        <v>45783</v>
      </c>
      <c r="C138" s="1050" t="s">
        <v>932</v>
      </c>
      <c r="D138" s="1050" t="s">
        <v>304</v>
      </c>
      <c r="E138" s="1050" t="s">
        <v>933</v>
      </c>
      <c r="F138" s="1050" t="s">
        <v>934</v>
      </c>
      <c r="G138" s="1894"/>
      <c r="H138" s="1408"/>
      <c r="I138" s="1058" t="s">
        <v>935</v>
      </c>
      <c r="J138" s="1046" t="s">
        <v>73</v>
      </c>
      <c r="K138" s="1046" t="s">
        <v>639</v>
      </c>
      <c r="L138" s="1050" t="s">
        <v>936</v>
      </c>
      <c r="M138" s="1080">
        <v>45783</v>
      </c>
      <c r="N138" s="1058">
        <v>234156.25</v>
      </c>
      <c r="O138" s="1058" t="s">
        <v>30</v>
      </c>
      <c r="P138" s="1058" t="s">
        <v>30</v>
      </c>
      <c r="Q138" s="1085">
        <v>1</v>
      </c>
      <c r="R138" s="1046" t="s">
        <v>937</v>
      </c>
      <c r="S138" s="1061">
        <v>45804</v>
      </c>
      <c r="T138" s="1058">
        <v>234156.25</v>
      </c>
      <c r="U138" s="1058" t="s">
        <v>30</v>
      </c>
      <c r="V138" s="1025">
        <f>Table626893456[[#This Row],[Offer Value]]-Table626893456[[#This Row],[PO Value]]</f>
        <v>0</v>
      </c>
      <c r="W138" s="1058"/>
      <c r="X138" s="1062"/>
      <c r="Y138" s="1063"/>
      <c r="Z138" s="1077"/>
      <c r="AA138" s="1077"/>
    </row>
    <row r="139" spans="1:27" s="379" customFormat="1" ht="18" customHeight="1">
      <c r="A139" s="1030">
        <v>59</v>
      </c>
      <c r="B139" s="1037"/>
      <c r="C139" s="1050" t="s">
        <v>932</v>
      </c>
      <c r="D139" s="1050" t="s">
        <v>304</v>
      </c>
      <c r="E139" s="1050" t="s">
        <v>933</v>
      </c>
      <c r="F139" s="1050" t="s">
        <v>934</v>
      </c>
      <c r="G139" s="1894"/>
      <c r="H139" s="1408"/>
      <c r="I139" s="2671" t="s">
        <v>938</v>
      </c>
      <c r="J139" s="1046" t="s">
        <v>73</v>
      </c>
      <c r="K139" s="1046" t="s">
        <v>639</v>
      </c>
      <c r="L139" s="1050" t="s">
        <v>936</v>
      </c>
      <c r="M139" s="1080">
        <v>45783</v>
      </c>
      <c r="N139" s="1058">
        <v>234156.25</v>
      </c>
      <c r="O139" s="1058" t="s">
        <v>30</v>
      </c>
      <c r="P139" s="1058" t="s">
        <v>30</v>
      </c>
      <c r="Q139" s="1085">
        <v>1</v>
      </c>
      <c r="R139" s="1046" t="s">
        <v>937</v>
      </c>
      <c r="S139" s="1061">
        <v>45804</v>
      </c>
      <c r="T139" s="1058">
        <v>234156.25</v>
      </c>
      <c r="U139" s="1058" t="s">
        <v>30</v>
      </c>
      <c r="V139" s="1895">
        <f>Table626893456[[#This Row],[Offer Value]]-Table626893456[[#This Row],[PO Value]]</f>
        <v>0</v>
      </c>
      <c r="W139" s="1329"/>
      <c r="X139" s="1270"/>
      <c r="Y139" s="2698"/>
      <c r="Z139" s="1077"/>
      <c r="AA139" s="1077"/>
    </row>
    <row r="140" spans="1:27" s="379" customFormat="1" ht="18" customHeight="1">
      <c r="A140" s="1030">
        <v>59</v>
      </c>
      <c r="B140" s="1037"/>
      <c r="C140" s="1050" t="s">
        <v>932</v>
      </c>
      <c r="D140" s="1050" t="s">
        <v>304</v>
      </c>
      <c r="E140" s="1050" t="s">
        <v>933</v>
      </c>
      <c r="F140" s="1050" t="s">
        <v>934</v>
      </c>
      <c r="G140" s="1894"/>
      <c r="H140" s="1408"/>
      <c r="I140" s="2671" t="s">
        <v>939</v>
      </c>
      <c r="J140" s="1046" t="s">
        <v>73</v>
      </c>
      <c r="K140" s="1046" t="s">
        <v>639</v>
      </c>
      <c r="L140" s="1050" t="s">
        <v>936</v>
      </c>
      <c r="M140" s="1080">
        <v>45783</v>
      </c>
      <c r="N140" s="1058">
        <v>234156.25</v>
      </c>
      <c r="O140" s="1058" t="s">
        <v>30</v>
      </c>
      <c r="P140" s="1058" t="s">
        <v>30</v>
      </c>
      <c r="Q140" s="1085">
        <v>1</v>
      </c>
      <c r="R140" s="1046" t="s">
        <v>937</v>
      </c>
      <c r="S140" s="1061">
        <v>45804</v>
      </c>
      <c r="T140" s="1058">
        <v>234156.25</v>
      </c>
      <c r="U140" s="1058" t="s">
        <v>30</v>
      </c>
      <c r="V140" s="1895">
        <f>Table626893456[[#This Row],[Offer Value]]-Table626893456[[#This Row],[PO Value]]</f>
        <v>0</v>
      </c>
      <c r="W140" s="1329"/>
      <c r="X140" s="1270"/>
      <c r="Y140" s="2698"/>
      <c r="Z140" s="1077"/>
      <c r="AA140" s="1077"/>
    </row>
    <row r="141" spans="1:27" s="379" customFormat="1" ht="18" customHeight="1">
      <c r="A141" s="1030">
        <v>59</v>
      </c>
      <c r="B141" s="1037"/>
      <c r="C141" s="1050" t="s">
        <v>932</v>
      </c>
      <c r="D141" s="1050" t="s">
        <v>304</v>
      </c>
      <c r="E141" s="1050" t="s">
        <v>933</v>
      </c>
      <c r="F141" s="1050" t="s">
        <v>934</v>
      </c>
      <c r="G141" s="1894"/>
      <c r="H141" s="1408"/>
      <c r="I141" s="2671" t="s">
        <v>940</v>
      </c>
      <c r="J141" s="1046" t="s">
        <v>73</v>
      </c>
      <c r="K141" s="1046" t="s">
        <v>639</v>
      </c>
      <c r="L141" s="1050" t="s">
        <v>936</v>
      </c>
      <c r="M141" s="1080">
        <v>45783</v>
      </c>
      <c r="N141" s="1058">
        <v>234156.25</v>
      </c>
      <c r="O141" s="1058" t="s">
        <v>30</v>
      </c>
      <c r="P141" s="1058" t="s">
        <v>30</v>
      </c>
      <c r="Q141" s="1085">
        <v>1</v>
      </c>
      <c r="R141" s="1046" t="s">
        <v>937</v>
      </c>
      <c r="S141" s="1061">
        <v>45804</v>
      </c>
      <c r="T141" s="1058">
        <v>234156.25</v>
      </c>
      <c r="U141" s="1058" t="s">
        <v>30</v>
      </c>
      <c r="V141" s="1895">
        <f>Table626893456[[#This Row],[Offer Value]]-Table626893456[[#This Row],[PO Value]]</f>
        <v>0</v>
      </c>
      <c r="W141" s="1329"/>
      <c r="X141" s="1270"/>
      <c r="Y141" s="2698"/>
      <c r="Z141" s="1077"/>
      <c r="AA141" s="1077"/>
    </row>
    <row r="142" spans="1:27" s="379" customFormat="1" ht="18" customHeight="1">
      <c r="A142" s="1030">
        <v>59</v>
      </c>
      <c r="B142" s="1037"/>
      <c r="C142" s="1050" t="s">
        <v>932</v>
      </c>
      <c r="D142" s="1050" t="s">
        <v>304</v>
      </c>
      <c r="E142" s="1050" t="s">
        <v>933</v>
      </c>
      <c r="F142" s="1050" t="s">
        <v>934</v>
      </c>
      <c r="G142" s="1894"/>
      <c r="H142" s="1408"/>
      <c r="I142" s="2671" t="s">
        <v>941</v>
      </c>
      <c r="J142" s="1046" t="s">
        <v>73</v>
      </c>
      <c r="K142" s="1046" t="s">
        <v>639</v>
      </c>
      <c r="L142" s="1050" t="s">
        <v>936</v>
      </c>
      <c r="M142" s="1080">
        <v>45783</v>
      </c>
      <c r="N142" s="1058">
        <v>234156.25</v>
      </c>
      <c r="O142" s="1058" t="s">
        <v>30</v>
      </c>
      <c r="P142" s="1058" t="s">
        <v>30</v>
      </c>
      <c r="Q142" s="1085">
        <v>1</v>
      </c>
      <c r="R142" s="1046" t="s">
        <v>937</v>
      </c>
      <c r="S142" s="1061">
        <v>45804</v>
      </c>
      <c r="T142" s="1058">
        <v>234156.25</v>
      </c>
      <c r="U142" s="1058" t="s">
        <v>30</v>
      </c>
      <c r="V142" s="1895">
        <f>Table626893456[[#This Row],[Offer Value]]-Table626893456[[#This Row],[PO Value]]</f>
        <v>0</v>
      </c>
      <c r="W142" s="1329"/>
      <c r="X142" s="1270"/>
      <c r="Y142" s="2698"/>
      <c r="Z142" s="1077"/>
      <c r="AA142" s="1077"/>
    </row>
    <row r="143" spans="1:27" s="381" customFormat="1" ht="18" customHeight="1">
      <c r="A143" s="1030">
        <v>59</v>
      </c>
      <c r="B143" s="1037"/>
      <c r="C143" s="1050" t="s">
        <v>932</v>
      </c>
      <c r="D143" s="1050" t="s">
        <v>304</v>
      </c>
      <c r="E143" s="1050" t="s">
        <v>933</v>
      </c>
      <c r="F143" s="1050" t="s">
        <v>934</v>
      </c>
      <c r="G143" s="1894"/>
      <c r="H143" s="1408"/>
      <c r="I143" s="2671" t="s">
        <v>942</v>
      </c>
      <c r="J143" s="1046" t="s">
        <v>73</v>
      </c>
      <c r="K143" s="1046" t="s">
        <v>639</v>
      </c>
      <c r="L143" s="1050" t="s">
        <v>936</v>
      </c>
      <c r="M143" s="1080">
        <v>45783</v>
      </c>
      <c r="N143" s="1058">
        <v>234156.25</v>
      </c>
      <c r="O143" s="1058" t="s">
        <v>30</v>
      </c>
      <c r="P143" s="1058" t="s">
        <v>30</v>
      </c>
      <c r="Q143" s="1085">
        <v>1</v>
      </c>
      <c r="R143" s="1046" t="s">
        <v>937</v>
      </c>
      <c r="S143" s="1061">
        <v>45804</v>
      </c>
      <c r="T143" s="1058">
        <v>234156.25</v>
      </c>
      <c r="U143" s="1058" t="s">
        <v>30</v>
      </c>
      <c r="V143" s="1895">
        <f>Table626893456[[#This Row],[Offer Value]]-Table626893456[[#This Row],[PO Value]]</f>
        <v>0</v>
      </c>
      <c r="W143" s="1329"/>
      <c r="X143" s="1270"/>
      <c r="Y143" s="2698"/>
      <c r="Z143" s="1077"/>
      <c r="AA143" s="1077"/>
    </row>
    <row r="144" spans="1:27" s="390" customFormat="1" ht="18" customHeight="1">
      <c r="A144" s="1030">
        <v>59</v>
      </c>
      <c r="B144" s="1414"/>
      <c r="C144" s="1050" t="s">
        <v>932</v>
      </c>
      <c r="D144" s="1050" t="s">
        <v>304</v>
      </c>
      <c r="E144" s="1050" t="s">
        <v>933</v>
      </c>
      <c r="F144" s="1050" t="s">
        <v>934</v>
      </c>
      <c r="G144" s="1894"/>
      <c r="H144" s="1408"/>
      <c r="I144" s="2671" t="s">
        <v>943</v>
      </c>
      <c r="J144" s="1046" t="s">
        <v>73</v>
      </c>
      <c r="K144" s="1046" t="s">
        <v>639</v>
      </c>
      <c r="L144" s="1050" t="s">
        <v>936</v>
      </c>
      <c r="M144" s="1080">
        <v>45783</v>
      </c>
      <c r="N144" s="1058">
        <v>234156.25</v>
      </c>
      <c r="O144" s="1058" t="s">
        <v>30</v>
      </c>
      <c r="P144" s="1058" t="s">
        <v>30</v>
      </c>
      <c r="Q144" s="1085">
        <v>1</v>
      </c>
      <c r="R144" s="1046" t="s">
        <v>937</v>
      </c>
      <c r="S144" s="1061">
        <v>45804</v>
      </c>
      <c r="T144" s="1058">
        <v>234156.25</v>
      </c>
      <c r="U144" s="1058" t="s">
        <v>30</v>
      </c>
      <c r="V144" s="1895">
        <f>Table626893456[[#This Row],[Offer Value]]-Table626893456[[#This Row],[PO Value]]</f>
        <v>0</v>
      </c>
      <c r="W144" s="1329"/>
      <c r="X144" s="1270"/>
      <c r="Y144" s="2698"/>
      <c r="Z144" s="1896"/>
      <c r="AA144" s="1896"/>
    </row>
    <row r="145" spans="1:61" s="381" customFormat="1" ht="18" customHeight="1">
      <c r="A145" s="1030">
        <v>59</v>
      </c>
      <c r="B145" s="1037"/>
      <c r="C145" s="1050" t="s">
        <v>932</v>
      </c>
      <c r="D145" s="1050" t="s">
        <v>304</v>
      </c>
      <c r="E145" s="1050" t="s">
        <v>933</v>
      </c>
      <c r="F145" s="1050" t="s">
        <v>934</v>
      </c>
      <c r="G145" s="1894"/>
      <c r="H145" s="1408"/>
      <c r="I145" s="2671" t="s">
        <v>944</v>
      </c>
      <c r="J145" s="1046" t="s">
        <v>73</v>
      </c>
      <c r="K145" s="1046" t="s">
        <v>639</v>
      </c>
      <c r="L145" s="1050" t="s">
        <v>936</v>
      </c>
      <c r="M145" s="1080">
        <v>45783</v>
      </c>
      <c r="N145" s="1058">
        <v>234156.25</v>
      </c>
      <c r="O145" s="1058" t="s">
        <v>30</v>
      </c>
      <c r="P145" s="1058" t="s">
        <v>30</v>
      </c>
      <c r="Q145" s="1085">
        <v>1</v>
      </c>
      <c r="R145" s="1046" t="s">
        <v>937</v>
      </c>
      <c r="S145" s="1061">
        <v>45804</v>
      </c>
      <c r="T145" s="1058">
        <v>234156.25</v>
      </c>
      <c r="U145" s="1058" t="s">
        <v>30</v>
      </c>
      <c r="V145" s="1895">
        <f>Table626893456[[#This Row],[Offer Value]]-Table626893456[[#This Row],[PO Value]]</f>
        <v>0</v>
      </c>
      <c r="W145" s="1329"/>
      <c r="X145" s="1270"/>
      <c r="Y145" s="2698"/>
      <c r="Z145" s="1077"/>
      <c r="AA145" s="1077"/>
    </row>
    <row r="146" spans="1:61" s="379" customFormat="1" ht="18" customHeight="1">
      <c r="A146" s="1030">
        <v>59</v>
      </c>
      <c r="B146" s="1414"/>
      <c r="C146" s="1050" t="s">
        <v>932</v>
      </c>
      <c r="D146" s="1050" t="s">
        <v>304</v>
      </c>
      <c r="E146" s="1050" t="s">
        <v>933</v>
      </c>
      <c r="F146" s="1050" t="s">
        <v>934</v>
      </c>
      <c r="G146" s="1894"/>
      <c r="H146" s="1408"/>
      <c r="I146" s="1329" t="s">
        <v>945</v>
      </c>
      <c r="J146" s="1046" t="s">
        <v>73</v>
      </c>
      <c r="K146" s="1046" t="s">
        <v>639</v>
      </c>
      <c r="L146" s="1050" t="s">
        <v>936</v>
      </c>
      <c r="M146" s="1080">
        <v>45783</v>
      </c>
      <c r="N146" s="1058">
        <v>234156.25</v>
      </c>
      <c r="O146" s="1058" t="s">
        <v>30</v>
      </c>
      <c r="P146" s="1058" t="s">
        <v>30</v>
      </c>
      <c r="Q146" s="1085">
        <v>1</v>
      </c>
      <c r="R146" s="1046" t="s">
        <v>937</v>
      </c>
      <c r="S146" s="1061">
        <v>45804</v>
      </c>
      <c r="T146" s="1058">
        <v>234156.25</v>
      </c>
      <c r="U146" s="1058" t="s">
        <v>30</v>
      </c>
      <c r="V146" s="1895">
        <f>Table626893456[[#This Row],[Offer Value]]-Table626893456[[#This Row],[PO Value]]</f>
        <v>0</v>
      </c>
      <c r="W146" s="1329"/>
      <c r="X146" s="1270"/>
      <c r="Y146" s="2698"/>
      <c r="Z146" s="1077"/>
      <c r="AA146" s="1077"/>
    </row>
    <row r="147" spans="1:61" s="381" customFormat="1" ht="18" customHeight="1">
      <c r="A147" s="1030">
        <v>59</v>
      </c>
      <c r="B147" s="1037"/>
      <c r="C147" s="1050" t="s">
        <v>932</v>
      </c>
      <c r="D147" s="1050" t="s">
        <v>304</v>
      </c>
      <c r="E147" s="1050" t="s">
        <v>933</v>
      </c>
      <c r="F147" s="1050" t="s">
        <v>934</v>
      </c>
      <c r="G147" s="1894"/>
      <c r="H147" s="1408"/>
      <c r="I147" s="1329" t="s">
        <v>946</v>
      </c>
      <c r="J147" s="1046" t="s">
        <v>73</v>
      </c>
      <c r="K147" s="1046" t="s">
        <v>639</v>
      </c>
      <c r="L147" s="1050" t="s">
        <v>936</v>
      </c>
      <c r="M147" s="1080">
        <v>45783</v>
      </c>
      <c r="N147" s="1058">
        <v>234156.25</v>
      </c>
      <c r="O147" s="1058" t="s">
        <v>30</v>
      </c>
      <c r="P147" s="1058" t="s">
        <v>30</v>
      </c>
      <c r="Q147" s="1085">
        <v>1</v>
      </c>
      <c r="R147" s="1046" t="s">
        <v>937</v>
      </c>
      <c r="S147" s="1061">
        <v>45804</v>
      </c>
      <c r="T147" s="1058">
        <v>234156.25</v>
      </c>
      <c r="U147" s="1058" t="s">
        <v>30</v>
      </c>
      <c r="V147" s="1895">
        <f>Table626893456[[#This Row],[Offer Value]]-Table626893456[[#This Row],[PO Value]]</f>
        <v>0</v>
      </c>
      <c r="W147" s="1329"/>
      <c r="X147" s="1270"/>
      <c r="Y147" s="2698"/>
      <c r="Z147" s="1077"/>
      <c r="AA147" s="1077"/>
    </row>
    <row r="148" spans="1:61" s="379" customFormat="1" ht="18" customHeight="1">
      <c r="A148" s="1030">
        <v>59</v>
      </c>
      <c r="B148" s="1037"/>
      <c r="C148" s="1050" t="s">
        <v>932</v>
      </c>
      <c r="D148" s="1050" t="s">
        <v>304</v>
      </c>
      <c r="E148" s="1050" t="s">
        <v>933</v>
      </c>
      <c r="F148" s="1050" t="s">
        <v>934</v>
      </c>
      <c r="G148" s="1894"/>
      <c r="H148" s="1408"/>
      <c r="I148" s="1329" t="s">
        <v>947</v>
      </c>
      <c r="J148" s="1046" t="s">
        <v>73</v>
      </c>
      <c r="K148" s="1046" t="s">
        <v>639</v>
      </c>
      <c r="L148" s="1050" t="s">
        <v>936</v>
      </c>
      <c r="M148" s="1080">
        <v>45783</v>
      </c>
      <c r="N148" s="1058">
        <v>234156.25</v>
      </c>
      <c r="O148" s="1058" t="s">
        <v>30</v>
      </c>
      <c r="P148" s="1058" t="s">
        <v>30</v>
      </c>
      <c r="Q148" s="1085">
        <v>1</v>
      </c>
      <c r="R148" s="1046" t="s">
        <v>937</v>
      </c>
      <c r="S148" s="1061">
        <v>45804</v>
      </c>
      <c r="T148" s="1058">
        <v>234156.25</v>
      </c>
      <c r="U148" s="1058" t="s">
        <v>30</v>
      </c>
      <c r="V148" s="1895">
        <f>Table626893456[[#This Row],[Offer Value]]-Table626893456[[#This Row],[PO Value]]</f>
        <v>0</v>
      </c>
      <c r="W148" s="1329"/>
      <c r="X148" s="1270"/>
      <c r="Y148" s="2698"/>
      <c r="Z148" s="1077"/>
      <c r="AA148" s="1077"/>
    </row>
    <row r="149" spans="1:61" s="381" customFormat="1" ht="18" customHeight="1">
      <c r="A149" s="1095">
        <v>59</v>
      </c>
      <c r="B149" s="1037"/>
      <c r="C149" s="1050" t="s">
        <v>932</v>
      </c>
      <c r="D149" s="1050" t="s">
        <v>304</v>
      </c>
      <c r="E149" s="1050" t="s">
        <v>933</v>
      </c>
      <c r="F149" s="1050" t="s">
        <v>934</v>
      </c>
      <c r="G149" s="1894"/>
      <c r="H149" s="1408"/>
      <c r="I149" s="1329" t="s">
        <v>948</v>
      </c>
      <c r="J149" s="1046" t="s">
        <v>73</v>
      </c>
      <c r="K149" s="1046" t="s">
        <v>639</v>
      </c>
      <c r="L149" s="1050" t="s">
        <v>936</v>
      </c>
      <c r="M149" s="1080">
        <v>45783</v>
      </c>
      <c r="N149" s="1058">
        <v>234156.25</v>
      </c>
      <c r="O149" s="1058" t="s">
        <v>30</v>
      </c>
      <c r="P149" s="1058" t="s">
        <v>30</v>
      </c>
      <c r="Q149" s="1085">
        <v>1</v>
      </c>
      <c r="R149" s="1046" t="s">
        <v>937</v>
      </c>
      <c r="S149" s="1061">
        <v>45804</v>
      </c>
      <c r="T149" s="1058">
        <v>234156.25</v>
      </c>
      <c r="U149" s="1058" t="s">
        <v>30</v>
      </c>
      <c r="V149" s="1895">
        <f>Table626893456[[#This Row],[Offer Value]]-Table626893456[[#This Row],[PO Value]]</f>
        <v>0</v>
      </c>
      <c r="W149" s="1329"/>
      <c r="X149" s="1270"/>
      <c r="Y149" s="2698"/>
      <c r="Z149" s="1077"/>
      <c r="AA149" s="1077"/>
    </row>
    <row r="150" spans="1:61" s="379" customFormat="1" ht="18" customHeight="1">
      <c r="A150" s="1030">
        <v>59</v>
      </c>
      <c r="B150" s="1037"/>
      <c r="C150" s="1050" t="s">
        <v>932</v>
      </c>
      <c r="D150" s="1050" t="s">
        <v>304</v>
      </c>
      <c r="E150" s="1050" t="s">
        <v>933</v>
      </c>
      <c r="F150" s="1050" t="s">
        <v>934</v>
      </c>
      <c r="G150" s="1894"/>
      <c r="H150" s="1408"/>
      <c r="I150" s="1329" t="s">
        <v>949</v>
      </c>
      <c r="J150" s="1046" t="s">
        <v>73</v>
      </c>
      <c r="K150" s="1046" t="s">
        <v>639</v>
      </c>
      <c r="L150" s="1050" t="s">
        <v>936</v>
      </c>
      <c r="M150" s="1080">
        <v>45783</v>
      </c>
      <c r="N150" s="1058">
        <v>234156.25</v>
      </c>
      <c r="O150" s="1058" t="s">
        <v>30</v>
      </c>
      <c r="P150" s="1058" t="s">
        <v>30</v>
      </c>
      <c r="Q150" s="1085">
        <v>1</v>
      </c>
      <c r="R150" s="1046" t="s">
        <v>937</v>
      </c>
      <c r="S150" s="1061">
        <v>45804</v>
      </c>
      <c r="T150" s="1058">
        <v>234156.25</v>
      </c>
      <c r="U150" s="1058" t="s">
        <v>30</v>
      </c>
      <c r="V150" s="1895">
        <f>Table626893456[[#This Row],[Offer Value]]-Table626893456[[#This Row],[PO Value]]</f>
        <v>0</v>
      </c>
      <c r="W150" s="1329"/>
      <c r="X150" s="1270"/>
      <c r="Y150" s="2698"/>
      <c r="Z150" s="1077"/>
      <c r="AA150" s="1077"/>
    </row>
    <row r="151" spans="1:61" s="381" customFormat="1" ht="18" customHeight="1">
      <c r="A151" s="1095">
        <v>59</v>
      </c>
      <c r="B151" s="1037"/>
      <c r="C151" s="1050" t="s">
        <v>932</v>
      </c>
      <c r="D151" s="1050" t="s">
        <v>304</v>
      </c>
      <c r="E151" s="1050" t="s">
        <v>933</v>
      </c>
      <c r="F151" s="1050" t="s">
        <v>934</v>
      </c>
      <c r="G151" s="1894"/>
      <c r="H151" s="1408"/>
      <c r="I151" s="1329" t="s">
        <v>950</v>
      </c>
      <c r="J151" s="1046" t="s">
        <v>73</v>
      </c>
      <c r="K151" s="1046" t="s">
        <v>639</v>
      </c>
      <c r="L151" s="1050" t="s">
        <v>936</v>
      </c>
      <c r="M151" s="1080">
        <v>45783</v>
      </c>
      <c r="N151" s="1058">
        <v>234156.25</v>
      </c>
      <c r="O151" s="1058" t="s">
        <v>30</v>
      </c>
      <c r="P151" s="1058" t="s">
        <v>30</v>
      </c>
      <c r="Q151" s="1085">
        <v>1</v>
      </c>
      <c r="R151" s="1046" t="s">
        <v>937</v>
      </c>
      <c r="S151" s="1061">
        <v>45804</v>
      </c>
      <c r="T151" s="1058">
        <v>234156.25</v>
      </c>
      <c r="U151" s="1058" t="s">
        <v>30</v>
      </c>
      <c r="V151" s="1895">
        <f>Table626893456[[#This Row],[Offer Value]]-Table626893456[[#This Row],[PO Value]]</f>
        <v>0</v>
      </c>
      <c r="W151" s="1329"/>
      <c r="X151" s="1270"/>
      <c r="Y151" s="2698"/>
      <c r="Z151" s="1077"/>
      <c r="AA151" s="1077"/>
    </row>
    <row r="152" spans="1:61" s="379" customFormat="1" ht="18" customHeight="1">
      <c r="A152" s="1030">
        <v>59</v>
      </c>
      <c r="B152" s="1037"/>
      <c r="C152" s="1050" t="s">
        <v>932</v>
      </c>
      <c r="D152" s="1050" t="s">
        <v>304</v>
      </c>
      <c r="E152" s="1050" t="s">
        <v>933</v>
      </c>
      <c r="F152" s="1050" t="s">
        <v>934</v>
      </c>
      <c r="G152" s="1894"/>
      <c r="H152" s="1408"/>
      <c r="I152" s="1329" t="s">
        <v>951</v>
      </c>
      <c r="J152" s="1046" t="s">
        <v>73</v>
      </c>
      <c r="K152" s="1046" t="s">
        <v>639</v>
      </c>
      <c r="L152" s="1050" t="s">
        <v>936</v>
      </c>
      <c r="M152" s="1080">
        <v>45783</v>
      </c>
      <c r="N152" s="1058">
        <v>234156.25</v>
      </c>
      <c r="O152" s="1058" t="s">
        <v>30</v>
      </c>
      <c r="P152" s="1058" t="s">
        <v>30</v>
      </c>
      <c r="Q152" s="1085">
        <v>1</v>
      </c>
      <c r="R152" s="1046" t="s">
        <v>937</v>
      </c>
      <c r="S152" s="1061">
        <v>45804</v>
      </c>
      <c r="T152" s="1058">
        <v>234156.25</v>
      </c>
      <c r="U152" s="1058" t="s">
        <v>30</v>
      </c>
      <c r="V152" s="1895">
        <f>Table626893456[[#This Row],[Offer Value]]-Table626893456[[#This Row],[PO Value]]</f>
        <v>0</v>
      </c>
      <c r="W152" s="1329"/>
      <c r="X152" s="1270"/>
      <c r="Y152" s="2698"/>
      <c r="Z152" s="1077"/>
      <c r="AA152" s="1077"/>
    </row>
    <row r="153" spans="1:61" s="381" customFormat="1" ht="18" customHeight="1">
      <c r="A153" s="1030">
        <v>59</v>
      </c>
      <c r="B153" s="1037"/>
      <c r="C153" s="1050" t="s">
        <v>932</v>
      </c>
      <c r="D153" s="1050" t="s">
        <v>304</v>
      </c>
      <c r="E153" s="1050" t="s">
        <v>933</v>
      </c>
      <c r="F153" s="1050" t="s">
        <v>934</v>
      </c>
      <c r="G153" s="1894"/>
      <c r="H153" s="1408"/>
      <c r="I153" s="1329" t="s">
        <v>952</v>
      </c>
      <c r="J153" s="1046" t="s">
        <v>73</v>
      </c>
      <c r="K153" s="1046" t="s">
        <v>639</v>
      </c>
      <c r="L153" s="1050" t="s">
        <v>936</v>
      </c>
      <c r="M153" s="1080">
        <v>45783</v>
      </c>
      <c r="N153" s="1058">
        <v>234156.25</v>
      </c>
      <c r="O153" s="1058" t="s">
        <v>30</v>
      </c>
      <c r="P153" s="1058" t="s">
        <v>30</v>
      </c>
      <c r="Q153" s="1085">
        <v>1</v>
      </c>
      <c r="R153" s="1046" t="s">
        <v>937</v>
      </c>
      <c r="S153" s="1061">
        <v>45804</v>
      </c>
      <c r="T153" s="1058">
        <v>234156.25</v>
      </c>
      <c r="U153" s="1058" t="s">
        <v>30</v>
      </c>
      <c r="V153" s="1897">
        <f>Table626893456[[#This Row],[Offer Value]]-Table626893456[[#This Row],[PO Value]]</f>
        <v>0</v>
      </c>
      <c r="W153" s="1329"/>
      <c r="X153" s="1270"/>
      <c r="Y153" s="2698"/>
      <c r="Z153" s="1077"/>
      <c r="AA153" s="1077"/>
    </row>
    <row r="154" spans="1:61" s="379" customFormat="1" ht="18" customHeight="1">
      <c r="A154" s="1095">
        <v>60</v>
      </c>
      <c r="B154" s="1037">
        <v>45810</v>
      </c>
      <c r="C154" s="1050" t="s">
        <v>614</v>
      </c>
      <c r="D154" s="1050" t="s">
        <v>953</v>
      </c>
      <c r="E154" s="1050" t="s">
        <v>954</v>
      </c>
      <c r="F154" s="1050" t="s">
        <v>955</v>
      </c>
      <c r="G154" s="1050">
        <v>7021200426</v>
      </c>
      <c r="H154" s="1031" t="s">
        <v>956</v>
      </c>
      <c r="I154" s="1050" t="s">
        <v>957</v>
      </c>
      <c r="J154" s="1050" t="s">
        <v>77</v>
      </c>
      <c r="K154" s="1050" t="s">
        <v>639</v>
      </c>
      <c r="L154" s="1050" t="s">
        <v>958</v>
      </c>
      <c r="M154" s="1080">
        <v>45810</v>
      </c>
      <c r="N154" s="1058">
        <v>250000</v>
      </c>
      <c r="O154" s="1058" t="s">
        <v>34</v>
      </c>
      <c r="P154" s="1058" t="s">
        <v>34</v>
      </c>
      <c r="Q154" s="1085">
        <v>1</v>
      </c>
      <c r="R154" s="1046">
        <v>4800088597</v>
      </c>
      <c r="S154" s="1061">
        <v>45822</v>
      </c>
      <c r="T154" s="1058">
        <v>240000</v>
      </c>
      <c r="U154" s="1058" t="s">
        <v>34</v>
      </c>
      <c r="V154" s="1025">
        <v>0</v>
      </c>
      <c r="W154" s="1058"/>
      <c r="X154" s="1062"/>
      <c r="Y154" s="1063"/>
      <c r="Z154" s="1077"/>
      <c r="AA154" s="1077"/>
      <c r="AB154" s="381"/>
    </row>
    <row r="155" spans="1:61" s="381" customFormat="1" ht="18" customHeight="1">
      <c r="A155" s="1030">
        <v>61</v>
      </c>
      <c r="B155" s="1037">
        <v>45812</v>
      </c>
      <c r="C155" s="1050" t="s">
        <v>614</v>
      </c>
      <c r="D155" s="1050" t="s">
        <v>953</v>
      </c>
      <c r="E155" s="1050" t="s">
        <v>277</v>
      </c>
      <c r="F155" s="1050" t="s">
        <v>959</v>
      </c>
      <c r="G155" s="1050">
        <v>9766935985</v>
      </c>
      <c r="H155" s="1031" t="s">
        <v>960</v>
      </c>
      <c r="I155" s="1050" t="s">
        <v>957</v>
      </c>
      <c r="J155" s="1050" t="s">
        <v>73</v>
      </c>
      <c r="K155" s="1050" t="s">
        <v>639</v>
      </c>
      <c r="L155" s="1050" t="s">
        <v>961</v>
      </c>
      <c r="M155" s="1080">
        <v>45812</v>
      </c>
      <c r="N155" s="1058">
        <v>56100</v>
      </c>
      <c r="O155" s="1058" t="s">
        <v>34</v>
      </c>
      <c r="P155" s="1058" t="s">
        <v>34</v>
      </c>
      <c r="Q155" s="1085">
        <v>1</v>
      </c>
      <c r="R155" s="1046">
        <v>4800089189</v>
      </c>
      <c r="S155" s="1061">
        <v>45862</v>
      </c>
      <c r="T155" s="1058">
        <v>55000</v>
      </c>
      <c r="U155" s="1058" t="s">
        <v>37</v>
      </c>
      <c r="V155" s="1025">
        <v>0</v>
      </c>
      <c r="W155" s="1058"/>
      <c r="X155" s="1062"/>
      <c r="Y155" s="1063"/>
      <c r="Z155" s="1077"/>
      <c r="AA155" s="1077"/>
    </row>
    <row r="156" spans="1:61" s="379" customFormat="1" ht="18" customHeight="1">
      <c r="A156" s="1030">
        <v>61</v>
      </c>
      <c r="B156" s="1037"/>
      <c r="C156" s="1050" t="s">
        <v>614</v>
      </c>
      <c r="D156" s="1050" t="s">
        <v>953</v>
      </c>
      <c r="E156" s="1050" t="s">
        <v>277</v>
      </c>
      <c r="F156" s="1050" t="s">
        <v>959</v>
      </c>
      <c r="G156" s="1050">
        <v>9766935985</v>
      </c>
      <c r="H156" s="1031" t="s">
        <v>960</v>
      </c>
      <c r="I156" s="1050" t="s">
        <v>962</v>
      </c>
      <c r="J156" s="1050" t="s">
        <v>73</v>
      </c>
      <c r="K156" s="1050" t="s">
        <v>639</v>
      </c>
      <c r="L156" s="1050" t="s">
        <v>961</v>
      </c>
      <c r="M156" s="1080">
        <v>45812</v>
      </c>
      <c r="N156" s="1058">
        <v>56100</v>
      </c>
      <c r="O156" s="1058" t="s">
        <v>34</v>
      </c>
      <c r="P156" s="1058" t="s">
        <v>34</v>
      </c>
      <c r="Q156" s="1085">
        <v>1</v>
      </c>
      <c r="R156" s="1046">
        <v>4800089189</v>
      </c>
      <c r="S156" s="1061">
        <v>45862</v>
      </c>
      <c r="T156" s="1058">
        <v>55000</v>
      </c>
      <c r="U156" s="1058" t="s">
        <v>37</v>
      </c>
      <c r="V156" s="1025">
        <v>0</v>
      </c>
      <c r="W156" s="1058"/>
      <c r="X156" s="1062"/>
      <c r="Y156" s="1063"/>
      <c r="Z156" s="1077"/>
      <c r="AA156" s="1077"/>
    </row>
    <row r="157" spans="1:61" s="381" customFormat="1" ht="18" customHeight="1">
      <c r="A157" s="1030">
        <v>61</v>
      </c>
      <c r="B157" s="1037"/>
      <c r="C157" s="1050" t="s">
        <v>614</v>
      </c>
      <c r="D157" s="1050" t="s">
        <v>953</v>
      </c>
      <c r="E157" s="1050" t="s">
        <v>277</v>
      </c>
      <c r="F157" s="1050" t="s">
        <v>959</v>
      </c>
      <c r="G157" s="1050">
        <v>9766935985</v>
      </c>
      <c r="H157" s="1031" t="s">
        <v>960</v>
      </c>
      <c r="I157" s="1425" t="s">
        <v>963</v>
      </c>
      <c r="J157" s="1425" t="s">
        <v>73</v>
      </c>
      <c r="K157" s="1425" t="s">
        <v>639</v>
      </c>
      <c r="L157" s="1425" t="s">
        <v>961</v>
      </c>
      <c r="M157" s="1080">
        <v>45812</v>
      </c>
      <c r="N157" s="1058">
        <v>56100</v>
      </c>
      <c r="O157" s="1058" t="s">
        <v>34</v>
      </c>
      <c r="P157" s="1058" t="s">
        <v>34</v>
      </c>
      <c r="Q157" s="1085">
        <v>1</v>
      </c>
      <c r="R157" s="1559">
        <v>4800089189</v>
      </c>
      <c r="S157" s="1061">
        <v>45862</v>
      </c>
      <c r="T157" s="1058">
        <v>55000</v>
      </c>
      <c r="U157" s="1058" t="s">
        <v>37</v>
      </c>
      <c r="V157" s="1025">
        <v>0</v>
      </c>
      <c r="W157" s="1058"/>
      <c r="X157" s="1062"/>
      <c r="Y157" s="1063"/>
      <c r="Z157" s="1077"/>
      <c r="AA157" s="1077"/>
    </row>
    <row r="158" spans="1:61" s="379" customFormat="1" ht="18" customHeight="1">
      <c r="A158" s="1095">
        <v>61</v>
      </c>
      <c r="B158" s="1037"/>
      <c r="C158" s="1050" t="s">
        <v>614</v>
      </c>
      <c r="D158" s="1050" t="s">
        <v>953</v>
      </c>
      <c r="E158" s="1050" t="s">
        <v>277</v>
      </c>
      <c r="F158" s="1050" t="s">
        <v>959</v>
      </c>
      <c r="G158" s="1050">
        <v>9766935985</v>
      </c>
      <c r="H158" s="1031" t="s">
        <v>960</v>
      </c>
      <c r="I158" s="1425" t="s">
        <v>964</v>
      </c>
      <c r="J158" s="1425" t="s">
        <v>73</v>
      </c>
      <c r="K158" s="1884" t="s">
        <v>639</v>
      </c>
      <c r="L158" s="1884" t="s">
        <v>961</v>
      </c>
      <c r="M158" s="1080">
        <v>45812</v>
      </c>
      <c r="N158" s="1058">
        <v>56100</v>
      </c>
      <c r="O158" s="1058" t="s">
        <v>34</v>
      </c>
      <c r="P158" s="1058" t="s">
        <v>34</v>
      </c>
      <c r="Q158" s="1085">
        <v>1</v>
      </c>
      <c r="R158" s="1072">
        <v>4800089189</v>
      </c>
      <c r="S158" s="1061">
        <v>45862</v>
      </c>
      <c r="T158" s="1058">
        <v>55000</v>
      </c>
      <c r="U158" s="1058" t="s">
        <v>37</v>
      </c>
      <c r="V158" s="1025">
        <v>0</v>
      </c>
      <c r="W158" s="1058"/>
      <c r="X158" s="1062"/>
      <c r="Y158" s="1076"/>
      <c r="Z158" s="1077"/>
      <c r="AA158" s="1077"/>
    </row>
    <row r="159" spans="1:61" s="381" customFormat="1" ht="18" customHeight="1">
      <c r="A159" s="1968">
        <v>62</v>
      </c>
      <c r="B159" s="2661">
        <v>45812</v>
      </c>
      <c r="C159" s="1969" t="s">
        <v>965</v>
      </c>
      <c r="D159" s="1969" t="s">
        <v>133</v>
      </c>
      <c r="E159" s="1969" t="s">
        <v>277</v>
      </c>
      <c r="F159" s="1969" t="s">
        <v>966</v>
      </c>
      <c r="G159" s="1969">
        <v>9970002053</v>
      </c>
      <c r="H159" s="2669" t="s">
        <v>967</v>
      </c>
      <c r="I159" s="1969" t="s">
        <v>968</v>
      </c>
      <c r="J159" s="1969" t="s">
        <v>73</v>
      </c>
      <c r="K159" s="1969" t="s">
        <v>639</v>
      </c>
      <c r="L159" s="2673" t="s">
        <v>969</v>
      </c>
      <c r="M159" s="2674">
        <v>45812</v>
      </c>
      <c r="N159" s="2673">
        <v>85000</v>
      </c>
      <c r="O159" s="2673" t="s">
        <v>34</v>
      </c>
      <c r="P159" s="2673" t="s">
        <v>34</v>
      </c>
      <c r="Q159" s="2679">
        <v>1</v>
      </c>
      <c r="R159" s="1969" t="s">
        <v>970</v>
      </c>
      <c r="S159" s="2687">
        <v>45852</v>
      </c>
      <c r="T159" s="1083">
        <v>78000</v>
      </c>
      <c r="U159" s="1083" t="s">
        <v>37</v>
      </c>
      <c r="V159" s="1973">
        <v>0</v>
      </c>
      <c r="W159" s="1083"/>
      <c r="X159" s="1970"/>
      <c r="Y159" s="1971"/>
      <c r="Z159" s="1077"/>
      <c r="AA159" s="1077"/>
    </row>
    <row r="160" spans="1:61" s="402" customFormat="1" ht="18" customHeight="1">
      <c r="A160" s="487">
        <v>63</v>
      </c>
      <c r="B160" s="2663">
        <v>45812</v>
      </c>
      <c r="C160" s="3045" t="s">
        <v>444</v>
      </c>
      <c r="D160" s="3046" t="s">
        <v>133</v>
      </c>
      <c r="E160" s="3046" t="s">
        <v>445</v>
      </c>
      <c r="F160" s="3046" t="s">
        <v>446</v>
      </c>
      <c r="G160" s="3046">
        <v>7045525011</v>
      </c>
      <c r="H160" s="2670" t="s">
        <v>447</v>
      </c>
      <c r="I160" s="489" t="s">
        <v>448</v>
      </c>
      <c r="J160" s="489" t="s">
        <v>83</v>
      </c>
      <c r="K160" s="489" t="s">
        <v>639</v>
      </c>
      <c r="L160" s="2648" t="s">
        <v>971</v>
      </c>
      <c r="M160" s="2675">
        <v>45812</v>
      </c>
      <c r="N160" s="2677">
        <v>550271</v>
      </c>
      <c r="O160" s="2677" t="s">
        <v>34</v>
      </c>
      <c r="P160" s="2677" t="s">
        <v>49</v>
      </c>
      <c r="Q160" s="2680">
        <v>0.5</v>
      </c>
      <c r="R160" s="2683"/>
      <c r="S160" s="2688"/>
      <c r="T160" s="490"/>
      <c r="U160" s="490"/>
      <c r="V160" s="284">
        <f>Table626893456[[#This Row],[Offer Value]]-Table626893456[[#This Row],[PO Value]]</f>
        <v>550271</v>
      </c>
      <c r="W160" s="490"/>
      <c r="X160" s="981"/>
      <c r="Y160" s="494"/>
      <c r="Z160" s="658"/>
      <c r="AA160" s="658"/>
      <c r="AB160" s="379"/>
      <c r="AC160" s="379"/>
      <c r="AD160" s="379"/>
      <c r="AE160" s="379"/>
      <c r="AF160" s="379"/>
      <c r="AG160" s="379"/>
      <c r="AH160" s="379"/>
      <c r="AI160" s="379"/>
      <c r="AJ160" s="379"/>
      <c r="AK160" s="379"/>
      <c r="AL160" s="379"/>
      <c r="AM160" s="379"/>
      <c r="AN160" s="379"/>
      <c r="AO160" s="379"/>
      <c r="AP160" s="379"/>
      <c r="AQ160" s="379"/>
      <c r="AR160" s="379"/>
      <c r="AS160" s="379"/>
      <c r="AT160" s="379"/>
      <c r="AU160" s="379"/>
      <c r="AV160" s="379"/>
      <c r="AW160" s="379"/>
      <c r="AX160" s="379"/>
      <c r="AY160" s="379"/>
      <c r="AZ160" s="379"/>
      <c r="BA160" s="379"/>
      <c r="BB160" s="379"/>
      <c r="BC160" s="379"/>
      <c r="BD160" s="379"/>
      <c r="BE160" s="379"/>
      <c r="BF160" s="379"/>
      <c r="BG160" s="379"/>
      <c r="BH160" s="379"/>
      <c r="BI160" s="379"/>
    </row>
    <row r="161" spans="1:61" s="379" customFormat="1" ht="18" customHeight="1">
      <c r="A161" s="1030">
        <v>64</v>
      </c>
      <c r="B161" s="2660">
        <v>45829</v>
      </c>
      <c r="C161" s="1884" t="s">
        <v>656</v>
      </c>
      <c r="D161" s="1050" t="s">
        <v>133</v>
      </c>
      <c r="E161" s="1050" t="s">
        <v>972</v>
      </c>
      <c r="F161" s="1050" t="s">
        <v>973</v>
      </c>
      <c r="G161" s="1050"/>
      <c r="H161" s="1031" t="s">
        <v>974</v>
      </c>
      <c r="I161" s="1050" t="s">
        <v>666</v>
      </c>
      <c r="J161" s="1050" t="s">
        <v>74</v>
      </c>
      <c r="K161" s="1050" t="s">
        <v>639</v>
      </c>
      <c r="L161" s="1884" t="s">
        <v>975</v>
      </c>
      <c r="M161" s="1884"/>
      <c r="N161" s="2676">
        <v>470000</v>
      </c>
      <c r="O161" s="2676" t="s">
        <v>34</v>
      </c>
      <c r="P161" s="2676" t="s">
        <v>34</v>
      </c>
      <c r="Q161" s="2678">
        <v>1</v>
      </c>
      <c r="R161" s="2682" t="s">
        <v>976</v>
      </c>
      <c r="S161" s="1066">
        <v>45831</v>
      </c>
      <c r="T161" s="1067">
        <v>208550</v>
      </c>
      <c r="U161" s="1067" t="s">
        <v>34</v>
      </c>
      <c r="V161" s="2690">
        <v>261450</v>
      </c>
      <c r="W161" s="1058"/>
      <c r="X161" s="1062"/>
      <c r="Y161" s="1063"/>
      <c r="Z161" s="656"/>
      <c r="AA161" s="656"/>
    </row>
    <row r="162" spans="1:61" s="381" customFormat="1" ht="18" customHeight="1">
      <c r="A162" s="2033">
        <v>65</v>
      </c>
      <c r="B162" s="2662">
        <v>45838</v>
      </c>
      <c r="C162" s="1638" t="s">
        <v>687</v>
      </c>
      <c r="D162" s="1638" t="s">
        <v>304</v>
      </c>
      <c r="E162" s="1638" t="s">
        <v>688</v>
      </c>
      <c r="F162" s="1638" t="s">
        <v>977</v>
      </c>
      <c r="G162" s="1638">
        <v>2268558345</v>
      </c>
      <c r="H162" s="2034" t="s">
        <v>978</v>
      </c>
      <c r="I162" s="1638" t="s">
        <v>979</v>
      </c>
      <c r="J162" s="2035" t="s">
        <v>83</v>
      </c>
      <c r="K162" s="1972" t="s">
        <v>685</v>
      </c>
      <c r="L162" s="2032" t="s">
        <v>980</v>
      </c>
      <c r="M162" s="1080">
        <v>45838</v>
      </c>
      <c r="N162" s="1067">
        <v>760616</v>
      </c>
      <c r="O162" s="1102" t="s">
        <v>34</v>
      </c>
      <c r="P162" s="1900" t="s">
        <v>39</v>
      </c>
      <c r="Q162" s="2036">
        <v>1</v>
      </c>
      <c r="R162" s="1972">
        <v>9709277663</v>
      </c>
      <c r="S162" s="2037">
        <v>45887</v>
      </c>
      <c r="T162" s="1067">
        <v>737797</v>
      </c>
      <c r="U162" s="1900" t="s">
        <v>39</v>
      </c>
      <c r="V162" s="2691">
        <v>0</v>
      </c>
      <c r="W162" s="1638"/>
      <c r="X162" s="1970"/>
      <c r="Y162" s="2700"/>
      <c r="Z162" s="1077"/>
      <c r="AA162" s="1077"/>
    </row>
    <row r="163" spans="1:61" s="381" customFormat="1" ht="18" customHeight="1">
      <c r="A163" s="487">
        <v>66</v>
      </c>
      <c r="B163" s="488">
        <v>45840</v>
      </c>
      <c r="C163" s="489" t="s">
        <v>402</v>
      </c>
      <c r="D163" s="489" t="s">
        <v>133</v>
      </c>
      <c r="E163" s="489" t="s">
        <v>277</v>
      </c>
      <c r="F163" s="489" t="s">
        <v>981</v>
      </c>
      <c r="G163" s="489">
        <v>9689900920</v>
      </c>
      <c r="H163" s="383" t="s">
        <v>982</v>
      </c>
      <c r="I163" s="489" t="s">
        <v>405</v>
      </c>
      <c r="J163" s="489" t="s">
        <v>80</v>
      </c>
      <c r="K163" s="489" t="s">
        <v>685</v>
      </c>
      <c r="L163" s="489" t="s">
        <v>983</v>
      </c>
      <c r="M163" s="489">
        <v>45829</v>
      </c>
      <c r="N163" s="490">
        <v>2625000</v>
      </c>
      <c r="O163" s="490" t="s">
        <v>34</v>
      </c>
      <c r="P163" s="490" t="s">
        <v>49</v>
      </c>
      <c r="Q163" s="491">
        <v>0.5</v>
      </c>
      <c r="R163" s="492"/>
      <c r="S163" s="493"/>
      <c r="T163" s="490"/>
      <c r="U163" s="490"/>
      <c r="V163" s="1691">
        <v>2625000</v>
      </c>
      <c r="W163" s="490"/>
      <c r="X163" s="981"/>
      <c r="Y163" s="2701"/>
      <c r="Z163" s="1077" t="s">
        <v>157</v>
      </c>
      <c r="AA163" s="1077" t="s">
        <v>208</v>
      </c>
    </row>
    <row r="164" spans="1:61" s="379" customFormat="1" ht="18" customHeight="1">
      <c r="A164" s="1974">
        <v>67</v>
      </c>
      <c r="B164" s="2664">
        <v>45810</v>
      </c>
      <c r="C164" s="1975" t="s">
        <v>984</v>
      </c>
      <c r="D164" s="1975" t="s">
        <v>985</v>
      </c>
      <c r="E164" s="1975" t="s">
        <v>986</v>
      </c>
      <c r="F164" s="1975" t="s">
        <v>987</v>
      </c>
      <c r="G164" s="1975">
        <v>8459230159</v>
      </c>
      <c r="H164" s="1976" t="s">
        <v>988</v>
      </c>
      <c r="I164" s="1975" t="s">
        <v>989</v>
      </c>
      <c r="J164" s="1975" t="s">
        <v>73</v>
      </c>
      <c r="K164" s="1975" t="s">
        <v>639</v>
      </c>
      <c r="L164" s="1975" t="s">
        <v>990</v>
      </c>
      <c r="M164" s="1977">
        <v>45840</v>
      </c>
      <c r="N164" s="1978">
        <v>82000</v>
      </c>
      <c r="O164" s="1978" t="s">
        <v>37</v>
      </c>
      <c r="P164" s="1978" t="s">
        <v>37</v>
      </c>
      <c r="Q164" s="1979">
        <v>1</v>
      </c>
      <c r="R164" s="1975">
        <v>1600034060</v>
      </c>
      <c r="S164" s="1977">
        <v>45867</v>
      </c>
      <c r="T164" s="1978">
        <v>79540</v>
      </c>
      <c r="U164" s="1978" t="s">
        <v>37</v>
      </c>
      <c r="V164" s="1973">
        <v>0</v>
      </c>
      <c r="W164" s="1978"/>
      <c r="X164" s="2694"/>
      <c r="Y164" s="2699"/>
      <c r="Z164" s="656" t="s">
        <v>157</v>
      </c>
      <c r="AA164" s="656"/>
    </row>
    <row r="165" spans="1:61" s="402" customFormat="1" ht="18" customHeight="1">
      <c r="A165" s="1974">
        <v>67</v>
      </c>
      <c r="B165" s="1978"/>
      <c r="C165" s="1975" t="s">
        <v>984</v>
      </c>
      <c r="D165" s="1975" t="s">
        <v>985</v>
      </c>
      <c r="E165" s="1975" t="s">
        <v>991</v>
      </c>
      <c r="F165" s="1975" t="s">
        <v>987</v>
      </c>
      <c r="G165" s="1975">
        <v>8459230159</v>
      </c>
      <c r="H165" s="1976" t="s">
        <v>988</v>
      </c>
      <c r="I165" s="1975" t="s">
        <v>992</v>
      </c>
      <c r="J165" s="1975" t="s">
        <v>73</v>
      </c>
      <c r="K165" s="1975" t="s">
        <v>639</v>
      </c>
      <c r="L165" s="1975" t="s">
        <v>990</v>
      </c>
      <c r="M165" s="1977">
        <v>45840</v>
      </c>
      <c r="N165" s="1978">
        <v>82000</v>
      </c>
      <c r="O165" s="1978" t="s">
        <v>37</v>
      </c>
      <c r="P165" s="1978" t="s">
        <v>37</v>
      </c>
      <c r="Q165" s="1979">
        <v>1</v>
      </c>
      <c r="R165" s="1975">
        <v>1600034060</v>
      </c>
      <c r="S165" s="1977">
        <v>45867</v>
      </c>
      <c r="T165" s="1978">
        <v>79540</v>
      </c>
      <c r="U165" s="1978" t="s">
        <v>37</v>
      </c>
      <c r="V165" s="1973">
        <v>0</v>
      </c>
      <c r="W165" s="1978"/>
      <c r="X165" s="2694"/>
      <c r="Y165" s="2699"/>
      <c r="Z165" s="1980"/>
      <c r="AA165" s="1980"/>
      <c r="AB165" s="379"/>
      <c r="AC165" s="379"/>
      <c r="AD165" s="379"/>
      <c r="AE165" s="379"/>
      <c r="AF165" s="379"/>
      <c r="AG165" s="379"/>
      <c r="AH165" s="379"/>
      <c r="AI165" s="379"/>
      <c r="AJ165" s="379"/>
      <c r="AK165" s="379"/>
      <c r="AL165" s="379"/>
      <c r="AM165" s="379"/>
      <c r="AN165" s="379"/>
      <c r="AO165" s="379"/>
      <c r="AP165" s="379"/>
      <c r="AQ165" s="379"/>
      <c r="AR165" s="379"/>
      <c r="AS165" s="379"/>
      <c r="AT165" s="379"/>
      <c r="AU165" s="379"/>
      <c r="AV165" s="379"/>
      <c r="AW165" s="379"/>
      <c r="AX165" s="379"/>
      <c r="AY165" s="379"/>
      <c r="AZ165" s="379"/>
      <c r="BA165" s="379"/>
      <c r="BB165" s="379"/>
      <c r="BC165" s="379"/>
      <c r="BD165" s="379"/>
      <c r="BE165" s="379"/>
      <c r="BF165" s="379"/>
      <c r="BG165" s="379"/>
      <c r="BH165" s="379"/>
      <c r="BI165" s="379"/>
    </row>
    <row r="166" spans="1:61" s="379" customFormat="1" ht="18" customHeight="1">
      <c r="A166" s="1030">
        <v>68</v>
      </c>
      <c r="B166" s="1037">
        <v>45840</v>
      </c>
      <c r="C166" s="1050" t="s">
        <v>993</v>
      </c>
      <c r="D166" s="1050" t="s">
        <v>133</v>
      </c>
      <c r="E166" s="1050" t="s">
        <v>277</v>
      </c>
      <c r="F166" s="1050" t="s">
        <v>994</v>
      </c>
      <c r="G166" s="1050">
        <v>9767455949</v>
      </c>
      <c r="H166" s="1031" t="s">
        <v>995</v>
      </c>
      <c r="I166" s="1050" t="s">
        <v>996</v>
      </c>
      <c r="J166" s="1050" t="s">
        <v>73</v>
      </c>
      <c r="K166" s="1050" t="s">
        <v>639</v>
      </c>
      <c r="L166" s="1050" t="s">
        <v>997</v>
      </c>
      <c r="M166" s="1080">
        <v>45840</v>
      </c>
      <c r="N166" s="1058">
        <v>46000</v>
      </c>
      <c r="O166" s="1058" t="s">
        <v>37</v>
      </c>
      <c r="P166" s="1058" t="s">
        <v>37</v>
      </c>
      <c r="Q166" s="1085">
        <v>1</v>
      </c>
      <c r="R166" s="1046">
        <v>4400012768</v>
      </c>
      <c r="S166" s="1061">
        <v>45845</v>
      </c>
      <c r="T166" s="1058">
        <v>46000</v>
      </c>
      <c r="U166" s="1058" t="s">
        <v>37</v>
      </c>
      <c r="V166" s="1025">
        <v>0</v>
      </c>
      <c r="W166" s="1058"/>
      <c r="X166" s="1062"/>
      <c r="Y166" s="1063"/>
      <c r="Z166" s="1980"/>
      <c r="AA166" s="1980"/>
    </row>
    <row r="167" spans="1:61" s="402" customFormat="1" ht="36.75" customHeight="1">
      <c r="A167" s="1030">
        <v>69</v>
      </c>
      <c r="B167" s="1886">
        <v>45839</v>
      </c>
      <c r="C167" s="1050" t="s">
        <v>998</v>
      </c>
      <c r="D167" s="1050" t="s">
        <v>133</v>
      </c>
      <c r="E167" s="1050" t="s">
        <v>277</v>
      </c>
      <c r="F167" s="1050" t="s">
        <v>999</v>
      </c>
      <c r="G167" s="1050"/>
      <c r="H167" s="1031" t="s">
        <v>1000</v>
      </c>
      <c r="I167" s="1033" t="s">
        <v>1001</v>
      </c>
      <c r="J167" s="1050" t="s">
        <v>77</v>
      </c>
      <c r="K167" s="1050" t="s">
        <v>639</v>
      </c>
      <c r="L167" s="1050" t="s">
        <v>1002</v>
      </c>
      <c r="M167" s="1080">
        <v>45839</v>
      </c>
      <c r="N167" s="1058">
        <v>395000</v>
      </c>
      <c r="O167" s="1058" t="s">
        <v>37</v>
      </c>
      <c r="P167" s="1058" t="s">
        <v>37</v>
      </c>
      <c r="Q167" s="1085">
        <v>1</v>
      </c>
      <c r="R167" s="1887" t="s">
        <v>1003</v>
      </c>
      <c r="S167" s="1061">
        <v>45852</v>
      </c>
      <c r="T167" s="1030">
        <v>390000</v>
      </c>
      <c r="U167" s="1030" t="s">
        <v>37</v>
      </c>
      <c r="V167" s="1025">
        <v>0</v>
      </c>
      <c r="W167" s="1030"/>
      <c r="X167" s="2696"/>
      <c r="Y167" s="1063"/>
      <c r="Z167" s="1077"/>
      <c r="AA167" s="1077"/>
      <c r="AB167" s="379"/>
      <c r="AC167" s="379"/>
      <c r="AD167" s="379"/>
      <c r="AE167" s="379"/>
      <c r="AF167" s="379"/>
      <c r="AG167" s="379"/>
      <c r="AH167" s="379"/>
      <c r="AI167" s="379"/>
      <c r="AJ167" s="379"/>
      <c r="AK167" s="379"/>
      <c r="AL167" s="379"/>
      <c r="AM167" s="379"/>
      <c r="AN167" s="379"/>
      <c r="AO167" s="379"/>
      <c r="AP167" s="379"/>
      <c r="AQ167" s="379"/>
      <c r="AR167" s="379"/>
      <c r="AS167" s="379"/>
      <c r="AT167" s="379"/>
      <c r="AU167" s="379"/>
      <c r="AV167" s="379"/>
      <c r="AW167" s="379"/>
      <c r="AX167" s="379"/>
      <c r="AY167" s="379"/>
      <c r="AZ167" s="379"/>
      <c r="BA167" s="379"/>
      <c r="BB167" s="379"/>
      <c r="BC167" s="379"/>
      <c r="BD167" s="379"/>
      <c r="BE167" s="379"/>
      <c r="BF167" s="379"/>
      <c r="BG167" s="379"/>
      <c r="BH167" s="379"/>
      <c r="BI167" s="379"/>
    </row>
    <row r="168" spans="1:61" s="379" customFormat="1" ht="18" customHeight="1">
      <c r="A168" s="2327">
        <v>70</v>
      </c>
      <c r="B168" s="2534">
        <v>45834</v>
      </c>
      <c r="C168" s="1983" t="s">
        <v>792</v>
      </c>
      <c r="D168" s="1983" t="s">
        <v>601</v>
      </c>
      <c r="E168" s="1983" t="s">
        <v>191</v>
      </c>
      <c r="F168" s="1984" t="s">
        <v>793</v>
      </c>
      <c r="G168" s="1984">
        <v>7796646965</v>
      </c>
      <c r="H168" s="2317" t="s">
        <v>794</v>
      </c>
      <c r="I168" s="2672" t="s">
        <v>810</v>
      </c>
      <c r="J168" s="1983" t="s">
        <v>75</v>
      </c>
      <c r="K168" s="1983" t="s">
        <v>685</v>
      </c>
      <c r="L168" s="1983" t="s">
        <v>1004</v>
      </c>
      <c r="M168" s="2535">
        <v>45834</v>
      </c>
      <c r="N168" s="2531">
        <v>587640</v>
      </c>
      <c r="O168" s="2531" t="s">
        <v>37</v>
      </c>
      <c r="P168" s="2531" t="s">
        <v>49</v>
      </c>
      <c r="Q168" s="2536">
        <v>0.5</v>
      </c>
      <c r="R168" s="2537"/>
      <c r="S168" s="2538"/>
      <c r="T168" s="2531"/>
      <c r="U168" s="2531"/>
      <c r="V168" s="2299">
        <f>Table626893456[[#This Row],[Offer Value]]-Table626893456[[#This Row],[PO Value]]</f>
        <v>587640</v>
      </c>
      <c r="W168" s="2693"/>
      <c r="X168" s="2697"/>
      <c r="Y168" s="2702"/>
      <c r="Z168" s="1888"/>
      <c r="AA168" s="1888"/>
    </row>
    <row r="169" spans="1:61" s="402" customFormat="1" ht="18" customHeight="1">
      <c r="A169" s="1030">
        <v>71</v>
      </c>
      <c r="B169" s="1886">
        <v>45859</v>
      </c>
      <c r="C169" s="1050" t="s">
        <v>656</v>
      </c>
      <c r="D169" s="1050" t="s">
        <v>133</v>
      </c>
      <c r="E169" s="1050" t="s">
        <v>1005</v>
      </c>
      <c r="F169" s="1050" t="s">
        <v>1006</v>
      </c>
      <c r="G169" s="1050">
        <v>9881128312</v>
      </c>
      <c r="H169" s="1031" t="s">
        <v>1007</v>
      </c>
      <c r="I169" s="1033" t="s">
        <v>669</v>
      </c>
      <c r="J169" s="1050" t="s">
        <v>75</v>
      </c>
      <c r="K169" s="1050" t="s">
        <v>685</v>
      </c>
      <c r="L169" s="1050" t="s">
        <v>1008</v>
      </c>
      <c r="M169" s="1080">
        <v>45859</v>
      </c>
      <c r="N169" s="1058">
        <v>171548</v>
      </c>
      <c r="O169" s="1058" t="s">
        <v>37</v>
      </c>
      <c r="P169" s="1058" t="s">
        <v>39</v>
      </c>
      <c r="Q169" s="1085">
        <v>1</v>
      </c>
      <c r="R169" s="1887" t="s">
        <v>1009</v>
      </c>
      <c r="S169" s="1061">
        <v>45919</v>
      </c>
      <c r="T169" s="1030">
        <v>208550</v>
      </c>
      <c r="U169" s="1030" t="s">
        <v>44</v>
      </c>
      <c r="V169" s="1025">
        <v>0</v>
      </c>
      <c r="W169" s="2692"/>
      <c r="X169" s="2695"/>
      <c r="Y169" s="1063"/>
      <c r="Z169" s="657" t="s">
        <v>1010</v>
      </c>
      <c r="AA169" s="657"/>
      <c r="AB169" s="379"/>
      <c r="AC169" s="379"/>
      <c r="AD169" s="379"/>
      <c r="AE169" s="379"/>
      <c r="AF169" s="379"/>
      <c r="AG169" s="379"/>
      <c r="AH169" s="379"/>
      <c r="AI169" s="379"/>
      <c r="AJ169" s="379"/>
      <c r="AK169" s="379"/>
      <c r="AL169" s="379"/>
      <c r="AM169" s="379"/>
      <c r="AN169" s="379"/>
      <c r="AO169" s="379"/>
      <c r="AP169" s="379"/>
      <c r="AQ169" s="379"/>
      <c r="AR169" s="379"/>
      <c r="AS169" s="379"/>
      <c r="AT169" s="379"/>
      <c r="AU169" s="379"/>
      <c r="AV169" s="379"/>
      <c r="AW169" s="379"/>
      <c r="AX169" s="379"/>
      <c r="AY169" s="379"/>
      <c r="AZ169" s="379"/>
      <c r="BA169" s="379"/>
      <c r="BB169" s="379"/>
      <c r="BC169" s="379"/>
      <c r="BD169" s="379"/>
      <c r="BE169" s="379"/>
      <c r="BF169" s="379"/>
      <c r="BG169" s="379"/>
      <c r="BH169" s="379"/>
      <c r="BI169" s="379"/>
    </row>
    <row r="170" spans="1:61" s="379" customFormat="1" ht="18" customHeight="1">
      <c r="A170" s="1340">
        <v>72</v>
      </c>
      <c r="B170" s="2025">
        <v>45869</v>
      </c>
      <c r="C170" s="1684" t="s">
        <v>625</v>
      </c>
      <c r="D170" s="1684" t="s">
        <v>133</v>
      </c>
      <c r="E170" s="1684" t="s">
        <v>1011</v>
      </c>
      <c r="F170" s="1684" t="s">
        <v>1012</v>
      </c>
      <c r="G170" s="2667"/>
      <c r="H170" s="1354" t="s">
        <v>1013</v>
      </c>
      <c r="I170" s="1684" t="s">
        <v>649</v>
      </c>
      <c r="J170" s="1684" t="s">
        <v>77</v>
      </c>
      <c r="K170" s="1684" t="s">
        <v>138</v>
      </c>
      <c r="L170" s="1684" t="s">
        <v>1014</v>
      </c>
      <c r="M170" s="1774">
        <v>45869</v>
      </c>
      <c r="N170" s="1340">
        <v>395000</v>
      </c>
      <c r="O170" s="1340" t="s">
        <v>37</v>
      </c>
      <c r="P170" s="1340" t="s">
        <v>39</v>
      </c>
      <c r="Q170" s="1775">
        <v>1</v>
      </c>
      <c r="R170" s="2658">
        <v>10095414</v>
      </c>
      <c r="S170" s="2027">
        <v>45875</v>
      </c>
      <c r="T170" s="1340">
        <v>375250</v>
      </c>
      <c r="U170" s="1340" t="s">
        <v>39</v>
      </c>
      <c r="V170" s="1349">
        <v>0</v>
      </c>
      <c r="W170" s="1340"/>
      <c r="X170" s="2031"/>
      <c r="Y170" s="2030"/>
      <c r="Z170" s="1077"/>
      <c r="AA170" s="1077"/>
    </row>
    <row r="171" spans="1:61" s="379" customFormat="1" ht="18">
      <c r="A171" s="1340">
        <v>73</v>
      </c>
      <c r="B171" s="2025">
        <v>45870</v>
      </c>
      <c r="C171" s="1684" t="s">
        <v>1015</v>
      </c>
      <c r="D171" s="1684" t="s">
        <v>133</v>
      </c>
      <c r="E171" s="1684" t="s">
        <v>277</v>
      </c>
      <c r="F171" s="1684" t="s">
        <v>1016</v>
      </c>
      <c r="G171" s="2605">
        <v>9552546923</v>
      </c>
      <c r="H171" s="1354" t="s">
        <v>1017</v>
      </c>
      <c r="I171" s="1684" t="s">
        <v>1018</v>
      </c>
      <c r="J171" s="1684" t="s">
        <v>73</v>
      </c>
      <c r="K171" s="1684" t="s">
        <v>138</v>
      </c>
      <c r="L171" s="1684" t="s">
        <v>1019</v>
      </c>
      <c r="M171" s="1774">
        <v>45870</v>
      </c>
      <c r="N171" s="1340">
        <v>75000</v>
      </c>
      <c r="O171" s="1340" t="s">
        <v>39</v>
      </c>
      <c r="P171" s="1340" t="s">
        <v>47</v>
      </c>
      <c r="Q171" s="1775">
        <v>1</v>
      </c>
      <c r="R171" s="2685">
        <v>1100035470</v>
      </c>
      <c r="S171" s="2027">
        <v>45959</v>
      </c>
      <c r="T171" s="1340">
        <v>67000</v>
      </c>
      <c r="U171" s="1340" t="s">
        <v>47</v>
      </c>
      <c r="V171" s="1349">
        <v>0</v>
      </c>
      <c r="W171" s="1340"/>
      <c r="X171" s="2031"/>
      <c r="Y171" s="2030"/>
      <c r="Z171" s="1352"/>
      <c r="AA171" s="1352"/>
    </row>
    <row r="172" spans="1:61" s="379" customFormat="1" ht="18">
      <c r="A172" s="1340">
        <v>73</v>
      </c>
      <c r="B172" s="2025"/>
      <c r="C172" s="1684" t="s">
        <v>1015</v>
      </c>
      <c r="D172" s="1684" t="s">
        <v>133</v>
      </c>
      <c r="E172" s="1684" t="s">
        <v>277</v>
      </c>
      <c r="F172" s="1684" t="s">
        <v>1016</v>
      </c>
      <c r="G172" s="2605">
        <v>9552546923</v>
      </c>
      <c r="H172" s="1354" t="s">
        <v>1017</v>
      </c>
      <c r="I172" s="1684" t="s">
        <v>1020</v>
      </c>
      <c r="J172" s="1684" t="s">
        <v>73</v>
      </c>
      <c r="K172" s="1684" t="s">
        <v>138</v>
      </c>
      <c r="L172" s="1684" t="s">
        <v>1019</v>
      </c>
      <c r="M172" s="1774">
        <v>45870</v>
      </c>
      <c r="N172" s="1340">
        <v>75000</v>
      </c>
      <c r="O172" s="1340" t="s">
        <v>39</v>
      </c>
      <c r="P172" s="1340" t="s">
        <v>47</v>
      </c>
      <c r="Q172" s="1775">
        <v>1</v>
      </c>
      <c r="R172" s="2026">
        <v>1100035470</v>
      </c>
      <c r="S172" s="2027">
        <v>45959</v>
      </c>
      <c r="T172" s="1340">
        <v>67000</v>
      </c>
      <c r="U172" s="1340" t="s">
        <v>47</v>
      </c>
      <c r="V172" s="1349">
        <v>0</v>
      </c>
      <c r="W172" s="1340"/>
      <c r="X172" s="2031"/>
      <c r="Y172" s="2030"/>
      <c r="Z172" s="656"/>
      <c r="AA172" s="656"/>
    </row>
    <row r="173" spans="1:61" s="379" customFormat="1" ht="18">
      <c r="A173" s="1340">
        <v>74</v>
      </c>
      <c r="B173" s="2025">
        <v>45837</v>
      </c>
      <c r="C173" s="1342" t="s">
        <v>600</v>
      </c>
      <c r="D173" s="1342" t="s">
        <v>601</v>
      </c>
      <c r="E173" s="1342" t="s">
        <v>191</v>
      </c>
      <c r="F173" s="1342" t="s">
        <v>1021</v>
      </c>
      <c r="G173" s="2647"/>
      <c r="H173" s="1343" t="s">
        <v>1022</v>
      </c>
      <c r="I173" s="1342" t="s">
        <v>1023</v>
      </c>
      <c r="J173" s="1342" t="s">
        <v>73</v>
      </c>
      <c r="K173" s="1342" t="s">
        <v>639</v>
      </c>
      <c r="L173" s="1342" t="s">
        <v>1024</v>
      </c>
      <c r="M173" s="1344">
        <v>45837</v>
      </c>
      <c r="N173" s="1345">
        <v>80000</v>
      </c>
      <c r="O173" s="1345" t="s">
        <v>37</v>
      </c>
      <c r="P173" s="1345" t="s">
        <v>44</v>
      </c>
      <c r="Q173" s="1775">
        <v>1</v>
      </c>
      <c r="R173" s="1347" t="s">
        <v>1025</v>
      </c>
      <c r="S173" s="1348" t="s">
        <v>1026</v>
      </c>
      <c r="T173" s="1345">
        <v>80000</v>
      </c>
      <c r="U173" s="1345" t="s">
        <v>44</v>
      </c>
      <c r="V173" s="1349">
        <f>Table626893456[[#This Row],[Offer Value]]-Table626893456[[#This Row],[PO Value]]</f>
        <v>0</v>
      </c>
      <c r="W173" s="2028"/>
      <c r="X173" s="2029"/>
      <c r="Y173" s="2030"/>
      <c r="Z173" s="656"/>
      <c r="AA173" s="656"/>
    </row>
    <row r="174" spans="1:61" s="381" customFormat="1" ht="18" customHeight="1">
      <c r="A174" s="1340">
        <v>74</v>
      </c>
      <c r="B174" s="2025"/>
      <c r="C174" s="1342" t="s">
        <v>600</v>
      </c>
      <c r="D174" s="1342" t="s">
        <v>601</v>
      </c>
      <c r="E174" s="1342" t="s">
        <v>191</v>
      </c>
      <c r="F174" s="1342" t="s">
        <v>1021</v>
      </c>
      <c r="G174" s="1342"/>
      <c r="H174" s="1343" t="s">
        <v>1022</v>
      </c>
      <c r="I174" s="1684"/>
      <c r="J174" s="1684" t="s">
        <v>73</v>
      </c>
      <c r="K174" s="1684" t="s">
        <v>138</v>
      </c>
      <c r="L174" s="1342" t="s">
        <v>1024</v>
      </c>
      <c r="M174" s="1774">
        <v>45837</v>
      </c>
      <c r="N174" s="1340">
        <v>80000</v>
      </c>
      <c r="O174" s="1340" t="s">
        <v>37</v>
      </c>
      <c r="P174" s="1340" t="s">
        <v>44</v>
      </c>
      <c r="Q174" s="1775">
        <v>1</v>
      </c>
      <c r="R174" s="2026" t="s">
        <v>1025</v>
      </c>
      <c r="S174" s="1348" t="s">
        <v>1027</v>
      </c>
      <c r="T174" s="1340">
        <v>80000</v>
      </c>
      <c r="U174" s="1340" t="s">
        <v>44</v>
      </c>
      <c r="V174" s="1349">
        <f>Table626893456[[#This Row],[Offer Value]]-Table626893456[[#This Row],[PO Value]]</f>
        <v>0</v>
      </c>
      <c r="W174" s="1340"/>
      <c r="X174" s="2031"/>
      <c r="Y174" s="2318"/>
      <c r="Z174" s="1352"/>
      <c r="AA174" s="1352"/>
      <c r="AB174" s="379"/>
      <c r="AC174" s="379"/>
      <c r="AD174" s="379"/>
      <c r="AE174" s="379"/>
      <c r="AF174" s="379"/>
      <c r="AG174" s="379"/>
      <c r="AH174" s="379"/>
      <c r="AI174" s="379"/>
      <c r="AJ174" s="379"/>
      <c r="AK174" s="379"/>
      <c r="AL174" s="379"/>
      <c r="AM174" s="379"/>
      <c r="AN174" s="379"/>
      <c r="AO174" s="379"/>
      <c r="AP174" s="379"/>
      <c r="AQ174" s="379"/>
      <c r="AR174" s="379"/>
      <c r="AS174" s="379"/>
      <c r="AT174" s="379"/>
      <c r="AU174" s="379"/>
      <c r="AV174" s="379"/>
      <c r="AW174" s="379"/>
      <c r="AX174" s="379"/>
      <c r="AY174" s="379"/>
      <c r="AZ174" s="379"/>
      <c r="BA174" s="379"/>
      <c r="BB174" s="379"/>
      <c r="BC174" s="379"/>
      <c r="BD174" s="379"/>
      <c r="BE174" s="379"/>
      <c r="BF174" s="379"/>
      <c r="BG174" s="379"/>
      <c r="BH174" s="379"/>
      <c r="BI174" s="379"/>
    </row>
    <row r="175" spans="1:61" s="1" customFormat="1" ht="14.4">
      <c r="A175" s="1340">
        <v>75</v>
      </c>
      <c r="B175" s="2025">
        <v>45837</v>
      </c>
      <c r="C175" s="1684" t="s">
        <v>755</v>
      </c>
      <c r="D175" s="1684" t="s">
        <v>133</v>
      </c>
      <c r="E175" s="1684" t="s">
        <v>277</v>
      </c>
      <c r="F175" s="1684" t="s">
        <v>763</v>
      </c>
      <c r="G175" s="1342">
        <v>9763858155</v>
      </c>
      <c r="H175" s="1343" t="s">
        <v>764</v>
      </c>
      <c r="I175" s="1342" t="s">
        <v>1028</v>
      </c>
      <c r="J175" s="1684" t="s">
        <v>73</v>
      </c>
      <c r="K175" s="1342" t="s">
        <v>639</v>
      </c>
      <c r="L175" s="1684" t="s">
        <v>1029</v>
      </c>
      <c r="M175" s="1774">
        <v>45867</v>
      </c>
      <c r="N175" s="1340">
        <v>92000</v>
      </c>
      <c r="O175" s="1340" t="s">
        <v>37</v>
      </c>
      <c r="P175" s="1340" t="s">
        <v>39</v>
      </c>
      <c r="Q175" s="1775">
        <v>1</v>
      </c>
      <c r="R175" s="2026">
        <v>4507666140</v>
      </c>
      <c r="S175" s="1348">
        <v>45895</v>
      </c>
      <c r="T175" s="1340">
        <v>90000</v>
      </c>
      <c r="U175" s="1340"/>
      <c r="V175" s="1349">
        <v>0</v>
      </c>
      <c r="W175" s="1340"/>
      <c r="X175" s="2031"/>
      <c r="Y175" s="2318"/>
      <c r="Z175" s="2319"/>
      <c r="AA175" s="2319"/>
    </row>
    <row r="176" spans="1:61" s="1" customFormat="1" ht="18" customHeight="1">
      <c r="A176" s="1340">
        <v>75</v>
      </c>
      <c r="B176" s="2334"/>
      <c r="C176" s="1684" t="s">
        <v>755</v>
      </c>
      <c r="D176" s="1684" t="s">
        <v>133</v>
      </c>
      <c r="E176" s="1684" t="s">
        <v>277</v>
      </c>
      <c r="F176" s="1684" t="s">
        <v>763</v>
      </c>
      <c r="G176" s="1342">
        <v>9763858155</v>
      </c>
      <c r="H176" s="1343" t="s">
        <v>764</v>
      </c>
      <c r="I176" s="1684" t="s">
        <v>1030</v>
      </c>
      <c r="J176" s="1684" t="s">
        <v>73</v>
      </c>
      <c r="K176" s="1342" t="s">
        <v>639</v>
      </c>
      <c r="L176" s="1684" t="s">
        <v>1029</v>
      </c>
      <c r="M176" s="1774">
        <v>45867</v>
      </c>
      <c r="N176" s="1340">
        <v>92000</v>
      </c>
      <c r="O176" s="1340" t="s">
        <v>37</v>
      </c>
      <c r="P176" s="1340" t="s">
        <v>39</v>
      </c>
      <c r="Q176" s="1775">
        <v>1</v>
      </c>
      <c r="R176" s="2026">
        <v>4507666140</v>
      </c>
      <c r="S176" s="1348">
        <v>45895</v>
      </c>
      <c r="T176" s="1340">
        <v>90000</v>
      </c>
      <c r="U176" s="1340"/>
      <c r="V176" s="1349">
        <v>0</v>
      </c>
      <c r="W176" s="2028"/>
      <c r="X176" s="2029"/>
      <c r="Y176" s="2030"/>
      <c r="Z176" s="2319"/>
      <c r="AA176" s="2319"/>
    </row>
    <row r="177" spans="1:27" s="379" customFormat="1" ht="18" customHeight="1">
      <c r="A177" s="1340">
        <v>75</v>
      </c>
      <c r="B177" s="2334"/>
      <c r="C177" s="1684" t="s">
        <v>755</v>
      </c>
      <c r="D177" s="1684" t="s">
        <v>133</v>
      </c>
      <c r="E177" s="1684" t="s">
        <v>277</v>
      </c>
      <c r="F177" s="1684" t="s">
        <v>763</v>
      </c>
      <c r="G177" s="1342">
        <v>9763858155</v>
      </c>
      <c r="H177" s="1343" t="s">
        <v>764</v>
      </c>
      <c r="I177" s="1684" t="s">
        <v>1031</v>
      </c>
      <c r="J177" s="1684" t="s">
        <v>73</v>
      </c>
      <c r="K177" s="1342" t="s">
        <v>639</v>
      </c>
      <c r="L177" s="1684" t="s">
        <v>1029</v>
      </c>
      <c r="M177" s="1774">
        <v>45867</v>
      </c>
      <c r="N177" s="1340">
        <v>92000</v>
      </c>
      <c r="O177" s="1340" t="s">
        <v>37</v>
      </c>
      <c r="P177" s="1340" t="s">
        <v>39</v>
      </c>
      <c r="Q177" s="1775">
        <v>1</v>
      </c>
      <c r="R177" s="2026">
        <v>4507666140</v>
      </c>
      <c r="S177" s="1348">
        <v>45895</v>
      </c>
      <c r="T177" s="1340">
        <v>90000</v>
      </c>
      <c r="U177" s="1340"/>
      <c r="V177" s="1349">
        <v>0</v>
      </c>
      <c r="W177" s="2028"/>
      <c r="X177" s="2029"/>
      <c r="Y177" s="2030"/>
      <c r="Z177" s="1352"/>
      <c r="AA177" s="1352"/>
    </row>
    <row r="178" spans="1:27" s="379" customFormat="1" ht="18" customHeight="1">
      <c r="A178" s="1340">
        <v>75</v>
      </c>
      <c r="B178" s="2334"/>
      <c r="C178" s="1684" t="s">
        <v>755</v>
      </c>
      <c r="D178" s="1684" t="s">
        <v>133</v>
      </c>
      <c r="E178" s="1684" t="s">
        <v>277</v>
      </c>
      <c r="F178" s="1684" t="s">
        <v>763</v>
      </c>
      <c r="G178" s="1342">
        <v>9763858155</v>
      </c>
      <c r="H178" s="1343" t="s">
        <v>764</v>
      </c>
      <c r="I178" s="1684" t="s">
        <v>765</v>
      </c>
      <c r="J178" s="1684" t="s">
        <v>73</v>
      </c>
      <c r="K178" s="1342" t="s">
        <v>639</v>
      </c>
      <c r="L178" s="1684" t="s">
        <v>1029</v>
      </c>
      <c r="M178" s="1774">
        <v>45867</v>
      </c>
      <c r="N178" s="1340">
        <v>92000</v>
      </c>
      <c r="O178" s="1340" t="s">
        <v>37</v>
      </c>
      <c r="P178" s="1340" t="s">
        <v>39</v>
      </c>
      <c r="Q178" s="1775">
        <v>1</v>
      </c>
      <c r="R178" s="2026">
        <v>4507666140</v>
      </c>
      <c r="S178" s="1348">
        <v>45895</v>
      </c>
      <c r="T178" s="1340">
        <v>90000</v>
      </c>
      <c r="U178" s="1340"/>
      <c r="V178" s="1349">
        <v>0</v>
      </c>
      <c r="W178" s="2028"/>
      <c r="X178" s="2029"/>
      <c r="Y178" s="2335"/>
      <c r="Z178" s="1352"/>
      <c r="AA178" s="1352"/>
    </row>
    <row r="179" spans="1:27" s="379" customFormat="1" ht="18" customHeight="1">
      <c r="A179" s="1340">
        <v>75</v>
      </c>
      <c r="B179" s="2334"/>
      <c r="C179" s="1684" t="s">
        <v>755</v>
      </c>
      <c r="D179" s="1684" t="s">
        <v>133</v>
      </c>
      <c r="E179" s="1684" t="s">
        <v>277</v>
      </c>
      <c r="F179" s="1684" t="s">
        <v>763</v>
      </c>
      <c r="G179" s="1342">
        <v>9763858155</v>
      </c>
      <c r="H179" s="1343" t="s">
        <v>764</v>
      </c>
      <c r="I179" s="1684" t="s">
        <v>1032</v>
      </c>
      <c r="J179" s="1684" t="s">
        <v>73</v>
      </c>
      <c r="K179" s="1342" t="s">
        <v>639</v>
      </c>
      <c r="L179" s="1684" t="s">
        <v>1029</v>
      </c>
      <c r="M179" s="1774">
        <v>45867</v>
      </c>
      <c r="N179" s="1340">
        <v>92000</v>
      </c>
      <c r="O179" s="1340" t="s">
        <v>37</v>
      </c>
      <c r="P179" s="1340" t="s">
        <v>39</v>
      </c>
      <c r="Q179" s="1775">
        <v>1</v>
      </c>
      <c r="R179" s="2026">
        <v>4507666140</v>
      </c>
      <c r="S179" s="1348">
        <v>45895</v>
      </c>
      <c r="T179" s="1340">
        <v>90000</v>
      </c>
      <c r="U179" s="1340"/>
      <c r="V179" s="1349">
        <v>0</v>
      </c>
      <c r="W179" s="2028"/>
      <c r="X179" s="2029"/>
      <c r="Y179" s="2030"/>
      <c r="Z179" s="1352"/>
      <c r="AA179" s="1352"/>
    </row>
    <row r="180" spans="1:27" s="379" customFormat="1" ht="18" customHeight="1">
      <c r="A180" s="1340">
        <v>75</v>
      </c>
      <c r="B180" s="2025"/>
      <c r="C180" s="1684" t="s">
        <v>755</v>
      </c>
      <c r="D180" s="1684" t="s">
        <v>133</v>
      </c>
      <c r="E180" s="1684" t="s">
        <v>277</v>
      </c>
      <c r="F180" s="1684" t="s">
        <v>763</v>
      </c>
      <c r="G180" s="1342">
        <v>9763858155</v>
      </c>
      <c r="H180" s="1343" t="s">
        <v>764</v>
      </c>
      <c r="I180" s="1342" t="s">
        <v>1033</v>
      </c>
      <c r="J180" s="1684" t="s">
        <v>73</v>
      </c>
      <c r="K180" s="1342" t="s">
        <v>639</v>
      </c>
      <c r="L180" s="1684" t="s">
        <v>1029</v>
      </c>
      <c r="M180" s="1774">
        <v>45867</v>
      </c>
      <c r="N180" s="1340">
        <v>92000</v>
      </c>
      <c r="O180" s="1340" t="s">
        <v>37</v>
      </c>
      <c r="P180" s="1340" t="s">
        <v>39</v>
      </c>
      <c r="Q180" s="1775">
        <v>1</v>
      </c>
      <c r="R180" s="2026">
        <v>4507666140</v>
      </c>
      <c r="S180" s="1348">
        <v>45895</v>
      </c>
      <c r="T180" s="1340">
        <v>90000</v>
      </c>
      <c r="U180" s="1340"/>
      <c r="V180" s="1349">
        <v>0</v>
      </c>
      <c r="W180" s="1340"/>
      <c r="X180" s="2031"/>
      <c r="Y180" s="2318"/>
      <c r="Z180" s="1352"/>
      <c r="AA180" s="1352"/>
    </row>
    <row r="181" spans="1:27" s="1" customFormat="1" ht="18" customHeight="1">
      <c r="A181" s="1030">
        <v>76</v>
      </c>
      <c r="B181" s="1886">
        <v>45837</v>
      </c>
      <c r="C181" s="1033" t="s">
        <v>984</v>
      </c>
      <c r="D181" s="1975" t="s">
        <v>985</v>
      </c>
      <c r="E181" s="1975" t="s">
        <v>991</v>
      </c>
      <c r="F181" s="1975" t="s">
        <v>987</v>
      </c>
      <c r="G181" s="1975">
        <v>8459230159</v>
      </c>
      <c r="H181" s="1976" t="s">
        <v>988</v>
      </c>
      <c r="I181" s="1033" t="s">
        <v>992</v>
      </c>
      <c r="J181" s="1033" t="s">
        <v>75</v>
      </c>
      <c r="K181" s="1033" t="s">
        <v>157</v>
      </c>
      <c r="L181" s="1033" t="s">
        <v>1034</v>
      </c>
      <c r="M181" s="1057">
        <v>45837</v>
      </c>
      <c r="N181" s="1030">
        <v>353593</v>
      </c>
      <c r="O181" s="1030" t="s">
        <v>37</v>
      </c>
      <c r="P181" s="1030" t="s">
        <v>49</v>
      </c>
      <c r="Q181" s="1060">
        <v>1</v>
      </c>
      <c r="R181" s="1887">
        <v>1300449292</v>
      </c>
      <c r="S181" s="3021">
        <v>45996</v>
      </c>
      <c r="T181" s="1030">
        <v>308783</v>
      </c>
      <c r="U181" s="1030" t="s">
        <v>62</v>
      </c>
      <c r="V181" s="1025">
        <v>0</v>
      </c>
      <c r="W181" s="1030"/>
      <c r="X181" s="2696"/>
      <c r="Y181" s="3022"/>
      <c r="Z181" s="2319"/>
      <c r="AA181" s="2319"/>
    </row>
    <row r="182" spans="1:27" s="1" customFormat="1" ht="18" customHeight="1">
      <c r="A182" s="1340">
        <v>77</v>
      </c>
      <c r="B182" s="2025">
        <v>45868</v>
      </c>
      <c r="C182" s="1684" t="s">
        <v>749</v>
      </c>
      <c r="D182" s="1684" t="s">
        <v>133</v>
      </c>
      <c r="E182" s="1342" t="s">
        <v>880</v>
      </c>
      <c r="F182" s="1342" t="s">
        <v>813</v>
      </c>
      <c r="G182" s="1342">
        <v>8975397991</v>
      </c>
      <c r="H182" s="1343" t="s">
        <v>814</v>
      </c>
      <c r="I182" s="1342" t="s">
        <v>752</v>
      </c>
      <c r="J182" s="1342" t="s">
        <v>75</v>
      </c>
      <c r="K182" s="1342" t="s">
        <v>685</v>
      </c>
      <c r="L182" s="1684" t="s">
        <v>1035</v>
      </c>
      <c r="M182" s="1774">
        <v>45868</v>
      </c>
      <c r="N182" s="1340">
        <v>229696</v>
      </c>
      <c r="O182" s="1340" t="s">
        <v>37</v>
      </c>
      <c r="P182" s="1340" t="s">
        <v>39</v>
      </c>
      <c r="Q182" s="1775">
        <v>1</v>
      </c>
      <c r="R182" s="2026">
        <v>2009936</v>
      </c>
      <c r="S182" s="2027">
        <v>45881</v>
      </c>
      <c r="T182" s="1340">
        <v>229696</v>
      </c>
      <c r="U182" s="1340" t="s">
        <v>39</v>
      </c>
      <c r="V182" s="284">
        <f>Table626893456[[#This Row],[Offer Value]]-Table626893456[[#This Row],[PO Value]]</f>
        <v>0</v>
      </c>
      <c r="W182" s="2028"/>
      <c r="X182" s="2029"/>
      <c r="Y182" s="2030"/>
      <c r="Z182" s="2319"/>
      <c r="AA182" s="2319"/>
    </row>
    <row r="183" spans="1:27" s="379" customFormat="1" ht="18" customHeight="1">
      <c r="A183" s="1030">
        <v>78</v>
      </c>
      <c r="B183" s="1886">
        <v>45873</v>
      </c>
      <c r="C183" s="1033" t="s">
        <v>782</v>
      </c>
      <c r="D183" s="1033" t="s">
        <v>304</v>
      </c>
      <c r="E183" s="1033" t="s">
        <v>277</v>
      </c>
      <c r="F183" s="1033" t="s">
        <v>1036</v>
      </c>
      <c r="G183" s="1033">
        <v>9923496979</v>
      </c>
      <c r="H183" s="1032" t="s">
        <v>1037</v>
      </c>
      <c r="I183" s="1033" t="s">
        <v>1038</v>
      </c>
      <c r="J183" s="1033" t="s">
        <v>73</v>
      </c>
      <c r="K183" s="1033" t="s">
        <v>138</v>
      </c>
      <c r="L183" s="1033" t="s">
        <v>1039</v>
      </c>
      <c r="M183" s="1057">
        <v>45873</v>
      </c>
      <c r="N183" s="1030">
        <v>68000</v>
      </c>
      <c r="O183" s="1030" t="s">
        <v>39</v>
      </c>
      <c r="P183" s="1030" t="s">
        <v>39</v>
      </c>
      <c r="Q183" s="1060">
        <v>1</v>
      </c>
      <c r="R183" s="1887" t="s">
        <v>1040</v>
      </c>
      <c r="S183" s="3021">
        <v>45973</v>
      </c>
      <c r="T183" s="1030">
        <v>68000</v>
      </c>
      <c r="U183" s="1030" t="s">
        <v>49</v>
      </c>
      <c r="V183" s="1025">
        <f>Table626893456[[#This Row],[Offer Value]]-Table626893456[[#This Row],[PO Value]]</f>
        <v>0</v>
      </c>
      <c r="W183" s="1030"/>
      <c r="X183" s="2696"/>
      <c r="Y183" s="3023"/>
      <c r="Z183" s="1352"/>
      <c r="AA183" s="1352"/>
    </row>
    <row r="184" spans="1:27" s="1" customFormat="1" ht="14.4">
      <c r="A184" s="1030">
        <v>78</v>
      </c>
      <c r="B184" s="1886"/>
      <c r="C184" s="1033" t="s">
        <v>782</v>
      </c>
      <c r="D184" s="1033" t="s">
        <v>304</v>
      </c>
      <c r="E184" s="1033" t="s">
        <v>277</v>
      </c>
      <c r="F184" s="1033" t="s">
        <v>1036</v>
      </c>
      <c r="G184" s="1033">
        <v>9923496979</v>
      </c>
      <c r="H184" s="1032" t="s">
        <v>1037</v>
      </c>
      <c r="I184" s="1050" t="s">
        <v>1041</v>
      </c>
      <c r="J184" s="1050" t="s">
        <v>73</v>
      </c>
      <c r="K184" s="1033" t="s">
        <v>138</v>
      </c>
      <c r="L184" s="1033" t="s">
        <v>1039</v>
      </c>
      <c r="M184" s="1057">
        <v>45873</v>
      </c>
      <c r="N184" s="1030">
        <v>68000</v>
      </c>
      <c r="O184" s="1030" t="s">
        <v>39</v>
      </c>
      <c r="P184" s="1030" t="s">
        <v>39</v>
      </c>
      <c r="Q184" s="1060">
        <v>1</v>
      </c>
      <c r="R184" s="1887" t="s">
        <v>1040</v>
      </c>
      <c r="S184" s="3021">
        <v>45973</v>
      </c>
      <c r="T184" s="1030">
        <v>68000</v>
      </c>
      <c r="U184" s="1030" t="s">
        <v>49</v>
      </c>
      <c r="V184" s="1025">
        <f>Table626893456[[#This Row],[Offer Value]]-Table626893456[[#This Row],[PO Value]]</f>
        <v>0</v>
      </c>
      <c r="W184" s="1030"/>
      <c r="X184" s="2696"/>
      <c r="Y184" s="3022"/>
      <c r="Z184" s="2319"/>
      <c r="AA184" s="2319"/>
    </row>
    <row r="185" spans="1:27" s="1" customFormat="1" ht="14.4">
      <c r="A185" s="1030">
        <v>78</v>
      </c>
      <c r="B185" s="1886"/>
      <c r="C185" s="1033" t="s">
        <v>782</v>
      </c>
      <c r="D185" s="1033" t="s">
        <v>304</v>
      </c>
      <c r="E185" s="1033" t="s">
        <v>277</v>
      </c>
      <c r="F185" s="1033" t="s">
        <v>1036</v>
      </c>
      <c r="G185" s="1033">
        <v>9923496979</v>
      </c>
      <c r="H185" s="1032" t="s">
        <v>1037</v>
      </c>
      <c r="I185" s="1033" t="s">
        <v>1042</v>
      </c>
      <c r="J185" s="1033" t="s">
        <v>73</v>
      </c>
      <c r="K185" s="1033" t="s">
        <v>138</v>
      </c>
      <c r="L185" s="1033" t="s">
        <v>1039</v>
      </c>
      <c r="M185" s="1057">
        <v>45873</v>
      </c>
      <c r="N185" s="1030">
        <v>68000</v>
      </c>
      <c r="O185" s="1030" t="s">
        <v>39</v>
      </c>
      <c r="P185" s="1030" t="s">
        <v>39</v>
      </c>
      <c r="Q185" s="1060">
        <v>1</v>
      </c>
      <c r="R185" s="1887" t="s">
        <v>1040</v>
      </c>
      <c r="S185" s="3021">
        <v>45973</v>
      </c>
      <c r="T185" s="1030">
        <v>68000</v>
      </c>
      <c r="U185" s="1030" t="s">
        <v>49</v>
      </c>
      <c r="V185" s="1025">
        <f>Table626893456[[#This Row],[Offer Value]]-Table626893456[[#This Row],[PO Value]]</f>
        <v>0</v>
      </c>
      <c r="W185" s="1030"/>
      <c r="X185" s="2696"/>
      <c r="Y185" s="3022"/>
      <c r="Z185" s="2319"/>
      <c r="AA185" s="2319"/>
    </row>
    <row r="186" spans="1:27" s="1" customFormat="1" ht="14.4">
      <c r="A186" s="1340">
        <v>79</v>
      </c>
      <c r="B186" s="2025">
        <v>45873</v>
      </c>
      <c r="C186" s="1684" t="s">
        <v>687</v>
      </c>
      <c r="D186" s="1684" t="s">
        <v>304</v>
      </c>
      <c r="E186" s="1684" t="s">
        <v>277</v>
      </c>
      <c r="F186" s="1684" t="s">
        <v>1043</v>
      </c>
      <c r="G186" s="1684">
        <v>9860139763</v>
      </c>
      <c r="H186" s="1354" t="s">
        <v>1044</v>
      </c>
      <c r="I186" s="1684" t="s">
        <v>1045</v>
      </c>
      <c r="J186" s="1684" t="s">
        <v>77</v>
      </c>
      <c r="K186" s="1684" t="s">
        <v>138</v>
      </c>
      <c r="L186" s="1684" t="s">
        <v>1046</v>
      </c>
      <c r="M186" s="1774">
        <v>45873</v>
      </c>
      <c r="N186" s="1340">
        <v>785000</v>
      </c>
      <c r="O186" s="1340" t="s">
        <v>39</v>
      </c>
      <c r="P186" s="1340" t="s">
        <v>44</v>
      </c>
      <c r="Q186" s="1775">
        <v>1</v>
      </c>
      <c r="R186" s="2026">
        <v>4513650065</v>
      </c>
      <c r="S186" s="2027">
        <v>45909</v>
      </c>
      <c r="T186" s="1340">
        <v>785000</v>
      </c>
      <c r="U186" s="1340" t="s">
        <v>44</v>
      </c>
      <c r="V186" s="1349">
        <f>Table626893456[[#This Row],[Offer Value]]-Table626893456[[#This Row],[PO Value]]</f>
        <v>0</v>
      </c>
      <c r="W186" s="1340"/>
      <c r="X186" s="2031"/>
      <c r="Y186" s="2318"/>
      <c r="Z186" s="2319"/>
      <c r="AA186" s="2319"/>
    </row>
    <row r="187" spans="1:27" s="1" customFormat="1" ht="15.6">
      <c r="A187" s="1340">
        <v>80</v>
      </c>
      <c r="B187" s="2025">
        <v>45888</v>
      </c>
      <c r="C187" s="1684" t="s">
        <v>625</v>
      </c>
      <c r="D187" s="1684" t="s">
        <v>697</v>
      </c>
      <c r="E187" s="1684" t="s">
        <v>1011</v>
      </c>
      <c r="F187" s="1684" t="s">
        <v>642</v>
      </c>
      <c r="G187" s="1342">
        <v>9552579436</v>
      </c>
      <c r="H187" s="1354" t="s">
        <v>643</v>
      </c>
      <c r="I187" s="1353" t="s">
        <v>694</v>
      </c>
      <c r="J187" s="1684" t="s">
        <v>81</v>
      </c>
      <c r="K187" s="1684" t="s">
        <v>157</v>
      </c>
      <c r="L187" s="1684" t="s">
        <v>1047</v>
      </c>
      <c r="M187" s="1774">
        <v>45888</v>
      </c>
      <c r="N187" s="1340">
        <v>339000</v>
      </c>
      <c r="O187" s="1340" t="s">
        <v>39</v>
      </c>
      <c r="P187" s="1340" t="s">
        <v>47</v>
      </c>
      <c r="Q187" s="1775">
        <v>1</v>
      </c>
      <c r="R187" s="2026">
        <v>10100049</v>
      </c>
      <c r="S187" s="2027" t="s">
        <v>1048</v>
      </c>
      <c r="T187" s="1340">
        <v>328830</v>
      </c>
      <c r="U187" s="1340" t="s">
        <v>47</v>
      </c>
      <c r="V187" s="1349">
        <v>0</v>
      </c>
      <c r="W187" s="1340"/>
      <c r="X187" s="2031"/>
      <c r="Y187" s="2318"/>
      <c r="Z187" s="2319"/>
      <c r="AA187" s="2319"/>
    </row>
    <row r="188" spans="1:27" s="1" customFormat="1" ht="14.4">
      <c r="A188" s="487">
        <v>81</v>
      </c>
      <c r="B188" s="503">
        <v>45898</v>
      </c>
      <c r="C188" s="501" t="s">
        <v>444</v>
      </c>
      <c r="D188" s="489" t="s">
        <v>133</v>
      </c>
      <c r="E188" s="489" t="s">
        <v>1049</v>
      </c>
      <c r="F188" s="489" t="s">
        <v>1050</v>
      </c>
      <c r="G188" s="489">
        <v>8605008368</v>
      </c>
      <c r="H188" s="383" t="s">
        <v>1051</v>
      </c>
      <c r="I188" s="489" t="s">
        <v>1052</v>
      </c>
      <c r="J188" s="489" t="s">
        <v>80</v>
      </c>
      <c r="K188" s="501" t="s">
        <v>157</v>
      </c>
      <c r="L188" s="501" t="s">
        <v>1053</v>
      </c>
      <c r="M188" s="505">
        <v>45898</v>
      </c>
      <c r="N188" s="487">
        <v>2720000</v>
      </c>
      <c r="O188" s="487" t="s">
        <v>39</v>
      </c>
      <c r="P188" s="487" t="s">
        <v>62</v>
      </c>
      <c r="Q188" s="391">
        <v>0.5</v>
      </c>
      <c r="R188" s="502"/>
      <c r="S188" s="506"/>
      <c r="T188" s="487"/>
      <c r="U188" s="487"/>
      <c r="V188" s="284">
        <f>Table626893456[[#This Row],[Offer Value]]-Table626893456[[#This Row],[PO Value]]</f>
        <v>2720000</v>
      </c>
      <c r="W188" s="487"/>
      <c r="X188" s="516"/>
      <c r="Y188" s="508"/>
      <c r="Z188" s="2319"/>
      <c r="AA188" s="2319"/>
    </row>
    <row r="189" spans="1:27" s="1" customFormat="1" ht="14.4">
      <c r="A189" s="1340">
        <v>82</v>
      </c>
      <c r="B189" s="2025">
        <v>45922</v>
      </c>
      <c r="C189" s="1684" t="s">
        <v>1054</v>
      </c>
      <c r="D189" s="1684" t="s">
        <v>133</v>
      </c>
      <c r="E189" s="1684" t="s">
        <v>191</v>
      </c>
      <c r="F189" s="1684" t="s">
        <v>1055</v>
      </c>
      <c r="G189" s="1684">
        <v>9324907818</v>
      </c>
      <c r="H189" s="1343" t="s">
        <v>1056</v>
      </c>
      <c r="I189" s="1684" t="s">
        <v>1057</v>
      </c>
      <c r="J189" s="1684" t="s">
        <v>75</v>
      </c>
      <c r="K189" s="1684" t="s">
        <v>157</v>
      </c>
      <c r="L189" s="1684" t="s">
        <v>1058</v>
      </c>
      <c r="M189" s="1774">
        <v>45922</v>
      </c>
      <c r="N189" s="1340">
        <v>137000</v>
      </c>
      <c r="O189" s="1340" t="s">
        <v>44</v>
      </c>
      <c r="P189" s="1340" t="s">
        <v>44</v>
      </c>
      <c r="Q189" s="1775">
        <v>1</v>
      </c>
      <c r="R189" s="2026">
        <v>4506059211</v>
      </c>
      <c r="S189" s="2027">
        <v>45924</v>
      </c>
      <c r="T189" s="1340">
        <v>70255</v>
      </c>
      <c r="U189" s="1340" t="s">
        <v>44</v>
      </c>
      <c r="V189" s="1349">
        <f>Table626893456[[#This Row],[Offer Value]]-Table626893456[[#This Row],[PO Value]]</f>
        <v>66745</v>
      </c>
      <c r="W189" s="1340"/>
      <c r="X189" s="2031"/>
      <c r="Y189" s="2318"/>
      <c r="Z189" s="43"/>
      <c r="AA189" s="43"/>
    </row>
    <row r="190" spans="1:27" s="1" customFormat="1" ht="14.4">
      <c r="A190" s="487">
        <v>83</v>
      </c>
      <c r="B190" s="503">
        <v>45925</v>
      </c>
      <c r="C190" s="1889" t="s">
        <v>444</v>
      </c>
      <c r="D190" s="1889" t="s">
        <v>133</v>
      </c>
      <c r="E190" s="1889" t="s">
        <v>670</v>
      </c>
      <c r="F190" s="1889" t="s">
        <v>671</v>
      </c>
      <c r="G190" s="1889">
        <v>7798824040</v>
      </c>
      <c r="H190" s="2533" t="s">
        <v>672</v>
      </c>
      <c r="I190" s="1889" t="s">
        <v>673</v>
      </c>
      <c r="J190" s="1889" t="s">
        <v>75</v>
      </c>
      <c r="K190" s="1889" t="s">
        <v>685</v>
      </c>
      <c r="L190" s="489" t="s">
        <v>1059</v>
      </c>
      <c r="M190" s="384">
        <v>45925</v>
      </c>
      <c r="N190" s="487">
        <v>862591</v>
      </c>
      <c r="O190" s="487" t="s">
        <v>44</v>
      </c>
      <c r="P190" s="487" t="s">
        <v>49</v>
      </c>
      <c r="Q190" s="391">
        <v>0.5</v>
      </c>
      <c r="R190" s="502"/>
      <c r="S190" s="506"/>
      <c r="T190" s="487"/>
      <c r="U190" s="487"/>
      <c r="V190" s="284">
        <f>Table626893456[[#This Row],[Offer Value]]-Table626893456[[#This Row],[PO Value]]</f>
        <v>862591</v>
      </c>
      <c r="W190" s="487"/>
      <c r="X190" s="516"/>
      <c r="Y190" s="508"/>
      <c r="Z190" s="2319"/>
      <c r="AA190" s="2319"/>
    </row>
    <row r="191" spans="1:27" s="1" customFormat="1" ht="18">
      <c r="A191" s="487">
        <v>84</v>
      </c>
      <c r="B191" s="503">
        <v>45922</v>
      </c>
      <c r="C191" s="501" t="s">
        <v>1015</v>
      </c>
      <c r="D191" s="501" t="s">
        <v>133</v>
      </c>
      <c r="E191" s="501" t="s">
        <v>277</v>
      </c>
      <c r="F191" s="501" t="s">
        <v>1060</v>
      </c>
      <c r="G191" s="489">
        <v>8888980936</v>
      </c>
      <c r="H191" s="383" t="s">
        <v>1061</v>
      </c>
      <c r="I191" s="501" t="s">
        <v>1018</v>
      </c>
      <c r="J191" s="501" t="s">
        <v>81</v>
      </c>
      <c r="K191" s="501" t="s">
        <v>157</v>
      </c>
      <c r="L191" s="500" t="s">
        <v>1062</v>
      </c>
      <c r="M191" s="384">
        <v>45922</v>
      </c>
      <c r="N191" s="490">
        <v>1221242</v>
      </c>
      <c r="O191" s="490" t="s">
        <v>44</v>
      </c>
      <c r="P191" s="490" t="s">
        <v>62</v>
      </c>
      <c r="Q191" s="491">
        <v>0.5</v>
      </c>
      <c r="R191" s="492"/>
      <c r="S191" s="493"/>
      <c r="T191" s="490"/>
      <c r="U191" s="490"/>
      <c r="V191" s="284">
        <f>Table626893456[[#This Row],[Offer Value]]-Table626893456[[#This Row],[PO Value]]</f>
        <v>1221242</v>
      </c>
      <c r="W191" s="509"/>
      <c r="X191" s="510"/>
      <c r="Y191" s="508"/>
      <c r="Z191" s="43"/>
      <c r="AA191" s="43"/>
    </row>
    <row r="192" spans="1:27" s="207" customFormat="1" ht="18">
      <c r="A192" s="487">
        <v>85</v>
      </c>
      <c r="B192" s="503">
        <v>45925</v>
      </c>
      <c r="C192" s="501" t="s">
        <v>792</v>
      </c>
      <c r="D192" s="3027" t="s">
        <v>601</v>
      </c>
      <c r="E192" s="3027" t="s">
        <v>191</v>
      </c>
      <c r="F192" s="3028" t="s">
        <v>793</v>
      </c>
      <c r="G192" s="3028">
        <v>7796646965</v>
      </c>
      <c r="H192" s="3029" t="s">
        <v>794</v>
      </c>
      <c r="I192" s="489" t="s">
        <v>810</v>
      </c>
      <c r="J192" s="495" t="s">
        <v>81</v>
      </c>
      <c r="K192" s="501" t="s">
        <v>157</v>
      </c>
      <c r="L192" s="2253" t="s">
        <v>1063</v>
      </c>
      <c r="M192" s="2619">
        <v>45925</v>
      </c>
      <c r="N192" s="2620">
        <v>516900</v>
      </c>
      <c r="O192" s="2620" t="s">
        <v>44</v>
      </c>
      <c r="P192" s="2620" t="s">
        <v>49</v>
      </c>
      <c r="Q192" s="2621">
        <v>0.5</v>
      </c>
      <c r="R192" s="2681"/>
      <c r="S192" s="2686"/>
      <c r="T192" s="509"/>
      <c r="U192" s="509"/>
      <c r="V192" s="284">
        <f>Table626893456[[#This Row],[Offer Value]]-Table626893456[[#This Row],[PO Value]]</f>
        <v>516900</v>
      </c>
      <c r="W192" s="509"/>
      <c r="X192" s="510"/>
      <c r="Y192" s="507"/>
      <c r="Z192" s="203"/>
      <c r="AA192" s="203"/>
    </row>
    <row r="193" spans="1:27" s="207" customFormat="1" ht="18">
      <c r="A193" s="1340">
        <v>86</v>
      </c>
      <c r="B193" s="2025">
        <v>45929</v>
      </c>
      <c r="C193" s="3042" t="s">
        <v>1064</v>
      </c>
      <c r="D193" s="3043" t="s">
        <v>133</v>
      </c>
      <c r="E193" s="3043" t="s">
        <v>191</v>
      </c>
      <c r="F193" s="3043" t="s">
        <v>1065</v>
      </c>
      <c r="G193" s="3043">
        <v>9923097043</v>
      </c>
      <c r="H193" s="1343" t="s">
        <v>1066</v>
      </c>
      <c r="I193" s="3042" t="s">
        <v>1067</v>
      </c>
      <c r="J193" s="3044" t="s">
        <v>83</v>
      </c>
      <c r="K193" s="3042" t="s">
        <v>157</v>
      </c>
      <c r="L193" s="2320" t="s">
        <v>1068</v>
      </c>
      <c r="M193" s="2323">
        <v>45806</v>
      </c>
      <c r="N193" s="2324">
        <v>741800</v>
      </c>
      <c r="O193" s="1340" t="s">
        <v>44</v>
      </c>
      <c r="P193" s="1340" t="s">
        <v>49</v>
      </c>
      <c r="Q193" s="1775">
        <v>1</v>
      </c>
      <c r="R193" s="2325">
        <v>1250047197</v>
      </c>
      <c r="S193" s="2027">
        <v>45995</v>
      </c>
      <c r="T193" s="1340">
        <v>264325</v>
      </c>
      <c r="U193" s="1340" t="s">
        <v>62</v>
      </c>
      <c r="V193" s="1349">
        <v>0</v>
      </c>
      <c r="W193" s="2326"/>
      <c r="X193" s="2031"/>
      <c r="Y193" s="2318"/>
      <c r="Z193" s="1663"/>
      <c r="AA193" s="1663"/>
    </row>
    <row r="194" spans="1:27" ht="14.4">
      <c r="A194" s="1340">
        <v>87</v>
      </c>
      <c r="B194" s="2025">
        <v>45898</v>
      </c>
      <c r="C194" s="2320" t="s">
        <v>711</v>
      </c>
      <c r="D194" s="2320" t="s">
        <v>304</v>
      </c>
      <c r="E194" s="2320" t="s">
        <v>1069</v>
      </c>
      <c r="F194" s="2320" t="s">
        <v>1070</v>
      </c>
      <c r="G194" s="2320">
        <v>9136424956</v>
      </c>
      <c r="H194" s="2321" t="s">
        <v>1071</v>
      </c>
      <c r="I194" s="2320" t="s">
        <v>1072</v>
      </c>
      <c r="J194" s="2322" t="s">
        <v>73</v>
      </c>
      <c r="K194" s="2322" t="s">
        <v>138</v>
      </c>
      <c r="L194" s="2320" t="s">
        <v>1073</v>
      </c>
      <c r="M194" s="2323">
        <v>45898</v>
      </c>
      <c r="N194" s="2324">
        <v>58000</v>
      </c>
      <c r="O194" s="1340" t="s">
        <v>39</v>
      </c>
      <c r="P194" s="1340" t="s">
        <v>44</v>
      </c>
      <c r="Q194" s="1775">
        <v>1</v>
      </c>
      <c r="R194" s="2684">
        <v>3800035834</v>
      </c>
      <c r="S194" s="2689">
        <v>45803</v>
      </c>
      <c r="T194" s="2659">
        <v>58000</v>
      </c>
      <c r="U194" s="2659" t="s">
        <v>44</v>
      </c>
      <c r="V194" s="1349">
        <f>Table626893456[[#This Row],[Offer Value]]-Table626893456[[#This Row],[PO Value]]</f>
        <v>0</v>
      </c>
      <c r="W194" s="2326"/>
      <c r="X194" s="2031"/>
      <c r="Y194" s="2318"/>
      <c r="Z194" s="1560"/>
      <c r="AA194" s="1560"/>
    </row>
    <row r="195" spans="1:27" ht="14.4">
      <c r="A195" s="1340">
        <v>88</v>
      </c>
      <c r="B195" s="2025">
        <v>45898</v>
      </c>
      <c r="C195" s="2320" t="s">
        <v>711</v>
      </c>
      <c r="D195" s="2320" t="s">
        <v>304</v>
      </c>
      <c r="E195" s="2706" t="s">
        <v>1074</v>
      </c>
      <c r="F195" s="2707" t="s">
        <v>1075</v>
      </c>
      <c r="G195" s="2320">
        <v>9892946492</v>
      </c>
      <c r="H195" s="2321" t="s">
        <v>1076</v>
      </c>
      <c r="I195" s="2320" t="s">
        <v>1077</v>
      </c>
      <c r="J195" s="2322" t="s">
        <v>73</v>
      </c>
      <c r="K195" s="2322" t="s">
        <v>138</v>
      </c>
      <c r="L195" s="2320" t="s">
        <v>1078</v>
      </c>
      <c r="M195" s="2323">
        <v>45898</v>
      </c>
      <c r="N195" s="2324">
        <v>58000</v>
      </c>
      <c r="O195" s="1340" t="s">
        <v>39</v>
      </c>
      <c r="P195" s="1340" t="s">
        <v>49</v>
      </c>
      <c r="Q195" s="1775">
        <v>1</v>
      </c>
      <c r="R195" s="2708">
        <v>3800044370</v>
      </c>
      <c r="S195" s="2027">
        <v>45964</v>
      </c>
      <c r="T195" s="1340">
        <v>58000</v>
      </c>
      <c r="U195" s="1340" t="s">
        <v>49</v>
      </c>
      <c r="V195" s="1349">
        <f>Table626893456[[#This Row],[Offer Value]]-Table626893456[[#This Row],[PO Value]]</f>
        <v>0</v>
      </c>
      <c r="W195" s="2326"/>
      <c r="X195" s="2031"/>
      <c r="Y195" s="2318"/>
      <c r="Z195" s="1560"/>
      <c r="AA195" s="1560"/>
    </row>
    <row r="196" spans="1:27" ht="14.4">
      <c r="A196" s="1340">
        <v>88</v>
      </c>
      <c r="B196" s="2709"/>
      <c r="C196" s="2320" t="s">
        <v>711</v>
      </c>
      <c r="D196" s="2320" t="s">
        <v>304</v>
      </c>
      <c r="E196" s="2706" t="s">
        <v>1074</v>
      </c>
      <c r="F196" s="2707" t="s">
        <v>1075</v>
      </c>
      <c r="G196" s="2320">
        <v>9892946492</v>
      </c>
      <c r="H196" s="2321" t="s">
        <v>1076</v>
      </c>
      <c r="I196" s="2320" t="s">
        <v>1079</v>
      </c>
      <c r="J196" s="2322" t="s">
        <v>73</v>
      </c>
      <c r="K196" s="2322" t="s">
        <v>138</v>
      </c>
      <c r="L196" s="2320" t="s">
        <v>1078</v>
      </c>
      <c r="M196" s="2323">
        <v>45898</v>
      </c>
      <c r="N196" s="2324">
        <v>58000</v>
      </c>
      <c r="O196" s="1340" t="s">
        <v>39</v>
      </c>
      <c r="P196" s="1340" t="s">
        <v>49</v>
      </c>
      <c r="Q196" s="1775">
        <v>1</v>
      </c>
      <c r="R196" s="2325">
        <v>3800044370</v>
      </c>
      <c r="S196" s="2710">
        <v>45964</v>
      </c>
      <c r="T196" s="2653">
        <v>58000</v>
      </c>
      <c r="U196" s="2653" t="s">
        <v>49</v>
      </c>
      <c r="V196" s="1349">
        <f>Table626893456[[#This Row],[Offer Value]]-Table626893456[[#This Row],[PO Value]]</f>
        <v>0</v>
      </c>
      <c r="W196" s="2326"/>
      <c r="X196" s="2031"/>
      <c r="Y196" s="2318"/>
      <c r="Z196" s="1560"/>
      <c r="AA196" s="1560"/>
    </row>
    <row r="197" spans="1:27" ht="14.4">
      <c r="A197" s="3024">
        <v>89</v>
      </c>
      <c r="B197" s="3025">
        <v>45929</v>
      </c>
      <c r="C197" s="3026" t="s">
        <v>705</v>
      </c>
      <c r="D197" s="3027" t="s">
        <v>133</v>
      </c>
      <c r="E197" s="3026" t="s">
        <v>1080</v>
      </c>
      <c r="F197" s="3027" t="s">
        <v>706</v>
      </c>
      <c r="G197" s="3028">
        <v>8956509715</v>
      </c>
      <c r="H197" s="3029" t="s">
        <v>707</v>
      </c>
      <c r="I197" s="3030" t="s">
        <v>710</v>
      </c>
      <c r="J197" s="3030" t="s">
        <v>73</v>
      </c>
      <c r="K197" s="3031" t="s">
        <v>138</v>
      </c>
      <c r="L197" s="513" t="s">
        <v>1081</v>
      </c>
      <c r="M197" s="2328">
        <v>45898</v>
      </c>
      <c r="N197" s="2329">
        <v>65000</v>
      </c>
      <c r="O197" s="1996" t="s">
        <v>39</v>
      </c>
      <c r="P197" s="1996" t="s">
        <v>62</v>
      </c>
      <c r="Q197" s="3033">
        <v>0.5</v>
      </c>
      <c r="R197" s="3034"/>
      <c r="S197" s="3035"/>
      <c r="T197" s="3024"/>
      <c r="U197" s="3024"/>
      <c r="V197" s="3036">
        <f>Table626893456[[#This Row],[Offer Value]]-Table626893456[[#This Row],[PO Value]]</f>
        <v>65000</v>
      </c>
      <c r="W197" s="3037"/>
      <c r="X197" s="3038"/>
      <c r="Y197" s="3039"/>
      <c r="Z197" s="3040"/>
      <c r="AA197" s="3040"/>
    </row>
    <row r="198" spans="1:27" ht="14.4">
      <c r="A198" s="3024">
        <v>89</v>
      </c>
      <c r="B198" s="3032"/>
      <c r="C198" s="3026" t="s">
        <v>705</v>
      </c>
      <c r="D198" s="3026" t="s">
        <v>133</v>
      </c>
      <c r="E198" s="3026" t="s">
        <v>1080</v>
      </c>
      <c r="F198" s="3027" t="s">
        <v>706</v>
      </c>
      <c r="G198" s="3028">
        <v>8956509715</v>
      </c>
      <c r="H198" s="3029" t="s">
        <v>707</v>
      </c>
      <c r="I198" s="3030" t="s">
        <v>710</v>
      </c>
      <c r="J198" s="3030" t="s">
        <v>73</v>
      </c>
      <c r="K198" s="3031" t="s">
        <v>138</v>
      </c>
      <c r="L198" s="2330" t="s">
        <v>1081</v>
      </c>
      <c r="M198" s="514">
        <v>45898</v>
      </c>
      <c r="N198" s="515">
        <v>65000</v>
      </c>
      <c r="O198" s="487" t="s">
        <v>39</v>
      </c>
      <c r="P198" s="487" t="s">
        <v>62</v>
      </c>
      <c r="Q198" s="3041">
        <v>0.5</v>
      </c>
      <c r="R198" s="3034"/>
      <c r="S198" s="3035"/>
      <c r="T198" s="3024"/>
      <c r="U198" s="3024"/>
      <c r="V198" s="3036">
        <f>Table626893456[[#This Row],[Offer Value]]-Table626893456[[#This Row],[PO Value]]</f>
        <v>65000</v>
      </c>
      <c r="W198" s="3037"/>
      <c r="X198" s="3038"/>
      <c r="Y198" s="3039"/>
      <c r="Z198" s="3040"/>
      <c r="AA198" s="3040"/>
    </row>
    <row r="199" spans="1:27" ht="14.4">
      <c r="A199" s="1340">
        <v>90</v>
      </c>
      <c r="B199" s="2025">
        <v>45881</v>
      </c>
      <c r="C199" s="2320" t="s">
        <v>634</v>
      </c>
      <c r="D199" s="2320" t="s">
        <v>133</v>
      </c>
      <c r="E199" s="2320" t="s">
        <v>777</v>
      </c>
      <c r="F199" s="1342" t="s">
        <v>778</v>
      </c>
      <c r="G199" s="1342">
        <v>9860084043</v>
      </c>
      <c r="H199" s="1343" t="s">
        <v>779</v>
      </c>
      <c r="I199" s="1342" t="s">
        <v>1082</v>
      </c>
      <c r="J199" s="1342" t="s">
        <v>73</v>
      </c>
      <c r="K199" s="1342" t="s">
        <v>639</v>
      </c>
      <c r="L199" s="2320" t="s">
        <v>1083</v>
      </c>
      <c r="M199" s="2323">
        <v>45881</v>
      </c>
      <c r="N199" s="2324">
        <v>46000</v>
      </c>
      <c r="O199" s="1340" t="s">
        <v>39</v>
      </c>
      <c r="P199" s="1340" t="s">
        <v>39</v>
      </c>
      <c r="Q199" s="1775">
        <v>1</v>
      </c>
      <c r="R199" s="2325">
        <v>4513032914</v>
      </c>
      <c r="S199" s="2027">
        <v>45895</v>
      </c>
      <c r="T199" s="1340">
        <v>46000</v>
      </c>
      <c r="U199" s="1340" t="s">
        <v>39</v>
      </c>
      <c r="V199" s="284">
        <f>Table626893456[[#This Row],[Offer Value]]-Table626893456[[#This Row],[PO Value]]</f>
        <v>0</v>
      </c>
      <c r="W199" s="2326"/>
      <c r="X199" s="2031"/>
      <c r="Y199" s="2318"/>
      <c r="Z199" s="7"/>
      <c r="AA199" s="7"/>
    </row>
    <row r="200" spans="1:27" ht="18">
      <c r="A200" s="1340">
        <v>90</v>
      </c>
      <c r="B200" s="2334"/>
      <c r="C200" s="2665" t="s">
        <v>634</v>
      </c>
      <c r="D200" s="2665" t="s">
        <v>133</v>
      </c>
      <c r="E200" s="2665" t="s">
        <v>777</v>
      </c>
      <c r="F200" s="1342" t="s">
        <v>778</v>
      </c>
      <c r="G200" s="1342">
        <v>9860084043</v>
      </c>
      <c r="H200" s="1343" t="s">
        <v>779</v>
      </c>
      <c r="I200" s="1342" t="s">
        <v>1084</v>
      </c>
      <c r="J200" s="1342" t="s">
        <v>73</v>
      </c>
      <c r="K200" s="1342" t="s">
        <v>639</v>
      </c>
      <c r="L200" s="2665" t="s">
        <v>1083</v>
      </c>
      <c r="M200" s="2323">
        <v>45881</v>
      </c>
      <c r="N200" s="2324">
        <v>46000</v>
      </c>
      <c r="O200" s="1340" t="s">
        <v>39</v>
      </c>
      <c r="P200" s="1340" t="s">
        <v>39</v>
      </c>
      <c r="Q200" s="1775">
        <v>1</v>
      </c>
      <c r="R200" s="2325">
        <v>4513032914</v>
      </c>
      <c r="S200" s="2027">
        <v>45895</v>
      </c>
      <c r="T200" s="1340">
        <v>46000</v>
      </c>
      <c r="U200" s="1340" t="s">
        <v>39</v>
      </c>
      <c r="V200" s="284">
        <f>Table626893456[[#This Row],[Offer Value]]-Table626893456[[#This Row],[PO Value]]</f>
        <v>0</v>
      </c>
      <c r="W200" s="2028"/>
      <c r="X200" s="2029"/>
      <c r="Y200" s="2318"/>
      <c r="Z200" s="1560"/>
      <c r="AA200" s="1560"/>
    </row>
    <row r="201" spans="1:27" s="417" customFormat="1" ht="14.4" customHeight="1">
      <c r="A201" s="1340">
        <v>90</v>
      </c>
      <c r="B201" s="2025"/>
      <c r="C201" s="2665" t="s">
        <v>634</v>
      </c>
      <c r="D201" s="2665" t="s">
        <v>133</v>
      </c>
      <c r="E201" s="2665" t="s">
        <v>777</v>
      </c>
      <c r="F201" s="1342" t="s">
        <v>778</v>
      </c>
      <c r="G201" s="1342">
        <v>9860084043</v>
      </c>
      <c r="H201" s="1343" t="s">
        <v>779</v>
      </c>
      <c r="I201" s="1342" t="s">
        <v>1085</v>
      </c>
      <c r="J201" s="1342" t="s">
        <v>73</v>
      </c>
      <c r="K201" s="1342" t="s">
        <v>639</v>
      </c>
      <c r="L201" s="2665" t="s">
        <v>1083</v>
      </c>
      <c r="M201" s="2323">
        <v>45881</v>
      </c>
      <c r="N201" s="2324">
        <v>46000</v>
      </c>
      <c r="O201" s="1340" t="s">
        <v>39</v>
      </c>
      <c r="P201" s="1340" t="s">
        <v>39</v>
      </c>
      <c r="Q201" s="1775">
        <v>1</v>
      </c>
      <c r="R201" s="2325">
        <v>4513032914</v>
      </c>
      <c r="S201" s="2027">
        <v>45895</v>
      </c>
      <c r="T201" s="1340">
        <v>46000</v>
      </c>
      <c r="U201" s="1340" t="s">
        <v>39</v>
      </c>
      <c r="V201" s="284">
        <f>Table626893456[[#This Row],[Offer Value]]-Table626893456[[#This Row],[PO Value]]</f>
        <v>0</v>
      </c>
      <c r="W201" s="1340"/>
      <c r="X201" s="2031"/>
      <c r="Y201" s="2318"/>
      <c r="Z201" s="2336"/>
      <c r="AA201" s="2336"/>
    </row>
    <row r="202" spans="1:27" s="1" customFormat="1" ht="14.4">
      <c r="A202" s="1340">
        <v>90</v>
      </c>
      <c r="B202" s="2025"/>
      <c r="C202" s="2665" t="s">
        <v>634</v>
      </c>
      <c r="D202" s="2665" t="s">
        <v>133</v>
      </c>
      <c r="E202" s="2665" t="s">
        <v>777</v>
      </c>
      <c r="F202" s="1342" t="s">
        <v>778</v>
      </c>
      <c r="G202" s="1342">
        <v>9860084043</v>
      </c>
      <c r="H202" s="1343" t="s">
        <v>779</v>
      </c>
      <c r="I202" s="1342" t="s">
        <v>1086</v>
      </c>
      <c r="J202" s="1342" t="s">
        <v>73</v>
      </c>
      <c r="K202" s="1342" t="s">
        <v>639</v>
      </c>
      <c r="L202" s="2665" t="s">
        <v>1083</v>
      </c>
      <c r="M202" s="2323">
        <v>45881</v>
      </c>
      <c r="N202" s="2324">
        <v>46000</v>
      </c>
      <c r="O202" s="1340" t="s">
        <v>39</v>
      </c>
      <c r="P202" s="1340" t="s">
        <v>39</v>
      </c>
      <c r="Q202" s="1775">
        <v>1</v>
      </c>
      <c r="R202" s="2325">
        <v>4513032914</v>
      </c>
      <c r="S202" s="2027">
        <v>45895</v>
      </c>
      <c r="T202" s="1340">
        <v>46000</v>
      </c>
      <c r="U202" s="1340" t="s">
        <v>39</v>
      </c>
      <c r="V202" s="284">
        <f>Table626893456[[#This Row],[Offer Value]]-Table626893456[[#This Row],[PO Value]]</f>
        <v>0</v>
      </c>
      <c r="W202" s="1340"/>
      <c r="X202" s="2031"/>
      <c r="Y202" s="2318"/>
      <c r="Z202" s="2319"/>
      <c r="AA202" s="2319"/>
    </row>
    <row r="203" spans="1:27" s="1" customFormat="1" ht="14.4">
      <c r="A203" s="1340">
        <v>90</v>
      </c>
      <c r="B203" s="2025"/>
      <c r="C203" s="2665" t="s">
        <v>634</v>
      </c>
      <c r="D203" s="2665" t="s">
        <v>133</v>
      </c>
      <c r="E203" s="2665" t="s">
        <v>777</v>
      </c>
      <c r="F203" s="1342" t="s">
        <v>778</v>
      </c>
      <c r="G203" s="1342">
        <v>9860084043</v>
      </c>
      <c r="H203" s="1343" t="s">
        <v>779</v>
      </c>
      <c r="I203" s="1342" t="s">
        <v>1087</v>
      </c>
      <c r="J203" s="1342" t="s">
        <v>73</v>
      </c>
      <c r="K203" s="1342" t="s">
        <v>639</v>
      </c>
      <c r="L203" s="2665" t="s">
        <v>1083</v>
      </c>
      <c r="M203" s="2323">
        <v>45881</v>
      </c>
      <c r="N203" s="2324">
        <v>46000</v>
      </c>
      <c r="O203" s="1340" t="s">
        <v>39</v>
      </c>
      <c r="P203" s="1340" t="s">
        <v>39</v>
      </c>
      <c r="Q203" s="1775">
        <v>1</v>
      </c>
      <c r="R203" s="2325">
        <v>4513032914</v>
      </c>
      <c r="S203" s="2027">
        <v>45895</v>
      </c>
      <c r="T203" s="1340">
        <v>46000</v>
      </c>
      <c r="U203" s="1340" t="s">
        <v>39</v>
      </c>
      <c r="V203" s="284">
        <f>Table626893456[[#This Row],[Offer Value]]-Table626893456[[#This Row],[PO Value]]</f>
        <v>0</v>
      </c>
      <c r="W203" s="1340"/>
      <c r="X203" s="2031"/>
      <c r="Y203" s="2318"/>
      <c r="Z203" s="2319"/>
      <c r="AA203" s="2319"/>
    </row>
    <row r="204" spans="1:27" s="1" customFormat="1" ht="14.4">
      <c r="A204" s="1340">
        <v>90</v>
      </c>
      <c r="B204" s="2025"/>
      <c r="C204" s="2665" t="s">
        <v>634</v>
      </c>
      <c r="D204" s="2665" t="s">
        <v>133</v>
      </c>
      <c r="E204" s="2665" t="s">
        <v>777</v>
      </c>
      <c r="F204" s="1342" t="s">
        <v>778</v>
      </c>
      <c r="G204" s="1342">
        <v>9860084043</v>
      </c>
      <c r="H204" s="1343" t="s">
        <v>779</v>
      </c>
      <c r="I204" s="1342" t="s">
        <v>1088</v>
      </c>
      <c r="J204" s="1342" t="s">
        <v>73</v>
      </c>
      <c r="K204" s="1342" t="s">
        <v>639</v>
      </c>
      <c r="L204" s="2665" t="s">
        <v>1083</v>
      </c>
      <c r="M204" s="2323">
        <v>45881</v>
      </c>
      <c r="N204" s="2324">
        <v>46000</v>
      </c>
      <c r="O204" s="1340" t="s">
        <v>39</v>
      </c>
      <c r="P204" s="1340" t="s">
        <v>39</v>
      </c>
      <c r="Q204" s="1775">
        <v>1</v>
      </c>
      <c r="R204" s="2325">
        <v>4513032914</v>
      </c>
      <c r="S204" s="2027">
        <v>45895</v>
      </c>
      <c r="T204" s="1340">
        <v>46000</v>
      </c>
      <c r="U204" s="1340" t="s">
        <v>39</v>
      </c>
      <c r="V204" s="284">
        <f>Table626893456[[#This Row],[Offer Value]]-Table626893456[[#This Row],[PO Value]]</f>
        <v>0</v>
      </c>
      <c r="W204" s="1340"/>
      <c r="X204" s="2031"/>
      <c r="Y204" s="2318"/>
      <c r="Z204" s="2319"/>
      <c r="AA204" s="2319"/>
    </row>
    <row r="205" spans="1:27" s="1" customFormat="1" ht="14.4">
      <c r="A205" s="1340">
        <v>90</v>
      </c>
      <c r="B205" s="2025"/>
      <c r="C205" s="2665" t="s">
        <v>634</v>
      </c>
      <c r="D205" s="2665" t="s">
        <v>133</v>
      </c>
      <c r="E205" s="2665" t="s">
        <v>777</v>
      </c>
      <c r="F205" s="1342" t="s">
        <v>778</v>
      </c>
      <c r="G205" s="1342">
        <v>9860084043</v>
      </c>
      <c r="H205" s="1343" t="s">
        <v>779</v>
      </c>
      <c r="I205" s="1342" t="s">
        <v>1089</v>
      </c>
      <c r="J205" s="1342" t="s">
        <v>73</v>
      </c>
      <c r="K205" s="1342" t="s">
        <v>639</v>
      </c>
      <c r="L205" s="2665" t="s">
        <v>1083</v>
      </c>
      <c r="M205" s="2323">
        <v>45881</v>
      </c>
      <c r="N205" s="2324">
        <v>46000</v>
      </c>
      <c r="O205" s="1340" t="s">
        <v>39</v>
      </c>
      <c r="P205" s="1340" t="s">
        <v>39</v>
      </c>
      <c r="Q205" s="1775">
        <v>1</v>
      </c>
      <c r="R205" s="2325">
        <v>4513032914</v>
      </c>
      <c r="S205" s="2027">
        <v>45895</v>
      </c>
      <c r="T205" s="1340">
        <v>46000</v>
      </c>
      <c r="U205" s="1340" t="s">
        <v>39</v>
      </c>
      <c r="V205" s="284">
        <f>Table626893456[[#This Row],[Offer Value]]-Table626893456[[#This Row],[PO Value]]</f>
        <v>0</v>
      </c>
      <c r="W205" s="1340"/>
      <c r="X205" s="2031"/>
      <c r="Y205" s="2318"/>
      <c r="Z205" s="2319"/>
      <c r="AA205" s="2319"/>
    </row>
    <row r="206" spans="1:27" s="1" customFormat="1" ht="14.4">
      <c r="A206" s="1340">
        <v>90</v>
      </c>
      <c r="B206" s="2025"/>
      <c r="C206" s="2665" t="s">
        <v>634</v>
      </c>
      <c r="D206" s="2665" t="s">
        <v>133</v>
      </c>
      <c r="E206" s="2665" t="s">
        <v>777</v>
      </c>
      <c r="F206" s="1342" t="s">
        <v>778</v>
      </c>
      <c r="G206" s="1342">
        <v>9860084043</v>
      </c>
      <c r="H206" s="1343" t="s">
        <v>779</v>
      </c>
      <c r="I206" s="1342" t="s">
        <v>1090</v>
      </c>
      <c r="J206" s="1342" t="s">
        <v>73</v>
      </c>
      <c r="K206" s="1342" t="s">
        <v>639</v>
      </c>
      <c r="L206" s="2665" t="s">
        <v>1083</v>
      </c>
      <c r="M206" s="2323">
        <v>45881</v>
      </c>
      <c r="N206" s="2324">
        <v>46000</v>
      </c>
      <c r="O206" s="1340" t="s">
        <v>39</v>
      </c>
      <c r="P206" s="1340" t="s">
        <v>39</v>
      </c>
      <c r="Q206" s="1775">
        <v>1</v>
      </c>
      <c r="R206" s="2325">
        <v>4513032914</v>
      </c>
      <c r="S206" s="2027">
        <v>45895</v>
      </c>
      <c r="T206" s="1340">
        <v>46000</v>
      </c>
      <c r="U206" s="1340" t="s">
        <v>39</v>
      </c>
      <c r="V206" s="284">
        <f>Table626893456[[#This Row],[Offer Value]]-Table626893456[[#This Row],[PO Value]]</f>
        <v>0</v>
      </c>
      <c r="W206" s="1340"/>
      <c r="X206" s="2031"/>
      <c r="Y206" s="2318"/>
      <c r="Z206" s="2319"/>
      <c r="AA206" s="2319"/>
    </row>
    <row r="207" spans="1:27" s="1" customFormat="1" ht="14.4">
      <c r="A207" s="1340">
        <v>90</v>
      </c>
      <c r="B207" s="2025"/>
      <c r="C207" s="2665" t="s">
        <v>634</v>
      </c>
      <c r="D207" s="2665" t="s">
        <v>133</v>
      </c>
      <c r="E207" s="2665" t="s">
        <v>777</v>
      </c>
      <c r="F207" s="1342" t="s">
        <v>778</v>
      </c>
      <c r="G207" s="1342">
        <v>9860084043</v>
      </c>
      <c r="H207" s="1343" t="s">
        <v>779</v>
      </c>
      <c r="I207" s="1342" t="s">
        <v>1091</v>
      </c>
      <c r="J207" s="1342" t="s">
        <v>73</v>
      </c>
      <c r="K207" s="1342" t="s">
        <v>639</v>
      </c>
      <c r="L207" s="2665" t="s">
        <v>1083</v>
      </c>
      <c r="M207" s="2323">
        <v>45881</v>
      </c>
      <c r="N207" s="2324">
        <v>46000</v>
      </c>
      <c r="O207" s="1340" t="s">
        <v>39</v>
      </c>
      <c r="P207" s="1340" t="s">
        <v>39</v>
      </c>
      <c r="Q207" s="1775">
        <v>1</v>
      </c>
      <c r="R207" s="2325">
        <v>4513032914</v>
      </c>
      <c r="S207" s="2027">
        <v>45895</v>
      </c>
      <c r="T207" s="1340">
        <v>46000</v>
      </c>
      <c r="U207" s="1340" t="s">
        <v>39</v>
      </c>
      <c r="V207" s="284">
        <f>Table626893456[[#This Row],[Offer Value]]-Table626893456[[#This Row],[PO Value]]</f>
        <v>0</v>
      </c>
      <c r="W207" s="1340"/>
      <c r="X207" s="2031"/>
      <c r="Y207" s="2337"/>
      <c r="Z207" s="2319"/>
      <c r="AA207" s="2319"/>
    </row>
    <row r="208" spans="1:27" s="1" customFormat="1" ht="14.4">
      <c r="A208" s="1340">
        <v>90</v>
      </c>
      <c r="B208" s="2025"/>
      <c r="C208" s="2665" t="s">
        <v>634</v>
      </c>
      <c r="D208" s="2665" t="s">
        <v>133</v>
      </c>
      <c r="E208" s="2665" t="s">
        <v>777</v>
      </c>
      <c r="F208" s="1342" t="s">
        <v>778</v>
      </c>
      <c r="G208" s="1342">
        <v>9860084043</v>
      </c>
      <c r="H208" s="1343" t="s">
        <v>779</v>
      </c>
      <c r="I208" s="1342" t="s">
        <v>1092</v>
      </c>
      <c r="J208" s="1342" t="s">
        <v>73</v>
      </c>
      <c r="K208" s="1342" t="s">
        <v>639</v>
      </c>
      <c r="L208" s="2665" t="s">
        <v>1083</v>
      </c>
      <c r="M208" s="2323">
        <v>45881</v>
      </c>
      <c r="N208" s="2324">
        <v>46000</v>
      </c>
      <c r="O208" s="1340" t="s">
        <v>39</v>
      </c>
      <c r="P208" s="1340" t="s">
        <v>39</v>
      </c>
      <c r="Q208" s="1775">
        <v>1</v>
      </c>
      <c r="R208" s="2325">
        <v>4513032914</v>
      </c>
      <c r="S208" s="2027">
        <v>45895</v>
      </c>
      <c r="T208" s="1340">
        <v>46000</v>
      </c>
      <c r="U208" s="1340" t="s">
        <v>39</v>
      </c>
      <c r="V208" s="284">
        <f>Table626893456[[#This Row],[Offer Value]]-Table626893456[[#This Row],[PO Value]]</f>
        <v>0</v>
      </c>
      <c r="W208" s="1340"/>
      <c r="X208" s="2031"/>
      <c r="Y208" s="2318"/>
      <c r="Z208" s="2319"/>
      <c r="AA208" s="2319"/>
    </row>
    <row r="209" spans="1:27" s="1" customFormat="1" ht="14.4">
      <c r="A209" s="1340">
        <v>90</v>
      </c>
      <c r="B209" s="2025"/>
      <c r="C209" s="2665" t="s">
        <v>634</v>
      </c>
      <c r="D209" s="2665" t="s">
        <v>133</v>
      </c>
      <c r="E209" s="2665" t="s">
        <v>777</v>
      </c>
      <c r="F209" s="1342" t="s">
        <v>778</v>
      </c>
      <c r="G209" s="1342">
        <v>9860084043</v>
      </c>
      <c r="H209" s="1343" t="s">
        <v>779</v>
      </c>
      <c r="I209" s="1342" t="s">
        <v>780</v>
      </c>
      <c r="J209" s="1342" t="s">
        <v>73</v>
      </c>
      <c r="K209" s="1342" t="s">
        <v>639</v>
      </c>
      <c r="L209" s="2665" t="s">
        <v>1083</v>
      </c>
      <c r="M209" s="2323">
        <v>45881</v>
      </c>
      <c r="N209" s="2324">
        <v>46000</v>
      </c>
      <c r="O209" s="1340" t="s">
        <v>39</v>
      </c>
      <c r="P209" s="1340" t="s">
        <v>39</v>
      </c>
      <c r="Q209" s="1775">
        <v>1</v>
      </c>
      <c r="R209" s="2325">
        <v>4513032914</v>
      </c>
      <c r="S209" s="2027">
        <v>45895</v>
      </c>
      <c r="T209" s="1340">
        <v>46000</v>
      </c>
      <c r="U209" s="1340" t="s">
        <v>39</v>
      </c>
      <c r="V209" s="284">
        <f>Table626893456[[#This Row],[Offer Value]]-Table626893456[[#This Row],[PO Value]]</f>
        <v>0</v>
      </c>
      <c r="W209" s="1340"/>
      <c r="X209" s="2031"/>
      <c r="Y209" s="2318"/>
      <c r="Z209" s="2319"/>
      <c r="AA209" s="2319"/>
    </row>
    <row r="210" spans="1:27" s="1" customFormat="1" ht="28.8">
      <c r="A210" s="1340">
        <v>91</v>
      </c>
      <c r="B210" s="2025">
        <v>45865</v>
      </c>
      <c r="C210" s="2644" t="s">
        <v>889</v>
      </c>
      <c r="D210" s="2644" t="s">
        <v>133</v>
      </c>
      <c r="E210" s="2644" t="s">
        <v>277</v>
      </c>
      <c r="F210" s="2645" t="s">
        <v>1093</v>
      </c>
      <c r="G210" s="2645">
        <v>9907829409</v>
      </c>
      <c r="H210" s="2523" t="s">
        <v>1094</v>
      </c>
      <c r="I210" s="1684" t="s">
        <v>892</v>
      </c>
      <c r="J210" s="2524" t="s">
        <v>73</v>
      </c>
      <c r="K210" s="1684" t="s">
        <v>157</v>
      </c>
      <c r="L210" s="2644" t="s">
        <v>1095</v>
      </c>
      <c r="M210" s="1774">
        <v>45865</v>
      </c>
      <c r="N210" s="1340">
        <v>75000</v>
      </c>
      <c r="O210" s="1340" t="s">
        <v>37</v>
      </c>
      <c r="P210" s="1340" t="s">
        <v>39</v>
      </c>
      <c r="Q210" s="1775">
        <v>1</v>
      </c>
      <c r="R210" s="2026">
        <v>4503803719</v>
      </c>
      <c r="S210" s="2027">
        <v>45890</v>
      </c>
      <c r="T210" s="1340">
        <v>75000</v>
      </c>
      <c r="U210" s="1340" t="s">
        <v>39</v>
      </c>
      <c r="V210" s="1349">
        <f>Table626893456[[#This Row],[Offer Value]]-Table626893456[[#This Row],[PO Value]]</f>
        <v>0</v>
      </c>
      <c r="W210" s="1340"/>
      <c r="X210" s="2031"/>
      <c r="Y210" s="2318"/>
      <c r="Z210" s="2319"/>
      <c r="AA210" s="2319"/>
    </row>
    <row r="211" spans="1:27" s="1" customFormat="1" ht="14.4">
      <c r="A211" s="1340">
        <v>92</v>
      </c>
      <c r="B211" s="2025">
        <v>45865</v>
      </c>
      <c r="C211" s="1684" t="s">
        <v>634</v>
      </c>
      <c r="D211" s="1684" t="s">
        <v>133</v>
      </c>
      <c r="E211" s="1342" t="s">
        <v>277</v>
      </c>
      <c r="F211" s="2646" t="s">
        <v>1096</v>
      </c>
      <c r="G211" s="2646">
        <v>9657090200</v>
      </c>
      <c r="H211" s="1343" t="s">
        <v>1097</v>
      </c>
      <c r="I211" s="1684" t="s">
        <v>1098</v>
      </c>
      <c r="J211" s="2524" t="s">
        <v>73</v>
      </c>
      <c r="K211" s="1684" t="s">
        <v>157</v>
      </c>
      <c r="L211" s="1684" t="s">
        <v>1099</v>
      </c>
      <c r="M211" s="1774">
        <v>45867</v>
      </c>
      <c r="N211" s="1340">
        <v>46000</v>
      </c>
      <c r="O211" s="1340" t="s">
        <v>37</v>
      </c>
      <c r="P211" s="1340" t="s">
        <v>44</v>
      </c>
      <c r="Q211" s="1775">
        <v>1</v>
      </c>
      <c r="R211" s="2026">
        <v>4513115639</v>
      </c>
      <c r="S211" s="2027">
        <v>45915</v>
      </c>
      <c r="T211" s="1340">
        <v>46000</v>
      </c>
      <c r="U211" s="1340" t="s">
        <v>44</v>
      </c>
      <c r="V211" s="1349">
        <f>Table626893456[[#This Row],[Offer Value]]-Table626893456[[#This Row],[PO Value]]</f>
        <v>0</v>
      </c>
      <c r="W211" s="1340"/>
      <c r="X211" s="2031"/>
      <c r="Y211" s="2318"/>
      <c r="Z211" s="2319"/>
      <c r="AA211" s="2319"/>
    </row>
    <row r="212" spans="1:27" s="1" customFormat="1" ht="15.6">
      <c r="A212" s="289">
        <v>93</v>
      </c>
      <c r="B212" s="256">
        <v>45881</v>
      </c>
      <c r="C212" s="283" t="s">
        <v>867</v>
      </c>
      <c r="D212" s="489" t="s">
        <v>1100</v>
      </c>
      <c r="E212" s="489" t="s">
        <v>277</v>
      </c>
      <c r="F212" s="489" t="s">
        <v>1101</v>
      </c>
      <c r="G212" s="489"/>
      <c r="H212" s="383" t="s">
        <v>1102</v>
      </c>
      <c r="I212" s="501"/>
      <c r="J212" s="495" t="s">
        <v>73</v>
      </c>
      <c r="K212" s="283" t="s">
        <v>157</v>
      </c>
      <c r="L212" s="283" t="s">
        <v>1103</v>
      </c>
      <c r="M212" s="517">
        <v>45881</v>
      </c>
      <c r="N212" s="289">
        <v>75000</v>
      </c>
      <c r="O212" s="289" t="s">
        <v>39</v>
      </c>
      <c r="P212" s="487" t="s">
        <v>49</v>
      </c>
      <c r="Q212" s="391">
        <v>0.5</v>
      </c>
      <c r="R212" s="502"/>
      <c r="S212" s="506"/>
      <c r="T212" s="518"/>
      <c r="U212" s="289"/>
      <c r="V212" s="284">
        <f>Table626893456[[#This Row],[Offer Value]]-Table626893456[[#This Row],[PO Value]]</f>
        <v>75000</v>
      </c>
      <c r="W212" s="289"/>
      <c r="X212" s="200"/>
      <c r="Y212" s="519"/>
      <c r="Z212" s="2319"/>
      <c r="AA212" s="2319"/>
    </row>
    <row r="213" spans="1:27" s="1" customFormat="1" ht="15.6">
      <c r="A213" s="1639">
        <v>94</v>
      </c>
      <c r="B213" s="2525">
        <v>45890</v>
      </c>
      <c r="C213" s="1353" t="s">
        <v>1104</v>
      </c>
      <c r="D213" s="1353" t="s">
        <v>133</v>
      </c>
      <c r="E213" s="1353" t="s">
        <v>277</v>
      </c>
      <c r="F213" s="2643" t="s">
        <v>1105</v>
      </c>
      <c r="G213" s="2643">
        <v>7447765126</v>
      </c>
      <c r="H213" s="2650" t="s">
        <v>1106</v>
      </c>
      <c r="I213" s="1353" t="s">
        <v>1107</v>
      </c>
      <c r="J213" s="1773" t="s">
        <v>73</v>
      </c>
      <c r="K213" s="1353" t="s">
        <v>157</v>
      </c>
      <c r="L213" s="1353" t="s">
        <v>1108</v>
      </c>
      <c r="M213" s="1647">
        <v>45890</v>
      </c>
      <c r="N213" s="1639">
        <v>55000</v>
      </c>
      <c r="O213" s="1639" t="s">
        <v>39</v>
      </c>
      <c r="P213" s="1639" t="s">
        <v>44</v>
      </c>
      <c r="Q213" s="1649">
        <v>1</v>
      </c>
      <c r="R213" s="1457">
        <v>4509091008</v>
      </c>
      <c r="S213" s="2526">
        <v>45909</v>
      </c>
      <c r="T213" s="1639">
        <v>55000</v>
      </c>
      <c r="U213" s="1639" t="s">
        <v>44</v>
      </c>
      <c r="V213" s="1349">
        <f>Table626893456[[#This Row],[Offer Value]]-Table626893456[[#This Row],[PO Value]]</f>
        <v>0</v>
      </c>
      <c r="W213" s="1639"/>
      <c r="X213" s="2527"/>
      <c r="Y213" s="2528"/>
      <c r="Z213" s="43"/>
      <c r="AA213" s="43"/>
    </row>
    <row r="214" spans="1:27" s="171" customFormat="1" ht="15.6">
      <c r="A214" s="1639">
        <v>95</v>
      </c>
      <c r="B214" s="2525"/>
      <c r="C214" s="1353" t="s">
        <v>1104</v>
      </c>
      <c r="D214" s="1353" t="s">
        <v>133</v>
      </c>
      <c r="E214" s="1353" t="s">
        <v>277</v>
      </c>
      <c r="F214" s="2703" t="s">
        <v>1105</v>
      </c>
      <c r="G214" s="2703">
        <v>7447765126</v>
      </c>
      <c r="H214" s="2705" t="s">
        <v>1106</v>
      </c>
      <c r="I214" s="1353" t="s">
        <v>1107</v>
      </c>
      <c r="J214" s="2524" t="s">
        <v>78</v>
      </c>
      <c r="K214" s="1353" t="s">
        <v>157</v>
      </c>
      <c r="L214" s="1353" t="s">
        <v>1108</v>
      </c>
      <c r="M214" s="1647">
        <v>45890</v>
      </c>
      <c r="N214" s="1639">
        <v>32000</v>
      </c>
      <c r="O214" s="1639" t="s">
        <v>39</v>
      </c>
      <c r="P214" s="1639" t="s">
        <v>44</v>
      </c>
      <c r="Q214" s="1649">
        <v>1</v>
      </c>
      <c r="R214" s="1457">
        <v>4509091008</v>
      </c>
      <c r="S214" s="2526">
        <v>45909</v>
      </c>
      <c r="T214" s="1639">
        <v>32000</v>
      </c>
      <c r="U214" s="1639" t="s">
        <v>44</v>
      </c>
      <c r="V214" s="1349">
        <f>Table626893456[[#This Row],[Offer Value]]-Table626893456[[#This Row],[PO Value]]</f>
        <v>0</v>
      </c>
      <c r="W214" s="1639"/>
      <c r="X214" s="2527"/>
      <c r="Y214" s="2528"/>
      <c r="Z214" s="2529"/>
      <c r="AA214" s="2529"/>
    </row>
    <row r="215" spans="1:27" s="1" customFormat="1" ht="15.6">
      <c r="A215" s="1639">
        <v>96</v>
      </c>
      <c r="B215" s="2525">
        <v>45933</v>
      </c>
      <c r="C215" s="1353" t="s">
        <v>1109</v>
      </c>
      <c r="D215" s="1353" t="s">
        <v>133</v>
      </c>
      <c r="E215" s="1353" t="s">
        <v>1110</v>
      </c>
      <c r="F215" s="2666" t="s">
        <v>1111</v>
      </c>
      <c r="G215" s="2666">
        <v>8380019948</v>
      </c>
      <c r="H215" s="2668" t="s">
        <v>1112</v>
      </c>
      <c r="I215" s="1353" t="s">
        <v>1113</v>
      </c>
      <c r="J215" s="2524" t="s">
        <v>79</v>
      </c>
      <c r="K215" s="1353" t="s">
        <v>138</v>
      </c>
      <c r="L215" s="1353" t="s">
        <v>1114</v>
      </c>
      <c r="M215" s="1647">
        <v>45933</v>
      </c>
      <c r="N215" s="1639">
        <v>38500</v>
      </c>
      <c r="O215" s="1639" t="s">
        <v>47</v>
      </c>
      <c r="P215" s="1639" t="s">
        <v>47</v>
      </c>
      <c r="Q215" s="1649">
        <v>1</v>
      </c>
      <c r="R215" s="1457">
        <v>6700062982</v>
      </c>
      <c r="S215" s="2526">
        <v>45938</v>
      </c>
      <c r="T215" s="1639">
        <v>38500</v>
      </c>
      <c r="U215" s="1639" t="s">
        <v>47</v>
      </c>
      <c r="V215" s="1349">
        <f>Table626893456[[#This Row],[Offer Value]]-Table626893456[[#This Row],[PO Value]]</f>
        <v>0</v>
      </c>
      <c r="W215" s="1451"/>
      <c r="X215" s="2527"/>
      <c r="Y215" s="2530"/>
      <c r="Z215" s="2319"/>
      <c r="AA215" s="2319"/>
    </row>
    <row r="216" spans="1:27" ht="15.6">
      <c r="A216" s="1340">
        <v>97</v>
      </c>
      <c r="B216" s="2025">
        <v>45933</v>
      </c>
      <c r="C216" s="1684" t="s">
        <v>1109</v>
      </c>
      <c r="D216" s="1684" t="s">
        <v>133</v>
      </c>
      <c r="E216" s="1684" t="s">
        <v>191</v>
      </c>
      <c r="F216" s="1353" t="s">
        <v>1111</v>
      </c>
      <c r="G216" s="1353">
        <v>8380019948</v>
      </c>
      <c r="H216" s="1354" t="s">
        <v>1112</v>
      </c>
      <c r="I216" s="1684" t="s">
        <v>1113</v>
      </c>
      <c r="J216" s="2524" t="s">
        <v>75</v>
      </c>
      <c r="K216" s="1684" t="s">
        <v>157</v>
      </c>
      <c r="L216" s="1684" t="s">
        <v>1115</v>
      </c>
      <c r="M216" s="1774">
        <v>45933</v>
      </c>
      <c r="N216" s="1340">
        <v>155030</v>
      </c>
      <c r="O216" s="1340" t="s">
        <v>47</v>
      </c>
      <c r="P216" s="1340" t="s">
        <v>47</v>
      </c>
      <c r="Q216" s="1775">
        <v>1</v>
      </c>
      <c r="R216" s="2026">
        <v>6700062982</v>
      </c>
      <c r="S216" s="2027">
        <v>45938</v>
      </c>
      <c r="T216" s="1340">
        <v>147278</v>
      </c>
      <c r="U216" s="1340" t="s">
        <v>47</v>
      </c>
      <c r="V216" s="1349">
        <v>0</v>
      </c>
      <c r="W216" s="1340"/>
      <c r="X216" s="2031"/>
      <c r="Y216" s="2318"/>
      <c r="Z216" s="1560"/>
      <c r="AA216" s="1560"/>
    </row>
    <row r="217" spans="1:27" s="1" customFormat="1" ht="14.4">
      <c r="A217" s="487">
        <v>98</v>
      </c>
      <c r="B217" s="503">
        <v>45930</v>
      </c>
      <c r="C217" s="501" t="s">
        <v>444</v>
      </c>
      <c r="D217" s="501" t="s">
        <v>133</v>
      </c>
      <c r="E217" s="501" t="s">
        <v>1049</v>
      </c>
      <c r="F217" s="500" t="s">
        <v>1116</v>
      </c>
      <c r="G217" s="500">
        <v>8605611200</v>
      </c>
      <c r="H217" s="386" t="s">
        <v>1117</v>
      </c>
      <c r="I217" s="501" t="s">
        <v>1052</v>
      </c>
      <c r="J217" s="495" t="s">
        <v>75</v>
      </c>
      <c r="K217" s="501" t="s">
        <v>157</v>
      </c>
      <c r="L217" s="501" t="s">
        <v>1118</v>
      </c>
      <c r="M217" s="505">
        <v>45930</v>
      </c>
      <c r="N217" s="487">
        <v>386482</v>
      </c>
      <c r="O217" s="487" t="s">
        <v>44</v>
      </c>
      <c r="P217" s="487" t="s">
        <v>49</v>
      </c>
      <c r="Q217" s="391">
        <v>0.5</v>
      </c>
      <c r="R217" s="502"/>
      <c r="S217" s="506"/>
      <c r="T217" s="487"/>
      <c r="U217" s="487"/>
      <c r="V217" s="284">
        <f>Table626893456[[#This Row],[Offer Value]]-Table626893456[[#This Row],[PO Value]]</f>
        <v>386482</v>
      </c>
      <c r="W217" s="487"/>
      <c r="X217" s="516"/>
      <c r="Y217" s="508"/>
      <c r="Z217" s="2319"/>
      <c r="AA217" s="2319"/>
    </row>
    <row r="218" spans="1:27" s="1" customFormat="1" ht="14.4">
      <c r="A218" s="1340">
        <v>99</v>
      </c>
      <c r="B218" s="2025">
        <v>45930</v>
      </c>
      <c r="C218" s="1684" t="s">
        <v>687</v>
      </c>
      <c r="D218" s="1684" t="s">
        <v>304</v>
      </c>
      <c r="E218" s="1345" t="s">
        <v>895</v>
      </c>
      <c r="F218" s="2711" t="s">
        <v>1119</v>
      </c>
      <c r="G218" s="2711">
        <v>9819509486</v>
      </c>
      <c r="H218" s="2523" t="s">
        <v>897</v>
      </c>
      <c r="I218" s="1684" t="s">
        <v>898</v>
      </c>
      <c r="J218" s="2524" t="s">
        <v>75</v>
      </c>
      <c r="K218" s="1684" t="s">
        <v>157</v>
      </c>
      <c r="L218" s="1684" t="s">
        <v>1120</v>
      </c>
      <c r="M218" s="1774">
        <v>45930</v>
      </c>
      <c r="N218" s="1340">
        <v>276760</v>
      </c>
      <c r="O218" s="1340" t="s">
        <v>44</v>
      </c>
      <c r="P218" s="1340" t="s">
        <v>49</v>
      </c>
      <c r="Q218" s="1775">
        <v>1</v>
      </c>
      <c r="R218" s="2026">
        <v>4513719655</v>
      </c>
      <c r="S218" s="2027">
        <v>45965</v>
      </c>
      <c r="T218" s="1340">
        <v>270000</v>
      </c>
      <c r="U218" s="1340" t="s">
        <v>49</v>
      </c>
      <c r="V218" s="1349">
        <v>0</v>
      </c>
      <c r="W218" s="1340"/>
      <c r="X218" s="2031"/>
      <c r="Y218" s="2318"/>
      <c r="Z218" s="43"/>
      <c r="AA218" s="43"/>
    </row>
    <row r="219" spans="1:27" s="1" customFormat="1" ht="14.4">
      <c r="A219" s="1340">
        <v>100</v>
      </c>
      <c r="B219" s="2025">
        <v>45933</v>
      </c>
      <c r="C219" s="1684" t="s">
        <v>749</v>
      </c>
      <c r="D219" s="1684" t="s">
        <v>133</v>
      </c>
      <c r="E219" s="1342" t="s">
        <v>880</v>
      </c>
      <c r="F219" s="1342" t="s">
        <v>813</v>
      </c>
      <c r="G219" s="1342">
        <v>8975397991</v>
      </c>
      <c r="H219" s="1343" t="s">
        <v>814</v>
      </c>
      <c r="I219" s="1684" t="s">
        <v>752</v>
      </c>
      <c r="J219" s="2524" t="s">
        <v>75</v>
      </c>
      <c r="K219" s="1684" t="s">
        <v>157</v>
      </c>
      <c r="L219" s="1684" t="s">
        <v>1121</v>
      </c>
      <c r="M219" s="1774">
        <v>45933</v>
      </c>
      <c r="N219" s="1340">
        <v>469085</v>
      </c>
      <c r="O219" s="1340" t="s">
        <v>47</v>
      </c>
      <c r="P219" s="1340" t="s">
        <v>47</v>
      </c>
      <c r="Q219" s="1775">
        <v>1</v>
      </c>
      <c r="R219" s="2026">
        <v>2011449</v>
      </c>
      <c r="S219" s="2027">
        <v>45729</v>
      </c>
      <c r="T219" s="1340">
        <v>469085</v>
      </c>
      <c r="U219" s="1340" t="s">
        <v>47</v>
      </c>
      <c r="V219" s="1349">
        <f>Table626893456[[#This Row],[Offer Value]]-Table626893456[[#This Row],[PO Value]]</f>
        <v>0</v>
      </c>
      <c r="W219" s="1340"/>
      <c r="X219" s="2031"/>
      <c r="Y219" s="2318"/>
      <c r="Z219" s="43"/>
      <c r="AA219" s="43"/>
    </row>
    <row r="220" spans="1:27" s="1" customFormat="1" ht="18" customHeight="1">
      <c r="A220" s="1340">
        <v>101</v>
      </c>
      <c r="B220" s="2025">
        <v>45945</v>
      </c>
      <c r="C220" s="1684" t="s">
        <v>965</v>
      </c>
      <c r="D220" s="1684" t="s">
        <v>133</v>
      </c>
      <c r="E220" s="1684" t="s">
        <v>277</v>
      </c>
      <c r="F220" s="1342" t="s">
        <v>1122</v>
      </c>
      <c r="G220" s="1342">
        <v>9970002052</v>
      </c>
      <c r="H220" s="1343" t="s">
        <v>1123</v>
      </c>
      <c r="I220" s="1342" t="s">
        <v>1124</v>
      </c>
      <c r="J220" s="2524" t="s">
        <v>75</v>
      </c>
      <c r="K220" s="1684" t="s">
        <v>157</v>
      </c>
      <c r="L220" s="1684" t="s">
        <v>1125</v>
      </c>
      <c r="M220" s="1774">
        <v>45945</v>
      </c>
      <c r="N220" s="1340">
        <v>441760</v>
      </c>
      <c r="O220" s="1340" t="s">
        <v>47</v>
      </c>
      <c r="P220" s="1340" t="s">
        <v>47</v>
      </c>
      <c r="Q220" s="1775">
        <v>1</v>
      </c>
      <c r="R220" s="2026" t="s">
        <v>1126</v>
      </c>
      <c r="S220" s="2027">
        <v>45947</v>
      </c>
      <c r="T220" s="1340">
        <v>428507</v>
      </c>
      <c r="U220" s="1340" t="s">
        <v>47</v>
      </c>
      <c r="V220" s="1349">
        <v>0</v>
      </c>
      <c r="W220" s="2326"/>
      <c r="X220" s="2031"/>
      <c r="Y220" s="2318"/>
      <c r="Z220" s="2319"/>
      <c r="AA220" s="2319"/>
    </row>
    <row r="221" spans="1:27" ht="14.4">
      <c r="A221" s="1968">
        <v>101</v>
      </c>
      <c r="B221" s="2641"/>
      <c r="C221" s="1972" t="s">
        <v>965</v>
      </c>
      <c r="D221" s="1972" t="s">
        <v>133</v>
      </c>
      <c r="E221" s="1972" t="s">
        <v>277</v>
      </c>
      <c r="F221" s="1972" t="s">
        <v>966</v>
      </c>
      <c r="G221" s="1972">
        <v>9970002053</v>
      </c>
      <c r="H221" s="2649" t="s">
        <v>967</v>
      </c>
      <c r="I221" s="1972" t="s">
        <v>1124</v>
      </c>
      <c r="J221" s="1972" t="s">
        <v>73</v>
      </c>
      <c r="K221" s="1972" t="s">
        <v>639</v>
      </c>
      <c r="L221" s="1972" t="s">
        <v>969</v>
      </c>
      <c r="M221" s="2651">
        <v>45812</v>
      </c>
      <c r="N221" s="1083">
        <v>85000</v>
      </c>
      <c r="O221" s="1083" t="s">
        <v>34</v>
      </c>
      <c r="P221" s="1083" t="s">
        <v>34</v>
      </c>
      <c r="Q221" s="2655">
        <v>1</v>
      </c>
      <c r="R221" s="1972" t="s">
        <v>970</v>
      </c>
      <c r="S221" s="2651">
        <v>45852</v>
      </c>
      <c r="T221" s="1083">
        <v>78000</v>
      </c>
      <c r="U221" s="1083" t="s">
        <v>37</v>
      </c>
      <c r="V221" s="1973">
        <v>0</v>
      </c>
      <c r="W221" s="1083"/>
      <c r="X221" s="1970"/>
      <c r="Y221" s="1971"/>
      <c r="Z221" s="1560"/>
      <c r="AA221" s="1560"/>
    </row>
    <row r="222" spans="1:27" ht="14.4">
      <c r="A222" s="487">
        <v>102</v>
      </c>
      <c r="B222" s="503">
        <v>45940</v>
      </c>
      <c r="C222" s="501" t="s">
        <v>614</v>
      </c>
      <c r="D222" s="501" t="s">
        <v>133</v>
      </c>
      <c r="E222" s="1889" t="s">
        <v>277</v>
      </c>
      <c r="F222" s="1999" t="s">
        <v>615</v>
      </c>
      <c r="G222" s="1889">
        <v>2022903115</v>
      </c>
      <c r="H222" s="2533" t="s">
        <v>616</v>
      </c>
      <c r="I222" s="501" t="s">
        <v>617</v>
      </c>
      <c r="J222" s="495" t="s">
        <v>75</v>
      </c>
      <c r="K222" s="501" t="s">
        <v>157</v>
      </c>
      <c r="L222" s="501" t="s">
        <v>1127</v>
      </c>
      <c r="M222" s="505">
        <v>45940</v>
      </c>
      <c r="N222" s="487">
        <v>606100</v>
      </c>
      <c r="O222" s="487" t="s">
        <v>47</v>
      </c>
      <c r="P222" s="400" t="s">
        <v>62</v>
      </c>
      <c r="Q222" s="391">
        <v>0.5</v>
      </c>
      <c r="R222" s="523"/>
      <c r="S222" s="524"/>
      <c r="T222" s="400"/>
      <c r="U222" s="400"/>
      <c r="V222" s="284">
        <f>Table626893456[[#This Row],[Offer Value]]-Table626893456[[#This Row],[PO Value]]</f>
        <v>606100</v>
      </c>
      <c r="W222" s="400"/>
      <c r="X222" s="516"/>
      <c r="Y222" s="508"/>
      <c r="Z222" s="7"/>
      <c r="AA222" s="7"/>
    </row>
    <row r="223" spans="1:27" s="1" customFormat="1" ht="15.6">
      <c r="A223" s="1340">
        <v>103</v>
      </c>
      <c r="B223" s="2525">
        <v>45946</v>
      </c>
      <c r="C223" s="1342" t="s">
        <v>687</v>
      </c>
      <c r="D223" s="1342" t="s">
        <v>304</v>
      </c>
      <c r="E223" s="1342" t="s">
        <v>688</v>
      </c>
      <c r="F223" s="1342" t="s">
        <v>1128</v>
      </c>
      <c r="G223" s="1342">
        <v>9833658459</v>
      </c>
      <c r="H223" s="1343" t="s">
        <v>1129</v>
      </c>
      <c r="I223" s="1342" t="s">
        <v>691</v>
      </c>
      <c r="J223" s="2524" t="s">
        <v>83</v>
      </c>
      <c r="K223" s="1353" t="s">
        <v>157</v>
      </c>
      <c r="L223" s="1353" t="s">
        <v>1130</v>
      </c>
      <c r="M223" s="1647">
        <v>45946</v>
      </c>
      <c r="N223" s="1639">
        <v>686930</v>
      </c>
      <c r="O223" s="1639" t="s">
        <v>47</v>
      </c>
      <c r="P223" s="1639" t="s">
        <v>47</v>
      </c>
      <c r="Q223" s="1649">
        <v>1</v>
      </c>
      <c r="R223" s="1457">
        <v>4513692315</v>
      </c>
      <c r="S223" s="2526">
        <v>45954</v>
      </c>
      <c r="T223" s="1639">
        <v>686930</v>
      </c>
      <c r="U223" s="1639" t="s">
        <v>47</v>
      </c>
      <c r="V223" s="1349">
        <f>Table626893456[[#This Row],[Offer Value]]-Table626893456[[#This Row],[PO Value]]</f>
        <v>0</v>
      </c>
      <c r="W223" s="1639"/>
      <c r="X223" s="2527"/>
      <c r="Y223" s="2528"/>
      <c r="Z223" s="2319"/>
      <c r="AA223" s="2319"/>
    </row>
    <row r="224" spans="1:27" s="171" customFormat="1" ht="14.4">
      <c r="A224" s="1340">
        <v>104</v>
      </c>
      <c r="B224" s="2025">
        <v>45950</v>
      </c>
      <c r="C224" s="1684" t="s">
        <v>792</v>
      </c>
      <c r="D224" s="1684" t="s">
        <v>133</v>
      </c>
      <c r="E224" s="2601" t="s">
        <v>277</v>
      </c>
      <c r="F224" s="2601" t="s">
        <v>1131</v>
      </c>
      <c r="G224" s="2704">
        <v>7796646967</v>
      </c>
      <c r="H224" s="2602" t="s">
        <v>1132</v>
      </c>
      <c r="I224" s="2603" t="s">
        <v>800</v>
      </c>
      <c r="J224" s="2604" t="s">
        <v>75</v>
      </c>
      <c r="K224" s="2604" t="s">
        <v>157</v>
      </c>
      <c r="L224" s="2601" t="s">
        <v>1133</v>
      </c>
      <c r="M224" s="1774">
        <v>45950</v>
      </c>
      <c r="N224" s="1340">
        <v>413880</v>
      </c>
      <c r="O224" s="1340" t="s">
        <v>47</v>
      </c>
      <c r="P224" s="1340" t="s">
        <v>47</v>
      </c>
      <c r="Q224" s="1775">
        <v>1</v>
      </c>
      <c r="R224" s="2026" t="s">
        <v>1134</v>
      </c>
      <c r="S224" s="2027">
        <v>45957</v>
      </c>
      <c r="T224" s="1340">
        <v>383227</v>
      </c>
      <c r="U224" s="1340" t="s">
        <v>47</v>
      </c>
      <c r="V224" s="1349">
        <v>0</v>
      </c>
      <c r="W224" s="1340"/>
      <c r="X224" s="2031"/>
      <c r="Y224" s="2318"/>
      <c r="Z224" s="2529"/>
      <c r="AA224" s="2529"/>
    </row>
    <row r="225" spans="1:27" s="1" customFormat="1" ht="15.6">
      <c r="A225" s="1639">
        <v>105</v>
      </c>
      <c r="B225" s="2525">
        <v>45953</v>
      </c>
      <c r="C225" s="1342" t="s">
        <v>792</v>
      </c>
      <c r="D225" s="1342" t="s">
        <v>601</v>
      </c>
      <c r="E225" s="1342" t="s">
        <v>277</v>
      </c>
      <c r="F225" s="1684" t="s">
        <v>1135</v>
      </c>
      <c r="G225" s="1684">
        <v>7796646965</v>
      </c>
      <c r="H225" s="1354" t="s">
        <v>794</v>
      </c>
      <c r="I225" s="1342" t="s">
        <v>795</v>
      </c>
      <c r="J225" s="1342" t="s">
        <v>75</v>
      </c>
      <c r="K225" s="1342" t="s">
        <v>157</v>
      </c>
      <c r="L225" s="1342" t="s">
        <v>1136</v>
      </c>
      <c r="M225" s="1344">
        <v>45953</v>
      </c>
      <c r="N225" s="1345">
        <v>261500</v>
      </c>
      <c r="O225" s="1345" t="s">
        <v>47</v>
      </c>
      <c r="P225" s="1345" t="s">
        <v>49</v>
      </c>
      <c r="Q225" s="1346">
        <v>1</v>
      </c>
      <c r="R225" s="1457">
        <v>50058679</v>
      </c>
      <c r="S225" s="2526">
        <v>45973</v>
      </c>
      <c r="T225" s="1639">
        <v>458228</v>
      </c>
      <c r="U225" s="1639" t="s">
        <v>49</v>
      </c>
      <c r="V225" s="1349">
        <v>0</v>
      </c>
      <c r="W225" s="1451"/>
      <c r="X225" s="2527"/>
      <c r="Y225" s="2528"/>
      <c r="Z225" s="2319"/>
      <c r="AA225" s="2319"/>
    </row>
    <row r="226" spans="1:27" s="171" customFormat="1" ht="28.8">
      <c r="A226" s="515">
        <v>106</v>
      </c>
      <c r="B226" s="2642">
        <v>45955</v>
      </c>
      <c r="C226" s="526" t="s">
        <v>889</v>
      </c>
      <c r="D226" s="526" t="s">
        <v>133</v>
      </c>
      <c r="E226" s="526" t="s">
        <v>277</v>
      </c>
      <c r="F226" s="526" t="s">
        <v>1093</v>
      </c>
      <c r="G226" s="526">
        <v>9907829409</v>
      </c>
      <c r="H226" s="2606" t="s">
        <v>1094</v>
      </c>
      <c r="I226" s="526" t="s">
        <v>892</v>
      </c>
      <c r="J226" s="495" t="s">
        <v>75</v>
      </c>
      <c r="K226" s="526" t="s">
        <v>157</v>
      </c>
      <c r="L226" s="526" t="s">
        <v>1137</v>
      </c>
      <c r="M226" s="2652">
        <v>45955</v>
      </c>
      <c r="N226" s="515">
        <v>611382</v>
      </c>
      <c r="O226" s="515" t="s">
        <v>47</v>
      </c>
      <c r="P226" s="515" t="s">
        <v>62</v>
      </c>
      <c r="Q226" s="2656">
        <v>0.5</v>
      </c>
      <c r="R226" s="2657"/>
      <c r="S226" s="527"/>
      <c r="T226" s="515"/>
      <c r="U226" s="515"/>
      <c r="V226" s="284">
        <f>Table626893456[[#This Row],[Offer Value]]-Table626893456[[#This Row],[PO Value]]</f>
        <v>611382</v>
      </c>
      <c r="W226" s="515"/>
      <c r="X226" s="983"/>
      <c r="Y226" s="528"/>
      <c r="Z226" s="644"/>
      <c r="AA226" s="644"/>
    </row>
    <row r="227" spans="1:27" ht="27.6" customHeight="1">
      <c r="A227" s="33">
        <v>107</v>
      </c>
      <c r="B227" s="256">
        <v>45957</v>
      </c>
      <c r="C227" s="489" t="s">
        <v>889</v>
      </c>
      <c r="D227" s="526" t="s">
        <v>133</v>
      </c>
      <c r="E227" s="526" t="s">
        <v>277</v>
      </c>
      <c r="F227" s="526" t="s">
        <v>1093</v>
      </c>
      <c r="G227" s="526">
        <v>9907829409</v>
      </c>
      <c r="H227" s="2532" t="s">
        <v>1094</v>
      </c>
      <c r="I227" s="526" t="s">
        <v>892</v>
      </c>
      <c r="J227" s="489" t="s">
        <v>73</v>
      </c>
      <c r="K227" s="489" t="s">
        <v>157</v>
      </c>
      <c r="L227" s="489" t="s">
        <v>1138</v>
      </c>
      <c r="M227" s="384">
        <v>45957</v>
      </c>
      <c r="N227" s="490">
        <v>42000</v>
      </c>
      <c r="O227" s="490" t="s">
        <v>47</v>
      </c>
      <c r="P227" s="490" t="s">
        <v>49</v>
      </c>
      <c r="Q227" s="491">
        <v>0.5</v>
      </c>
      <c r="R227" s="110"/>
      <c r="S227" s="111"/>
      <c r="T227" s="106"/>
      <c r="U227" s="106"/>
      <c r="V227" s="284">
        <f>Table626893456[[#This Row],[Offer Value]]-Table626893456[[#This Row],[PO Value]]</f>
        <v>42000</v>
      </c>
      <c r="W227" s="106"/>
      <c r="X227" s="200"/>
      <c r="Y227" s="519"/>
      <c r="Z227" s="7"/>
      <c r="AA227" s="7"/>
    </row>
    <row r="228" spans="1:27" ht="14.4">
      <c r="A228" s="1340">
        <v>108</v>
      </c>
      <c r="B228" s="2025">
        <v>45957</v>
      </c>
      <c r="C228" s="1684" t="s">
        <v>998</v>
      </c>
      <c r="D228" s="1684" t="s">
        <v>133</v>
      </c>
      <c r="E228" s="1684" t="s">
        <v>153</v>
      </c>
      <c r="F228" s="1684" t="s">
        <v>1139</v>
      </c>
      <c r="G228" s="1684">
        <v>9049009865</v>
      </c>
      <c r="H228" s="1354" t="s">
        <v>1140</v>
      </c>
      <c r="I228" s="1684" t="s">
        <v>1141</v>
      </c>
      <c r="J228" s="1773" t="s">
        <v>75</v>
      </c>
      <c r="K228" s="1684" t="s">
        <v>157</v>
      </c>
      <c r="L228" s="1684" t="s">
        <v>1142</v>
      </c>
      <c r="M228" s="1774">
        <v>45957</v>
      </c>
      <c r="N228" s="1340">
        <v>611382</v>
      </c>
      <c r="O228" s="1340" t="s">
        <v>47</v>
      </c>
      <c r="P228" s="1340" t="s">
        <v>49</v>
      </c>
      <c r="Q228" s="1775">
        <v>1</v>
      </c>
      <c r="R228" s="2026" t="s">
        <v>1143</v>
      </c>
      <c r="S228" s="2027">
        <v>45964</v>
      </c>
      <c r="T228" s="1340">
        <v>2160000</v>
      </c>
      <c r="U228" s="1340" t="s">
        <v>49</v>
      </c>
      <c r="V228" s="1349">
        <v>0</v>
      </c>
      <c r="W228" s="1340"/>
      <c r="X228" s="2031"/>
      <c r="Y228" s="2318"/>
      <c r="Z228" s="1560"/>
      <c r="AA228" s="1560"/>
    </row>
    <row r="229" spans="1:27" s="1" customFormat="1" ht="14.4">
      <c r="A229" s="487">
        <v>109</v>
      </c>
      <c r="B229" s="503">
        <v>45959</v>
      </c>
      <c r="C229" s="501" t="s">
        <v>998</v>
      </c>
      <c r="D229" s="501" t="s">
        <v>133</v>
      </c>
      <c r="E229" s="501" t="s">
        <v>191</v>
      </c>
      <c r="F229" s="489" t="s">
        <v>1144</v>
      </c>
      <c r="G229" s="489">
        <v>9975371327</v>
      </c>
      <c r="H229" s="383" t="s">
        <v>1145</v>
      </c>
      <c r="I229" s="526" t="s">
        <v>1146</v>
      </c>
      <c r="J229" s="495" t="s">
        <v>75</v>
      </c>
      <c r="K229" s="489" t="s">
        <v>157</v>
      </c>
      <c r="L229" s="501" t="s">
        <v>1147</v>
      </c>
      <c r="M229" s="505">
        <v>45959</v>
      </c>
      <c r="N229" s="487">
        <v>409602</v>
      </c>
      <c r="O229" s="487" t="s">
        <v>47</v>
      </c>
      <c r="P229" s="487" t="s">
        <v>49</v>
      </c>
      <c r="Q229" s="391">
        <v>0.5</v>
      </c>
      <c r="R229" s="502"/>
      <c r="S229" s="506"/>
      <c r="T229" s="487"/>
      <c r="U229" s="487"/>
      <c r="V229" s="284">
        <f>Table626893456[[#This Row],[Offer Value]]-Table626893456[[#This Row],[PO Value]]</f>
        <v>409602</v>
      </c>
      <c r="W229" s="487"/>
      <c r="X229" s="516"/>
      <c r="Y229" s="508"/>
      <c r="Z229" s="43"/>
      <c r="AA229" s="43"/>
    </row>
    <row r="230" spans="1:27" s="1" customFormat="1" ht="15.6">
      <c r="A230" s="487">
        <v>110</v>
      </c>
      <c r="B230" s="2642">
        <v>45987</v>
      </c>
      <c r="C230" s="489" t="s">
        <v>656</v>
      </c>
      <c r="D230" s="489" t="s">
        <v>133</v>
      </c>
      <c r="E230" s="489" t="s">
        <v>1148</v>
      </c>
      <c r="F230" s="489" t="s">
        <v>1149</v>
      </c>
      <c r="G230" s="489"/>
      <c r="H230" s="383" t="s">
        <v>1150</v>
      </c>
      <c r="I230" s="489" t="s">
        <v>667</v>
      </c>
      <c r="J230" s="489" t="s">
        <v>75</v>
      </c>
      <c r="K230" s="489" t="s">
        <v>208</v>
      </c>
      <c r="L230" s="685" t="s">
        <v>1151</v>
      </c>
      <c r="M230" s="530">
        <v>45987</v>
      </c>
      <c r="N230" s="531">
        <v>975900</v>
      </c>
      <c r="O230" s="531" t="s">
        <v>49</v>
      </c>
      <c r="P230" s="531" t="s">
        <v>62</v>
      </c>
      <c r="Q230" s="419">
        <v>0.5</v>
      </c>
      <c r="R230" s="532"/>
      <c r="S230" s="533"/>
      <c r="T230" s="531"/>
      <c r="U230" s="531"/>
      <c r="V230" s="284">
        <f>Table626893456[[#This Row],[Offer Value]]-Table626893456[[#This Row],[PO Value]]</f>
        <v>975900</v>
      </c>
      <c r="W230" s="531"/>
      <c r="X230" s="984"/>
      <c r="Y230" s="534"/>
      <c r="Z230" s="43"/>
      <c r="AA230" s="43"/>
    </row>
    <row r="231" spans="1:27" s="1" customFormat="1" ht="14.4">
      <c r="A231" s="487">
        <v>111</v>
      </c>
      <c r="B231" s="503">
        <v>45989</v>
      </c>
      <c r="C231" s="501" t="s">
        <v>614</v>
      </c>
      <c r="D231" s="501" t="s">
        <v>953</v>
      </c>
      <c r="E231" s="501" t="s">
        <v>191</v>
      </c>
      <c r="F231" s="489" t="s">
        <v>959</v>
      </c>
      <c r="G231" s="1983">
        <v>9766935985</v>
      </c>
      <c r="H231" s="383" t="s">
        <v>960</v>
      </c>
      <c r="I231" s="526" t="s">
        <v>964</v>
      </c>
      <c r="J231" s="495" t="s">
        <v>75</v>
      </c>
      <c r="K231" s="489" t="s">
        <v>157</v>
      </c>
      <c r="L231" s="501" t="s">
        <v>1152</v>
      </c>
      <c r="M231" s="505">
        <v>45989</v>
      </c>
      <c r="N231" s="487">
        <v>350860</v>
      </c>
      <c r="O231" s="487" t="s">
        <v>49</v>
      </c>
      <c r="P231" s="487" t="s">
        <v>62</v>
      </c>
      <c r="Q231" s="391">
        <v>0.5</v>
      </c>
      <c r="R231" s="502"/>
      <c r="S231" s="506"/>
      <c r="T231" s="487"/>
      <c r="U231" s="487"/>
      <c r="V231" s="284">
        <f>Table626893456[[#This Row],[Offer Value]]-Table626893456[[#This Row],[PO Value]]</f>
        <v>350860</v>
      </c>
      <c r="W231" s="487"/>
      <c r="X231" s="516"/>
      <c r="Y231" s="508"/>
      <c r="Z231" s="43"/>
      <c r="AA231" s="43"/>
    </row>
    <row r="232" spans="1:27" s="1" customFormat="1" ht="14.4">
      <c r="A232" s="487">
        <v>112</v>
      </c>
      <c r="B232" s="503">
        <v>46002</v>
      </c>
      <c r="C232" s="501" t="s">
        <v>782</v>
      </c>
      <c r="D232" s="501" t="s">
        <v>304</v>
      </c>
      <c r="E232" s="501" t="s">
        <v>783</v>
      </c>
      <c r="F232" s="489" t="s">
        <v>1153</v>
      </c>
      <c r="G232" s="1890">
        <v>9923496979</v>
      </c>
      <c r="H232" s="3047" t="s">
        <v>1037</v>
      </c>
      <c r="I232" s="1890" t="s">
        <v>1042</v>
      </c>
      <c r="J232" s="495" t="s">
        <v>75</v>
      </c>
      <c r="K232" s="489" t="s">
        <v>685</v>
      </c>
      <c r="L232" s="501" t="s">
        <v>1154</v>
      </c>
      <c r="M232" s="505">
        <v>46002</v>
      </c>
      <c r="N232" s="487">
        <v>561709</v>
      </c>
      <c r="O232" s="487" t="s">
        <v>62</v>
      </c>
      <c r="P232" s="487" t="s">
        <v>7</v>
      </c>
      <c r="Q232" s="391">
        <v>0.5</v>
      </c>
      <c r="R232" s="502"/>
      <c r="S232" s="506"/>
      <c r="T232" s="487"/>
      <c r="U232" s="487"/>
      <c r="V232" s="284">
        <f>Table626893456[[#This Row],[PO Value]]-Table626893456[[#This Row],[Offer Value]]</f>
        <v>-561709</v>
      </c>
      <c r="W232" s="487"/>
      <c r="X232" s="516"/>
      <c r="Y232" s="508"/>
      <c r="Z232" s="43"/>
      <c r="AA232" s="43"/>
    </row>
    <row r="233" spans="1:27" s="1" customFormat="1" ht="14.4">
      <c r="A233" s="487">
        <v>113</v>
      </c>
      <c r="B233" s="503">
        <v>45999</v>
      </c>
      <c r="C233" s="501" t="s">
        <v>792</v>
      </c>
      <c r="D233" s="1983" t="s">
        <v>601</v>
      </c>
      <c r="E233" s="1983" t="s">
        <v>191</v>
      </c>
      <c r="F233" s="1984" t="s">
        <v>793</v>
      </c>
      <c r="G233" s="1984">
        <v>7796646965</v>
      </c>
      <c r="H233" s="2317" t="s">
        <v>794</v>
      </c>
      <c r="I233" s="2672" t="s">
        <v>810</v>
      </c>
      <c r="J233" s="495" t="s">
        <v>75</v>
      </c>
      <c r="K233" s="489" t="s">
        <v>685</v>
      </c>
      <c r="L233" s="501" t="s">
        <v>1155</v>
      </c>
      <c r="M233" s="505">
        <v>45999</v>
      </c>
      <c r="N233" s="487">
        <v>484800</v>
      </c>
      <c r="O233" s="487" t="s">
        <v>62</v>
      </c>
      <c r="P233" s="487" t="s">
        <v>62</v>
      </c>
      <c r="Q233" s="391">
        <v>0.5</v>
      </c>
      <c r="R233" s="502"/>
      <c r="S233" s="506"/>
      <c r="T233" s="487"/>
      <c r="U233" s="487"/>
      <c r="V233" s="284">
        <f>Table626893456[[#This Row],[PO Value]]-Table626893456[[#This Row],[Offer Value]]</f>
        <v>-484800</v>
      </c>
      <c r="W233" s="487"/>
      <c r="X233" s="516"/>
      <c r="Y233" s="508"/>
      <c r="Z233" s="43"/>
      <c r="AA233" s="43"/>
    </row>
    <row r="234" spans="1:27" s="1" customFormat="1" ht="15.6">
      <c r="A234" s="289"/>
      <c r="B234" s="529"/>
      <c r="C234" s="489"/>
      <c r="D234" s="489"/>
      <c r="E234" s="489"/>
      <c r="F234" s="489"/>
      <c r="G234" s="489"/>
      <c r="H234" s="383"/>
      <c r="I234" s="489"/>
      <c r="J234" s="489"/>
      <c r="K234" s="489"/>
      <c r="L234" s="685"/>
      <c r="M234" s="530"/>
      <c r="N234" s="531"/>
      <c r="O234" s="531"/>
      <c r="P234" s="531"/>
      <c r="Q234" s="419"/>
      <c r="R234" s="532"/>
      <c r="S234" s="533"/>
      <c r="T234" s="531"/>
      <c r="U234" s="531"/>
      <c r="V234" s="284">
        <f>Table626893456[[#This Row],[PO Value]]-Table626893456[[#This Row],[Offer Value]]</f>
        <v>0</v>
      </c>
      <c r="W234" s="531"/>
      <c r="X234" s="984"/>
      <c r="Y234" s="534"/>
      <c r="Z234" s="43"/>
      <c r="AA234" s="43"/>
    </row>
    <row r="235" spans="1:27" s="420" customFormat="1" ht="15.6">
      <c r="A235" s="289"/>
      <c r="B235" s="256"/>
      <c r="C235" s="283"/>
      <c r="D235" s="283"/>
      <c r="E235" s="283"/>
      <c r="F235" s="283"/>
      <c r="G235" s="283"/>
      <c r="H235" s="535"/>
      <c r="I235" s="283"/>
      <c r="J235" s="536"/>
      <c r="K235" s="283"/>
      <c r="L235" s="283"/>
      <c r="M235" s="517"/>
      <c r="N235" s="289"/>
      <c r="O235" s="289"/>
      <c r="P235" s="289"/>
      <c r="Q235" s="220"/>
      <c r="R235" s="521"/>
      <c r="S235" s="522"/>
      <c r="T235" s="289"/>
      <c r="U235" s="289"/>
      <c r="V235" s="284">
        <f>Table626893456[[#This Row],[PO Value]]-Table626893456[[#This Row],[Offer Value]]</f>
        <v>0</v>
      </c>
      <c r="W235" s="289"/>
      <c r="X235" s="200"/>
      <c r="Y235" s="519"/>
      <c r="Z235" s="659"/>
      <c r="AA235" s="659"/>
    </row>
    <row r="236" spans="1:27" s="1" customFormat="1" ht="15.6">
      <c r="A236" s="289"/>
      <c r="B236" s="256"/>
      <c r="C236" s="489"/>
      <c r="D236" s="489"/>
      <c r="E236" s="489"/>
      <c r="F236" s="489"/>
      <c r="G236" s="489"/>
      <c r="H236" s="383"/>
      <c r="I236" s="489"/>
      <c r="J236" s="489"/>
      <c r="K236" s="489"/>
      <c r="L236" s="283"/>
      <c r="M236" s="517"/>
      <c r="N236" s="289"/>
      <c r="O236" s="289"/>
      <c r="P236" s="289"/>
      <c r="Q236" s="220"/>
      <c r="R236" s="521"/>
      <c r="S236" s="522"/>
      <c r="T236" s="289"/>
      <c r="U236" s="289"/>
      <c r="V236" s="284">
        <f>Table626893456[[#This Row],[PO Value]]-Table626893456[[#This Row],[Offer Value]]</f>
        <v>0</v>
      </c>
      <c r="W236" s="289"/>
      <c r="X236" s="200"/>
      <c r="Y236" s="519"/>
      <c r="Z236" s="43"/>
      <c r="AA236" s="43"/>
    </row>
    <row r="237" spans="1:27" s="1" customFormat="1" ht="15.6">
      <c r="A237" s="289"/>
      <c r="B237" s="256"/>
      <c r="C237" s="489"/>
      <c r="D237" s="489"/>
      <c r="E237" s="489"/>
      <c r="F237" s="489"/>
      <c r="G237" s="489"/>
      <c r="H237" s="383"/>
      <c r="I237" s="489"/>
      <c r="J237" s="489"/>
      <c r="K237" s="489"/>
      <c r="L237" s="283"/>
      <c r="M237" s="517"/>
      <c r="N237" s="289"/>
      <c r="O237" s="289"/>
      <c r="P237" s="289"/>
      <c r="Q237" s="220"/>
      <c r="R237" s="521"/>
      <c r="S237" s="522"/>
      <c r="T237" s="289"/>
      <c r="U237" s="289"/>
      <c r="V237" s="284">
        <f>Table626893456[[#This Row],[PO Value]]-Table626893456[[#This Row],[Offer Value]]</f>
        <v>0</v>
      </c>
      <c r="W237" s="289"/>
      <c r="X237" s="200"/>
      <c r="Y237" s="519"/>
      <c r="Z237" s="43"/>
      <c r="AA237" s="43"/>
    </row>
    <row r="238" spans="1:27" s="1" customFormat="1" ht="15.6">
      <c r="A238" s="289"/>
      <c r="B238" s="256"/>
      <c r="C238" s="489"/>
      <c r="D238" s="489"/>
      <c r="E238" s="489"/>
      <c r="F238" s="489"/>
      <c r="G238" s="489"/>
      <c r="H238" s="383"/>
      <c r="I238" s="489"/>
      <c r="J238" s="489"/>
      <c r="K238" s="489"/>
      <c r="L238" s="283"/>
      <c r="M238" s="517"/>
      <c r="N238" s="289"/>
      <c r="O238" s="289"/>
      <c r="P238" s="289"/>
      <c r="Q238" s="220"/>
      <c r="R238" s="521"/>
      <c r="S238" s="522"/>
      <c r="T238" s="289"/>
      <c r="U238" s="289"/>
      <c r="V238" s="284">
        <f>Table626893456[[#This Row],[PO Value]]-Table626893456[[#This Row],[Offer Value]]</f>
        <v>0</v>
      </c>
      <c r="W238" s="289"/>
      <c r="X238" s="200"/>
      <c r="Y238" s="519"/>
      <c r="Z238" s="43"/>
      <c r="AA238" s="43"/>
    </row>
    <row r="239" spans="1:27" s="1" customFormat="1" ht="15.6">
      <c r="A239" s="289"/>
      <c r="B239" s="256"/>
      <c r="C239" s="489"/>
      <c r="D239" s="489"/>
      <c r="E239" s="489"/>
      <c r="F239" s="489"/>
      <c r="G239" s="489"/>
      <c r="H239" s="383"/>
      <c r="I239" s="489"/>
      <c r="J239" s="489"/>
      <c r="K239" s="489"/>
      <c r="L239" s="283"/>
      <c r="M239" s="517"/>
      <c r="N239" s="289"/>
      <c r="O239" s="289"/>
      <c r="P239" s="289"/>
      <c r="Q239" s="220"/>
      <c r="R239" s="521"/>
      <c r="S239" s="522"/>
      <c r="T239" s="289"/>
      <c r="U239" s="289"/>
      <c r="V239" s="284">
        <f>Table626893456[[#This Row],[PO Value]]-Table626893456[[#This Row],[Offer Value]]</f>
        <v>0</v>
      </c>
      <c r="W239" s="289"/>
      <c r="X239" s="200"/>
      <c r="Y239" s="519"/>
      <c r="Z239" s="43"/>
      <c r="AA239" s="43"/>
    </row>
    <row r="240" spans="1:27" s="1" customFormat="1" ht="15.6">
      <c r="A240" s="289"/>
      <c r="B240" s="256"/>
      <c r="C240" s="489"/>
      <c r="D240" s="489"/>
      <c r="E240" s="489"/>
      <c r="F240" s="489"/>
      <c r="G240" s="489"/>
      <c r="H240" s="383"/>
      <c r="I240" s="489"/>
      <c r="J240" s="489"/>
      <c r="K240" s="489"/>
      <c r="L240" s="283"/>
      <c r="M240" s="517"/>
      <c r="N240" s="289"/>
      <c r="O240" s="289"/>
      <c r="P240" s="289"/>
      <c r="Q240" s="220"/>
      <c r="R240" s="521"/>
      <c r="S240" s="522"/>
      <c r="T240" s="289"/>
      <c r="U240" s="289"/>
      <c r="V240" s="284">
        <f>Table626893456[[#This Row],[PO Value]]-Table626893456[[#This Row],[Offer Value]]</f>
        <v>0</v>
      </c>
      <c r="W240" s="289"/>
      <c r="X240" s="200"/>
      <c r="Y240" s="519"/>
      <c r="Z240" s="43"/>
      <c r="AA240" s="43"/>
    </row>
    <row r="241" spans="1:27" s="1" customFormat="1" ht="15.6">
      <c r="A241" s="289"/>
      <c r="B241" s="256"/>
      <c r="C241" s="489"/>
      <c r="D241" s="489"/>
      <c r="E241" s="489"/>
      <c r="F241" s="489"/>
      <c r="G241" s="489"/>
      <c r="H241" s="383"/>
      <c r="I241" s="489"/>
      <c r="J241" s="489"/>
      <c r="K241" s="489"/>
      <c r="L241" s="283"/>
      <c r="M241" s="517"/>
      <c r="N241" s="289"/>
      <c r="O241" s="289"/>
      <c r="P241" s="289"/>
      <c r="Q241" s="220"/>
      <c r="R241" s="521"/>
      <c r="S241" s="522"/>
      <c r="T241" s="289"/>
      <c r="U241" s="289"/>
      <c r="V241" s="284">
        <f>Table626893456[[#This Row],[PO Value]]-Table626893456[[#This Row],[Offer Value]]</f>
        <v>0</v>
      </c>
      <c r="W241" s="289"/>
      <c r="X241" s="200"/>
      <c r="Y241" s="519"/>
      <c r="Z241" s="43"/>
      <c r="AA241" s="43"/>
    </row>
    <row r="242" spans="1:27" s="1" customFormat="1" ht="15.6">
      <c r="A242" s="289"/>
      <c r="B242" s="256"/>
      <c r="C242" s="489"/>
      <c r="D242" s="489"/>
      <c r="E242" s="489"/>
      <c r="F242" s="489"/>
      <c r="G242" s="489"/>
      <c r="H242" s="383"/>
      <c r="I242" s="489"/>
      <c r="J242" s="489"/>
      <c r="K242" s="489"/>
      <c r="L242" s="283"/>
      <c r="M242" s="517"/>
      <c r="N242" s="289"/>
      <c r="O242" s="289"/>
      <c r="P242" s="289"/>
      <c r="Q242" s="220"/>
      <c r="R242" s="521"/>
      <c r="S242" s="522"/>
      <c r="T242" s="289"/>
      <c r="U242" s="289"/>
      <c r="V242" s="284">
        <f>Table626893456[[#This Row],[PO Value]]-Table626893456[[#This Row],[Offer Value]]</f>
        <v>0</v>
      </c>
      <c r="W242" s="289"/>
      <c r="X242" s="200"/>
      <c r="Y242" s="519"/>
      <c r="Z242" s="43"/>
      <c r="AA242" s="43"/>
    </row>
    <row r="243" spans="1:27" s="1" customFormat="1" ht="15.6">
      <c r="A243" s="289"/>
      <c r="B243" s="256"/>
      <c r="C243" s="489"/>
      <c r="D243" s="489"/>
      <c r="E243" s="489"/>
      <c r="F243" s="489"/>
      <c r="G243" s="489"/>
      <c r="H243" s="383"/>
      <c r="I243" s="489"/>
      <c r="J243" s="489"/>
      <c r="K243" s="489"/>
      <c r="L243" s="283"/>
      <c r="M243" s="517"/>
      <c r="N243" s="289"/>
      <c r="O243" s="289"/>
      <c r="P243" s="289"/>
      <c r="Q243" s="220"/>
      <c r="R243" s="521"/>
      <c r="S243" s="522"/>
      <c r="T243" s="289"/>
      <c r="U243" s="289"/>
      <c r="V243" s="284">
        <f>Table626893456[[#This Row],[PO Value]]-Table626893456[[#This Row],[Offer Value]]</f>
        <v>0</v>
      </c>
      <c r="W243" s="289"/>
      <c r="X243" s="200"/>
      <c r="Y243" s="519"/>
      <c r="Z243" s="43"/>
      <c r="AA243" s="43"/>
    </row>
    <row r="244" spans="1:27" s="1" customFormat="1" ht="15.6">
      <c r="A244" s="289"/>
      <c r="B244" s="256"/>
      <c r="C244" s="489"/>
      <c r="D244" s="489"/>
      <c r="E244" s="489"/>
      <c r="F244" s="489"/>
      <c r="G244" s="489"/>
      <c r="H244" s="383"/>
      <c r="I244" s="489"/>
      <c r="J244" s="489"/>
      <c r="K244" s="489"/>
      <c r="L244" s="283"/>
      <c r="M244" s="517"/>
      <c r="N244" s="289"/>
      <c r="O244" s="289"/>
      <c r="P244" s="289"/>
      <c r="Q244" s="220"/>
      <c r="R244" s="521"/>
      <c r="S244" s="522"/>
      <c r="T244" s="289"/>
      <c r="U244" s="289"/>
      <c r="V244" s="284">
        <f>Table626893456[[#This Row],[PO Value]]-Table626893456[[#This Row],[Offer Value]]</f>
        <v>0</v>
      </c>
      <c r="W244" s="289"/>
      <c r="X244" s="200"/>
      <c r="Y244" s="519"/>
      <c r="Z244" s="43"/>
      <c r="AA244" s="43"/>
    </row>
    <row r="245" spans="1:27" s="1" customFormat="1" ht="15.6">
      <c r="A245" s="289"/>
      <c r="B245" s="256"/>
      <c r="C245" s="489"/>
      <c r="D245" s="489"/>
      <c r="E245" s="489"/>
      <c r="F245" s="489"/>
      <c r="G245" s="489"/>
      <c r="H245" s="383"/>
      <c r="I245" s="489"/>
      <c r="J245" s="489"/>
      <c r="K245" s="489"/>
      <c r="L245" s="283"/>
      <c r="M245" s="517"/>
      <c r="N245" s="289"/>
      <c r="O245" s="289"/>
      <c r="P245" s="289"/>
      <c r="Q245" s="220"/>
      <c r="R245" s="521"/>
      <c r="S245" s="522"/>
      <c r="T245" s="289"/>
      <c r="U245" s="289"/>
      <c r="V245" s="284">
        <f>Table626893456[[#This Row],[PO Value]]-Table626893456[[#This Row],[Offer Value]]</f>
        <v>0</v>
      </c>
      <c r="W245" s="289"/>
      <c r="X245" s="200"/>
      <c r="Y245" s="519"/>
      <c r="Z245" s="43"/>
      <c r="AA245" s="43"/>
    </row>
    <row r="246" spans="1:27" s="1" customFormat="1" ht="15.6">
      <c r="A246" s="289"/>
      <c r="B246" s="256"/>
      <c r="C246" s="489"/>
      <c r="D246" s="489"/>
      <c r="E246" s="489"/>
      <c r="F246" s="489"/>
      <c r="G246" s="489"/>
      <c r="H246" s="383"/>
      <c r="I246" s="489"/>
      <c r="J246" s="489"/>
      <c r="K246" s="489"/>
      <c r="L246" s="283"/>
      <c r="M246" s="517"/>
      <c r="N246" s="289"/>
      <c r="O246" s="289"/>
      <c r="P246" s="289"/>
      <c r="Q246" s="220"/>
      <c r="R246" s="521"/>
      <c r="S246" s="522"/>
      <c r="T246" s="289"/>
      <c r="U246" s="289"/>
      <c r="V246" s="284">
        <f>Table626893456[[#This Row],[PO Value]]-Table626893456[[#This Row],[Offer Value]]</f>
        <v>0</v>
      </c>
      <c r="W246" s="289"/>
      <c r="X246" s="200"/>
      <c r="Y246" s="519"/>
      <c r="Z246" s="43"/>
      <c r="AA246" s="43"/>
    </row>
    <row r="247" spans="1:27" s="171" customFormat="1" ht="15.6">
      <c r="A247" s="289"/>
      <c r="B247" s="256"/>
      <c r="C247" s="525"/>
      <c r="D247" s="525"/>
      <c r="E247" s="525"/>
      <c r="F247" s="525"/>
      <c r="G247" s="525"/>
      <c r="H247" s="504"/>
      <c r="I247" s="525"/>
      <c r="J247" s="525"/>
      <c r="K247" s="525"/>
      <c r="L247" s="283"/>
      <c r="M247" s="517"/>
      <c r="N247" s="289"/>
      <c r="O247" s="289"/>
      <c r="P247" s="289"/>
      <c r="Q247" s="220"/>
      <c r="R247" s="521"/>
      <c r="S247" s="522"/>
      <c r="T247" s="289"/>
      <c r="U247" s="289"/>
      <c r="V247" s="284">
        <f>Table626893456[[#This Row],[PO Value]]-Table626893456[[#This Row],[Offer Value]]</f>
        <v>0</v>
      </c>
      <c r="W247" s="289"/>
      <c r="X247" s="200"/>
      <c r="Y247" s="519"/>
      <c r="Z247" s="644"/>
      <c r="AA247" s="644"/>
    </row>
    <row r="248" spans="1:27" s="171" customFormat="1" ht="15.6">
      <c r="A248" s="289"/>
      <c r="B248" s="256"/>
      <c r="C248" s="525"/>
      <c r="D248" s="525"/>
      <c r="E248" s="525"/>
      <c r="F248" s="525"/>
      <c r="G248" s="525"/>
      <c r="H248" s="504"/>
      <c r="I248" s="525"/>
      <c r="J248" s="525"/>
      <c r="K248" s="525"/>
      <c r="L248" s="283"/>
      <c r="M248" s="517"/>
      <c r="N248" s="289"/>
      <c r="O248" s="289"/>
      <c r="P248" s="289"/>
      <c r="Q248" s="220"/>
      <c r="R248" s="521"/>
      <c r="S248" s="522"/>
      <c r="T248" s="289"/>
      <c r="U248" s="289"/>
      <c r="V248" s="284">
        <f>Table626893456[[#This Row],[PO Value]]-Table626893456[[#This Row],[Offer Value]]</f>
        <v>0</v>
      </c>
      <c r="W248" s="289"/>
      <c r="X248" s="200"/>
      <c r="Y248" s="519"/>
      <c r="Z248" s="644"/>
      <c r="AA248" s="644"/>
    </row>
    <row r="249" spans="1:27" ht="15.6">
      <c r="A249" s="289"/>
      <c r="B249" s="256"/>
      <c r="C249" s="283"/>
      <c r="D249" s="283"/>
      <c r="E249" s="283"/>
      <c r="F249" s="489"/>
      <c r="G249" s="489"/>
      <c r="H249" s="383"/>
      <c r="I249" s="489"/>
      <c r="J249" s="489"/>
      <c r="K249" s="489"/>
      <c r="L249" s="489"/>
      <c r="M249" s="384"/>
      <c r="N249" s="490"/>
      <c r="O249" s="106"/>
      <c r="P249" s="106"/>
      <c r="Q249" s="220"/>
      <c r="R249" s="110"/>
      <c r="S249" s="111"/>
      <c r="T249" s="106"/>
      <c r="U249" s="106"/>
      <c r="V249" s="284">
        <f>Table626893456[[#This Row],[PO Value]]-Table626893456[[#This Row],[Offer Value]]</f>
        <v>0</v>
      </c>
      <c r="W249" s="106"/>
      <c r="X249" s="200"/>
      <c r="Y249" s="519"/>
      <c r="Z249" s="7"/>
      <c r="AA249" s="7"/>
    </row>
    <row r="250" spans="1:27" ht="15.6">
      <c r="A250" s="106"/>
      <c r="B250" s="107"/>
      <c r="C250" s="283"/>
      <c r="D250" s="283"/>
      <c r="E250" s="283"/>
      <c r="F250" s="489"/>
      <c r="G250" s="489"/>
      <c r="H250" s="383"/>
      <c r="I250" s="434"/>
      <c r="J250" s="435"/>
      <c r="K250" s="489"/>
      <c r="L250" s="194"/>
      <c r="M250" s="384"/>
      <c r="N250" s="490"/>
      <c r="O250" s="189"/>
      <c r="P250" s="190"/>
      <c r="Q250" s="220"/>
      <c r="R250" s="110"/>
      <c r="S250" s="111"/>
      <c r="T250" s="106"/>
      <c r="U250" s="106"/>
      <c r="V250" s="284">
        <f>Table626893456[[#This Row],[PO Value]]-Table626893456[[#This Row],[Offer Value]]</f>
        <v>0</v>
      </c>
      <c r="W250" s="106"/>
      <c r="X250" s="200"/>
      <c r="Y250" s="519"/>
      <c r="Z250" s="7"/>
      <c r="AA250" s="7"/>
    </row>
    <row r="251" spans="1:27" ht="15.6">
      <c r="A251" s="106"/>
      <c r="B251" s="107"/>
      <c r="C251" s="283"/>
      <c r="D251" s="283"/>
      <c r="E251" s="283"/>
      <c r="F251" s="489"/>
      <c r="G251" s="489"/>
      <c r="H251" s="383"/>
      <c r="I251" s="433"/>
      <c r="J251" s="435"/>
      <c r="K251" s="489"/>
      <c r="L251" s="194"/>
      <c r="M251" s="384"/>
      <c r="N251" s="490"/>
      <c r="O251" s="189"/>
      <c r="P251" s="190"/>
      <c r="Q251" s="220"/>
      <c r="R251" s="110"/>
      <c r="S251" s="111"/>
      <c r="T251" s="106"/>
      <c r="U251" s="106"/>
      <c r="V251" s="284">
        <f>Table626893456[[#This Row],[PO Value]]-Table626893456[[#This Row],[Offer Value]]</f>
        <v>0</v>
      </c>
      <c r="W251" s="106"/>
      <c r="X251" s="200"/>
      <c r="Y251" s="519"/>
      <c r="Z251" s="7"/>
      <c r="AA251" s="7"/>
    </row>
    <row r="252" spans="1:27" s="171" customFormat="1" ht="15.6">
      <c r="A252" s="289"/>
      <c r="B252" s="256"/>
      <c r="C252" s="283"/>
      <c r="D252" s="283"/>
      <c r="E252" s="283"/>
      <c r="F252" s="283"/>
      <c r="G252" s="283"/>
      <c r="H252" s="537"/>
      <c r="I252" s="283"/>
      <c r="J252" s="520"/>
      <c r="K252" s="283"/>
      <c r="L252" s="283"/>
      <c r="M252" s="517"/>
      <c r="N252" s="289"/>
      <c r="O252" s="289"/>
      <c r="P252" s="289"/>
      <c r="Q252" s="220"/>
      <c r="R252" s="521"/>
      <c r="S252" s="522"/>
      <c r="T252" s="289"/>
      <c r="U252" s="289"/>
      <c r="V252" s="284">
        <f>Table626893456[[#This Row],[PO Value]]-Table626893456[[#This Row],[Offer Value]]</f>
        <v>0</v>
      </c>
      <c r="W252" s="289"/>
      <c r="X252" s="200"/>
      <c r="Y252" s="519"/>
      <c r="Z252" s="644"/>
      <c r="AA252" s="644"/>
    </row>
    <row r="253" spans="1:27" s="171" customFormat="1" ht="15.6">
      <c r="A253" s="289"/>
      <c r="B253" s="256"/>
      <c r="C253" s="283"/>
      <c r="D253" s="283"/>
      <c r="E253" s="283"/>
      <c r="F253" s="283"/>
      <c r="G253" s="283"/>
      <c r="H253" s="537"/>
      <c r="I253" s="283"/>
      <c r="J253" s="520"/>
      <c r="K253" s="283"/>
      <c r="L253" s="283"/>
      <c r="M253" s="517"/>
      <c r="N253" s="289"/>
      <c r="O253" s="289"/>
      <c r="P253" s="289"/>
      <c r="Q253" s="220"/>
      <c r="R253" s="521"/>
      <c r="S253" s="522"/>
      <c r="T253" s="289"/>
      <c r="U253" s="289"/>
      <c r="V253" s="284">
        <f>Table626893456[[#This Row],[PO Value]]-Table626893456[[#This Row],[Offer Value]]</f>
        <v>0</v>
      </c>
      <c r="W253" s="289"/>
      <c r="X253" s="200"/>
      <c r="Y253" s="519"/>
      <c r="Z253" s="644"/>
      <c r="AA253" s="644"/>
    </row>
    <row r="254" spans="1:27" s="171" customFormat="1" ht="15.6">
      <c r="A254" s="289"/>
      <c r="B254" s="256"/>
      <c r="C254" s="283"/>
      <c r="D254" s="283"/>
      <c r="E254" s="283"/>
      <c r="F254" s="283"/>
      <c r="G254" s="283"/>
      <c r="H254" s="537"/>
      <c r="I254" s="283"/>
      <c r="J254" s="520"/>
      <c r="K254" s="283"/>
      <c r="L254" s="283"/>
      <c r="M254" s="517"/>
      <c r="N254" s="289"/>
      <c r="O254" s="289"/>
      <c r="P254" s="289"/>
      <c r="Q254" s="220"/>
      <c r="R254" s="521"/>
      <c r="S254" s="522"/>
      <c r="T254" s="289"/>
      <c r="U254" s="289"/>
      <c r="V254" s="284">
        <f>Table626893456[[#This Row],[PO Value]]-Table626893456[[#This Row],[Offer Value]]</f>
        <v>0</v>
      </c>
      <c r="W254" s="289"/>
      <c r="X254" s="200"/>
      <c r="Y254" s="519"/>
      <c r="Z254" s="644"/>
      <c r="AA254" s="644"/>
    </row>
    <row r="255" spans="1:27" ht="15.6">
      <c r="A255" s="106"/>
      <c r="B255" s="107"/>
      <c r="C255" s="283"/>
      <c r="D255" s="283"/>
      <c r="E255" s="283"/>
      <c r="F255" s="283"/>
      <c r="G255" s="283"/>
      <c r="H255" s="537"/>
      <c r="I255" s="283"/>
      <c r="J255" s="520"/>
      <c r="K255" s="283"/>
      <c r="L255" s="283"/>
      <c r="M255" s="517"/>
      <c r="N255" s="289"/>
      <c r="O255" s="289"/>
      <c r="P255" s="289"/>
      <c r="Q255" s="220"/>
      <c r="R255" s="521"/>
      <c r="S255" s="522"/>
      <c r="T255" s="289"/>
      <c r="U255" s="106"/>
      <c r="V255" s="284">
        <f>Table626893456[[#This Row],[PO Value]]-Table626893456[[#This Row],[Offer Value]]</f>
        <v>0</v>
      </c>
      <c r="W255" s="106"/>
      <c r="X255" s="200"/>
      <c r="Y255" s="519"/>
      <c r="Z255" s="7"/>
      <c r="AA255" s="7"/>
    </row>
    <row r="256" spans="1:27" s="1" customFormat="1" ht="15.6">
      <c r="A256" s="289"/>
      <c r="B256" s="256"/>
      <c r="C256" s="283"/>
      <c r="D256" s="283"/>
      <c r="E256" s="283"/>
      <c r="F256" s="283"/>
      <c r="G256" s="283"/>
      <c r="H256" s="535"/>
      <c r="I256" s="283"/>
      <c r="J256" s="536"/>
      <c r="K256" s="283"/>
      <c r="L256" s="283"/>
      <c r="M256" s="517"/>
      <c r="N256" s="289"/>
      <c r="O256" s="289"/>
      <c r="P256" s="289"/>
      <c r="Q256" s="220"/>
      <c r="R256" s="521"/>
      <c r="S256" s="522"/>
      <c r="T256" s="289"/>
      <c r="U256" s="289"/>
      <c r="V256" s="284">
        <f>Table626893456[[#This Row],[PO Value]]-Table626893456[[#This Row],[Offer Value]]</f>
        <v>0</v>
      </c>
      <c r="W256" s="289"/>
      <c r="X256" s="200"/>
      <c r="Y256" s="519"/>
      <c r="Z256" s="43"/>
      <c r="AA256" s="43"/>
    </row>
    <row r="257" spans="1:27" s="1" customFormat="1" ht="18">
      <c r="A257" s="289"/>
      <c r="B257" s="256"/>
      <c r="C257" s="283"/>
      <c r="D257" s="283"/>
      <c r="E257" s="283"/>
      <c r="F257" s="283"/>
      <c r="G257" s="283"/>
      <c r="H257" s="538"/>
      <c r="I257" s="283"/>
      <c r="J257" s="495"/>
      <c r="K257" s="283"/>
      <c r="L257" s="283"/>
      <c r="M257" s="517"/>
      <c r="N257" s="289"/>
      <c r="O257" s="289"/>
      <c r="P257" s="289"/>
      <c r="Q257" s="220"/>
      <c r="R257" s="521"/>
      <c r="S257" s="522"/>
      <c r="T257" s="289"/>
      <c r="U257" s="289"/>
      <c r="V257" s="284">
        <f>Table626893456[[#This Row],[PO Value]]-Table626893456[[#This Row],[Offer Value]]</f>
        <v>0</v>
      </c>
      <c r="W257" s="289"/>
      <c r="X257" s="200"/>
      <c r="Y257" s="519"/>
      <c r="Z257" s="43"/>
      <c r="AA257" s="43"/>
    </row>
    <row r="258" spans="1:27" s="1" customFormat="1" ht="15.6">
      <c r="A258" s="289"/>
      <c r="B258" s="256"/>
      <c r="C258" s="283"/>
      <c r="D258" s="283"/>
      <c r="E258" s="283"/>
      <c r="F258" s="283"/>
      <c r="G258" s="283"/>
      <c r="H258" s="504"/>
      <c r="I258" s="283"/>
      <c r="J258" s="495"/>
      <c r="K258" s="283"/>
      <c r="L258" s="501"/>
      <c r="M258" s="517"/>
      <c r="N258" s="289"/>
      <c r="O258" s="289"/>
      <c r="P258" s="289"/>
      <c r="Q258" s="220"/>
      <c r="R258" s="521"/>
      <c r="S258" s="522"/>
      <c r="T258" s="289"/>
      <c r="U258" s="289"/>
      <c r="V258" s="284">
        <f>Table626893456[[#This Row],[PO Value]]-Table626893456[[#This Row],[Offer Value]]</f>
        <v>0</v>
      </c>
      <c r="W258" s="289"/>
      <c r="X258" s="200"/>
      <c r="Y258" s="519"/>
      <c r="Z258" s="43"/>
      <c r="AA258" s="43"/>
    </row>
    <row r="259" spans="1:27" s="1" customFormat="1" ht="15.6">
      <c r="A259" s="289"/>
      <c r="B259" s="256"/>
      <c r="C259" s="283"/>
      <c r="D259" s="283"/>
      <c r="E259" s="283"/>
      <c r="F259" s="283"/>
      <c r="G259" s="283"/>
      <c r="H259" s="504"/>
      <c r="I259" s="283"/>
      <c r="J259" s="498"/>
      <c r="K259" s="539"/>
      <c r="L259" s="283"/>
      <c r="M259" s="540"/>
      <c r="N259" s="541"/>
      <c r="O259" s="541"/>
      <c r="P259" s="541"/>
      <c r="Q259" s="437"/>
      <c r="R259" s="521"/>
      <c r="S259" s="522"/>
      <c r="T259" s="541"/>
      <c r="U259" s="541"/>
      <c r="V259" s="284">
        <f>Table626893456[[#This Row],[PO Value]]-Table626893456[[#This Row],[Offer Value]]</f>
        <v>0</v>
      </c>
      <c r="W259" s="289"/>
      <c r="X259" s="200"/>
      <c r="Y259" s="519"/>
      <c r="Z259" s="43"/>
      <c r="AA259" s="43"/>
    </row>
    <row r="260" spans="1:27" ht="15.6">
      <c r="A260" s="106"/>
      <c r="B260" s="107"/>
      <c r="C260" s="283"/>
      <c r="D260" s="283"/>
      <c r="E260" s="283"/>
      <c r="F260" s="283"/>
      <c r="G260" s="283"/>
      <c r="H260" s="504"/>
      <c r="I260" s="108"/>
      <c r="J260" s="498"/>
      <c r="K260" s="539"/>
      <c r="L260" s="686"/>
      <c r="M260" s="540"/>
      <c r="N260" s="541"/>
      <c r="O260" s="541"/>
      <c r="P260" s="541"/>
      <c r="Q260" s="437"/>
      <c r="R260" s="521"/>
      <c r="S260" s="522"/>
      <c r="T260" s="541"/>
      <c r="U260" s="541"/>
      <c r="V260" s="284">
        <f>Table626893456[[#This Row],[PO Value]]-Table626893456[[#This Row],[Offer Value]]</f>
        <v>0</v>
      </c>
      <c r="W260" s="106"/>
      <c r="X260" s="200"/>
      <c r="Y260" s="519"/>
      <c r="Z260" s="7"/>
      <c r="AA260" s="7"/>
    </row>
    <row r="261" spans="1:27" ht="15.6">
      <c r="A261" s="106"/>
      <c r="B261" s="107"/>
      <c r="C261" s="283"/>
      <c r="D261" s="283"/>
      <c r="E261" s="283"/>
      <c r="F261" s="283"/>
      <c r="G261" s="283"/>
      <c r="H261" s="504"/>
      <c r="I261" s="108"/>
      <c r="J261" s="498"/>
      <c r="K261" s="539"/>
      <c r="L261" s="686"/>
      <c r="M261" s="540"/>
      <c r="N261" s="541"/>
      <c r="O261" s="541"/>
      <c r="P261" s="541"/>
      <c r="Q261" s="437"/>
      <c r="R261" s="521"/>
      <c r="S261" s="522"/>
      <c r="T261" s="541"/>
      <c r="U261" s="541"/>
      <c r="V261" s="284">
        <f>Table626893456[[#This Row],[PO Value]]-Table626893456[[#This Row],[Offer Value]]</f>
        <v>0</v>
      </c>
      <c r="W261" s="106"/>
      <c r="X261" s="200"/>
      <c r="Y261" s="519"/>
      <c r="Z261" s="7"/>
      <c r="AA261" s="7"/>
    </row>
    <row r="262" spans="1:27" ht="15.6">
      <c r="A262" s="106"/>
      <c r="B262" s="107"/>
      <c r="C262" s="283"/>
      <c r="D262" s="283"/>
      <c r="E262" s="283"/>
      <c r="F262" s="283"/>
      <c r="G262" s="283"/>
      <c r="H262" s="504"/>
      <c r="I262" s="542"/>
      <c r="J262" s="498"/>
      <c r="K262" s="539"/>
      <c r="L262" s="686"/>
      <c r="M262" s="540"/>
      <c r="N262" s="541"/>
      <c r="O262" s="541"/>
      <c r="P262" s="541"/>
      <c r="Q262" s="437"/>
      <c r="R262" s="521"/>
      <c r="S262" s="522"/>
      <c r="T262" s="541"/>
      <c r="U262" s="541"/>
      <c r="V262" s="284">
        <f>Table626893456[[#This Row],[PO Value]]-Table626893456[[#This Row],[Offer Value]]</f>
        <v>0</v>
      </c>
      <c r="W262" s="106"/>
      <c r="X262" s="200"/>
      <c r="Y262" s="519"/>
      <c r="Z262" s="7"/>
      <c r="AA262" s="7"/>
    </row>
    <row r="263" spans="1:27" ht="15.6">
      <c r="A263" s="106"/>
      <c r="B263" s="107"/>
      <c r="C263" s="283"/>
      <c r="D263" s="283"/>
      <c r="E263" s="283"/>
      <c r="F263" s="283"/>
      <c r="G263" s="283"/>
      <c r="H263" s="504"/>
      <c r="I263" s="543"/>
      <c r="J263" s="498"/>
      <c r="K263" s="539"/>
      <c r="L263" s="686"/>
      <c r="M263" s="540"/>
      <c r="N263" s="541"/>
      <c r="O263" s="541"/>
      <c r="P263" s="541"/>
      <c r="Q263" s="437"/>
      <c r="R263" s="521"/>
      <c r="S263" s="522"/>
      <c r="T263" s="541"/>
      <c r="U263" s="541"/>
      <c r="V263" s="284">
        <f>Table626893456[[#This Row],[PO Value]]-Table626893456[[#This Row],[Offer Value]]</f>
        <v>0</v>
      </c>
      <c r="W263" s="106"/>
      <c r="X263" s="200"/>
      <c r="Y263" s="519"/>
      <c r="Z263" s="7"/>
      <c r="AA263" s="7"/>
    </row>
    <row r="264" spans="1:27" ht="15.6">
      <c r="A264" s="106"/>
      <c r="B264" s="107"/>
      <c r="C264" s="283"/>
      <c r="D264" s="283"/>
      <c r="E264" s="283"/>
      <c r="F264" s="283"/>
      <c r="G264" s="283"/>
      <c r="H264" s="504"/>
      <c r="I264" s="543"/>
      <c r="J264" s="498"/>
      <c r="K264" s="539"/>
      <c r="L264" s="686"/>
      <c r="M264" s="540"/>
      <c r="N264" s="541"/>
      <c r="O264" s="541"/>
      <c r="P264" s="541"/>
      <c r="Q264" s="437"/>
      <c r="R264" s="521"/>
      <c r="S264" s="522"/>
      <c r="T264" s="541"/>
      <c r="U264" s="541"/>
      <c r="V264" s="284">
        <f>Table626893456[[#This Row],[PO Value]]-Table626893456[[#This Row],[Offer Value]]</f>
        <v>0</v>
      </c>
      <c r="W264" s="106"/>
      <c r="X264" s="200"/>
      <c r="Y264" s="519"/>
      <c r="Z264" s="7"/>
      <c r="AA264" s="7"/>
    </row>
    <row r="265" spans="1:27" ht="15.6">
      <c r="A265" s="106"/>
      <c r="B265" s="107"/>
      <c r="C265" s="283"/>
      <c r="D265" s="283"/>
      <c r="E265" s="283"/>
      <c r="F265" s="283"/>
      <c r="G265" s="283"/>
      <c r="H265" s="504"/>
      <c r="I265" s="543"/>
      <c r="J265" s="498"/>
      <c r="K265" s="539"/>
      <c r="L265" s="686"/>
      <c r="M265" s="540"/>
      <c r="N265" s="541"/>
      <c r="O265" s="541"/>
      <c r="P265" s="541"/>
      <c r="Q265" s="437"/>
      <c r="R265" s="521"/>
      <c r="S265" s="522"/>
      <c r="T265" s="541"/>
      <c r="U265" s="541"/>
      <c r="V265" s="284">
        <f>Table626893456[[#This Row],[PO Value]]-Table626893456[[#This Row],[Offer Value]]</f>
        <v>0</v>
      </c>
      <c r="W265" s="106"/>
      <c r="X265" s="200"/>
      <c r="Y265" s="519"/>
      <c r="Z265" s="7"/>
      <c r="AA265" s="7"/>
    </row>
    <row r="266" spans="1:27" ht="15.6">
      <c r="A266" s="106"/>
      <c r="B266" s="107"/>
      <c r="C266" s="283"/>
      <c r="D266" s="283"/>
      <c r="E266" s="283"/>
      <c r="F266" s="283"/>
      <c r="G266" s="283"/>
      <c r="H266" s="504"/>
      <c r="I266" s="543"/>
      <c r="J266" s="498"/>
      <c r="K266" s="539"/>
      <c r="L266" s="686"/>
      <c r="M266" s="540"/>
      <c r="N266" s="541"/>
      <c r="O266" s="541"/>
      <c r="P266" s="541"/>
      <c r="Q266" s="437"/>
      <c r="R266" s="521"/>
      <c r="S266" s="522"/>
      <c r="T266" s="541"/>
      <c r="U266" s="541"/>
      <c r="V266" s="284">
        <f>Table626893456[[#This Row],[PO Value]]-Table626893456[[#This Row],[Offer Value]]</f>
        <v>0</v>
      </c>
      <c r="W266" s="106"/>
      <c r="X266" s="200"/>
      <c r="Y266" s="519"/>
      <c r="Z266" s="7"/>
      <c r="AA266" s="7"/>
    </row>
    <row r="267" spans="1:27" ht="15.6">
      <c r="A267" s="106"/>
      <c r="B267" s="107"/>
      <c r="C267" s="283"/>
      <c r="D267" s="283"/>
      <c r="E267" s="283"/>
      <c r="F267" s="283"/>
      <c r="G267" s="283"/>
      <c r="H267" s="504"/>
      <c r="I267" s="543"/>
      <c r="J267" s="498"/>
      <c r="K267" s="539"/>
      <c r="L267" s="686"/>
      <c r="M267" s="540"/>
      <c r="N267" s="541"/>
      <c r="O267" s="541"/>
      <c r="P267" s="541"/>
      <c r="Q267" s="437"/>
      <c r="R267" s="521"/>
      <c r="S267" s="522"/>
      <c r="T267" s="541"/>
      <c r="U267" s="541"/>
      <c r="V267" s="284">
        <f>Table626893456[[#This Row],[PO Value]]-Table626893456[[#This Row],[Offer Value]]</f>
        <v>0</v>
      </c>
      <c r="W267" s="106"/>
      <c r="X267" s="200"/>
      <c r="Y267" s="519"/>
      <c r="Z267" s="7"/>
      <c r="AA267" s="7"/>
    </row>
    <row r="268" spans="1:27" ht="15.6">
      <c r="A268" s="106"/>
      <c r="B268" s="107"/>
      <c r="C268" s="283"/>
      <c r="D268" s="283"/>
      <c r="E268" s="283"/>
      <c r="F268" s="283"/>
      <c r="G268" s="283"/>
      <c r="H268" s="504"/>
      <c r="I268" s="543"/>
      <c r="J268" s="498"/>
      <c r="K268" s="539"/>
      <c r="L268" s="686"/>
      <c r="M268" s="540"/>
      <c r="N268" s="541"/>
      <c r="O268" s="541"/>
      <c r="P268" s="541"/>
      <c r="Q268" s="437"/>
      <c r="R268" s="521"/>
      <c r="S268" s="522"/>
      <c r="T268" s="541"/>
      <c r="U268" s="541"/>
      <c r="V268" s="284">
        <f>Table626893456[[#This Row],[PO Value]]-Table626893456[[#This Row],[Offer Value]]</f>
        <v>0</v>
      </c>
      <c r="W268" s="106"/>
      <c r="X268" s="200"/>
      <c r="Y268" s="519"/>
      <c r="Z268" s="7"/>
      <c r="AA268" s="7"/>
    </row>
    <row r="269" spans="1:27" ht="15.6">
      <c r="A269" s="106"/>
      <c r="B269" s="107"/>
      <c r="C269" s="283"/>
      <c r="D269" s="283"/>
      <c r="E269" s="283"/>
      <c r="F269" s="283"/>
      <c r="G269" s="283"/>
      <c r="H269" s="504"/>
      <c r="I269" s="543"/>
      <c r="J269" s="498"/>
      <c r="K269" s="539"/>
      <c r="L269" s="686"/>
      <c r="M269" s="540"/>
      <c r="N269" s="541"/>
      <c r="O269" s="541"/>
      <c r="P269" s="541"/>
      <c r="Q269" s="437"/>
      <c r="R269" s="521"/>
      <c r="S269" s="522"/>
      <c r="T269" s="541"/>
      <c r="U269" s="541"/>
      <c r="V269" s="284">
        <f>Table626893456[[#This Row],[PO Value]]-Table626893456[[#This Row],[Offer Value]]</f>
        <v>0</v>
      </c>
      <c r="W269" s="106"/>
      <c r="X269" s="200"/>
      <c r="Y269" s="519"/>
      <c r="Z269" s="7"/>
      <c r="AA269" s="7"/>
    </row>
    <row r="270" spans="1:27" ht="15.6">
      <c r="A270" s="106"/>
      <c r="B270" s="107"/>
      <c r="C270" s="283"/>
      <c r="D270" s="283"/>
      <c r="E270" s="283"/>
      <c r="F270" s="283"/>
      <c r="G270" s="283"/>
      <c r="H270" s="504"/>
      <c r="I270" s="543"/>
      <c r="J270" s="498"/>
      <c r="K270" s="539"/>
      <c r="L270" s="686"/>
      <c r="M270" s="540"/>
      <c r="N270" s="541"/>
      <c r="O270" s="541"/>
      <c r="P270" s="541"/>
      <c r="Q270" s="437"/>
      <c r="R270" s="521"/>
      <c r="S270" s="522"/>
      <c r="T270" s="541"/>
      <c r="U270" s="541"/>
      <c r="V270" s="284">
        <f>Table626893456[[#This Row],[PO Value]]-Table626893456[[#This Row],[Offer Value]]</f>
        <v>0</v>
      </c>
      <c r="W270" s="106"/>
      <c r="X270" s="200"/>
      <c r="Y270" s="519"/>
      <c r="Z270" s="7"/>
      <c r="AA270" s="7"/>
    </row>
    <row r="271" spans="1:27" ht="15.6">
      <c r="A271" s="106"/>
      <c r="B271" s="107"/>
      <c r="C271" s="283"/>
      <c r="D271" s="283"/>
      <c r="E271" s="283"/>
      <c r="F271" s="283"/>
      <c r="G271" s="283"/>
      <c r="H271" s="504"/>
      <c r="I271" s="543"/>
      <c r="J271" s="498"/>
      <c r="K271" s="539"/>
      <c r="L271" s="686"/>
      <c r="M271" s="540"/>
      <c r="N271" s="541"/>
      <c r="O271" s="541"/>
      <c r="P271" s="541"/>
      <c r="Q271" s="437"/>
      <c r="R271" s="521"/>
      <c r="S271" s="522"/>
      <c r="T271" s="541"/>
      <c r="U271" s="541"/>
      <c r="V271" s="284">
        <f>Table626893456[[#This Row],[PO Value]]-Table626893456[[#This Row],[Offer Value]]</f>
        <v>0</v>
      </c>
      <c r="W271" s="106"/>
      <c r="X271" s="200"/>
      <c r="Y271" s="519"/>
      <c r="Z271" s="7"/>
      <c r="AA271" s="7"/>
    </row>
    <row r="272" spans="1:27" ht="15.6">
      <c r="A272" s="106"/>
      <c r="B272" s="107"/>
      <c r="C272" s="283"/>
      <c r="D272" s="283"/>
      <c r="E272" s="283"/>
      <c r="F272" s="283"/>
      <c r="G272" s="283"/>
      <c r="H272" s="504"/>
      <c r="I272" s="543"/>
      <c r="J272" s="498"/>
      <c r="K272" s="539"/>
      <c r="L272" s="686"/>
      <c r="M272" s="540"/>
      <c r="N272" s="541"/>
      <c r="O272" s="541"/>
      <c r="P272" s="541"/>
      <c r="Q272" s="437"/>
      <c r="R272" s="521"/>
      <c r="S272" s="522"/>
      <c r="T272" s="541"/>
      <c r="U272" s="541"/>
      <c r="V272" s="284">
        <f>Table626893456[[#This Row],[PO Value]]-Table626893456[[#This Row],[Offer Value]]</f>
        <v>0</v>
      </c>
      <c r="W272" s="106"/>
      <c r="X272" s="200"/>
      <c r="Y272" s="519"/>
      <c r="Z272" s="7"/>
      <c r="AA272" s="7"/>
    </row>
    <row r="273" spans="1:27" ht="15.6">
      <c r="A273" s="106"/>
      <c r="B273" s="107"/>
      <c r="C273" s="283"/>
      <c r="D273" s="283"/>
      <c r="E273" s="283"/>
      <c r="F273" s="283"/>
      <c r="G273" s="283"/>
      <c r="H273" s="504"/>
      <c r="I273" s="542"/>
      <c r="J273" s="498"/>
      <c r="K273" s="539"/>
      <c r="L273" s="686"/>
      <c r="M273" s="540"/>
      <c r="N273" s="541"/>
      <c r="O273" s="541"/>
      <c r="P273" s="541"/>
      <c r="Q273" s="437"/>
      <c r="R273" s="521"/>
      <c r="S273" s="522"/>
      <c r="T273" s="541"/>
      <c r="U273" s="541"/>
      <c r="V273" s="284">
        <f>Table626893456[[#This Row],[PO Value]]-Table626893456[[#This Row],[Offer Value]]</f>
        <v>0</v>
      </c>
      <c r="W273" s="106"/>
      <c r="X273" s="200"/>
      <c r="Y273" s="519"/>
      <c r="Z273" s="7"/>
      <c r="AA273" s="7"/>
    </row>
    <row r="274" spans="1:27" ht="15.6">
      <c r="A274" s="289"/>
      <c r="B274" s="256"/>
      <c r="C274" s="283"/>
      <c r="D274" s="283"/>
      <c r="E274" s="283"/>
      <c r="F274" s="283"/>
      <c r="G274" s="501"/>
      <c r="H274" s="504"/>
      <c r="I274" s="501"/>
      <c r="J274" s="495"/>
      <c r="K274" s="283"/>
      <c r="L274" s="283"/>
      <c r="M274" s="517"/>
      <c r="N274" s="106"/>
      <c r="O274" s="106"/>
      <c r="P274" s="106"/>
      <c r="Q274" s="220"/>
      <c r="R274" s="110"/>
      <c r="S274" s="522"/>
      <c r="T274" s="289"/>
      <c r="U274" s="289"/>
      <c r="V274" s="284">
        <f>Table626893456[[#This Row],[PO Value]]-Table626893456[[#This Row],[Offer Value]]</f>
        <v>0</v>
      </c>
      <c r="W274" s="106"/>
      <c r="X274" s="200"/>
      <c r="Y274" s="519"/>
      <c r="Z274" s="7"/>
      <c r="AA274" s="7"/>
    </row>
    <row r="275" spans="1:27" ht="15.6">
      <c r="A275" s="106"/>
      <c r="B275" s="107"/>
      <c r="C275" s="283"/>
      <c r="D275" s="283"/>
      <c r="E275" s="283"/>
      <c r="F275" s="283"/>
      <c r="G275" s="501"/>
      <c r="H275" s="504"/>
      <c r="I275" s="501"/>
      <c r="J275" s="495"/>
      <c r="K275" s="283"/>
      <c r="L275" s="194"/>
      <c r="M275" s="517"/>
      <c r="N275" s="106"/>
      <c r="O275" s="106"/>
      <c r="P275" s="190"/>
      <c r="Q275" s="254"/>
      <c r="R275" s="110"/>
      <c r="S275" s="522"/>
      <c r="T275" s="289"/>
      <c r="U275" s="289"/>
      <c r="V275" s="284">
        <f>Table626893456[[#This Row],[PO Value]]-Table626893456[[#This Row],[Offer Value]]</f>
        <v>0</v>
      </c>
      <c r="W275" s="106"/>
      <c r="X275" s="200"/>
      <c r="Y275" s="519"/>
      <c r="Z275" s="7"/>
      <c r="AA275" s="7"/>
    </row>
    <row r="276" spans="1:27" ht="15.6">
      <c r="A276" s="106"/>
      <c r="B276" s="107"/>
      <c r="C276" s="283"/>
      <c r="D276" s="283"/>
      <c r="E276" s="283"/>
      <c r="F276" s="283"/>
      <c r="G276" s="501"/>
      <c r="H276" s="504"/>
      <c r="I276" s="501"/>
      <c r="J276" s="495"/>
      <c r="K276" s="283"/>
      <c r="L276" s="194"/>
      <c r="M276" s="517"/>
      <c r="N276" s="106"/>
      <c r="O276" s="106"/>
      <c r="P276" s="190"/>
      <c r="Q276" s="254"/>
      <c r="R276" s="110"/>
      <c r="S276" s="522"/>
      <c r="T276" s="289"/>
      <c r="U276" s="289"/>
      <c r="V276" s="284">
        <f>Table626893456[[#This Row],[PO Value]]-Table626893456[[#This Row],[Offer Value]]</f>
        <v>0</v>
      </c>
      <c r="W276" s="106"/>
      <c r="X276" s="200"/>
      <c r="Y276" s="519"/>
      <c r="Z276" s="7"/>
      <c r="AA276" s="7"/>
    </row>
    <row r="277" spans="1:27" s="1" customFormat="1" ht="15.6">
      <c r="A277" s="289"/>
      <c r="B277" s="256"/>
      <c r="C277" s="283"/>
      <c r="D277" s="501"/>
      <c r="E277" s="501"/>
      <c r="F277" s="501"/>
      <c r="G277" s="501"/>
      <c r="H277" s="504"/>
      <c r="I277" s="501"/>
      <c r="J277" s="495"/>
      <c r="K277" s="283"/>
      <c r="L277" s="283"/>
      <c r="M277" s="517"/>
      <c r="N277" s="289"/>
      <c r="O277" s="289"/>
      <c r="P277" s="289"/>
      <c r="Q277" s="220"/>
      <c r="R277" s="521"/>
      <c r="S277" s="522"/>
      <c r="T277" s="289"/>
      <c r="U277" s="289"/>
      <c r="V277" s="284">
        <f>Table626893456[[#This Row],[PO Value]]-Table626893456[[#This Row],[Offer Value]]</f>
        <v>0</v>
      </c>
      <c r="W277" s="289"/>
      <c r="X277" s="200"/>
      <c r="Y277" s="198"/>
      <c r="Z277" s="43"/>
      <c r="AA277" s="43"/>
    </row>
    <row r="278" spans="1:27" ht="15.6">
      <c r="A278" s="289"/>
      <c r="B278" s="256"/>
      <c r="C278" s="283"/>
      <c r="D278" s="283"/>
      <c r="E278" s="283"/>
      <c r="F278" s="489"/>
      <c r="G278" s="489"/>
      <c r="H278" s="383"/>
      <c r="I278" s="489"/>
      <c r="J278" s="489"/>
      <c r="K278" s="489"/>
      <c r="L278" s="489"/>
      <c r="M278" s="384"/>
      <c r="N278" s="490"/>
      <c r="O278" s="289"/>
      <c r="P278" s="289"/>
      <c r="Q278" s="220"/>
      <c r="R278" s="521"/>
      <c r="S278" s="522"/>
      <c r="T278" s="289"/>
      <c r="U278" s="289"/>
      <c r="V278" s="284">
        <f>Table626893456[[#This Row],[PO Value]]-Table626893456[[#This Row],[Offer Value]]</f>
        <v>0</v>
      </c>
      <c r="W278" s="106"/>
      <c r="X278" s="200"/>
      <c r="Y278" s="519"/>
      <c r="Z278" s="7"/>
      <c r="AA278" s="7"/>
    </row>
    <row r="279" spans="1:27" ht="15.6">
      <c r="A279" s="289"/>
      <c r="B279" s="256"/>
      <c r="C279" s="283"/>
      <c r="D279" s="283"/>
      <c r="E279" s="283"/>
      <c r="F279" s="489"/>
      <c r="G279" s="489"/>
      <c r="H279" s="383"/>
      <c r="I279" s="489"/>
      <c r="J279" s="489"/>
      <c r="K279" s="489"/>
      <c r="L279" s="489"/>
      <c r="M279" s="384"/>
      <c r="N279" s="490"/>
      <c r="O279" s="289"/>
      <c r="P279" s="289"/>
      <c r="Q279" s="220"/>
      <c r="R279" s="521"/>
      <c r="S279" s="522"/>
      <c r="T279" s="289"/>
      <c r="U279" s="289"/>
      <c r="V279" s="284">
        <f>Table626893456[[#This Row],[PO Value]]-Table626893456[[#This Row],[Offer Value]]</f>
        <v>0</v>
      </c>
      <c r="W279" s="106"/>
      <c r="X279" s="200"/>
      <c r="Y279" s="519"/>
      <c r="Z279" s="7"/>
      <c r="AA279" s="7"/>
    </row>
    <row r="280" spans="1:27" s="1" customFormat="1" ht="15.6">
      <c r="A280" s="289"/>
      <c r="B280" s="256"/>
      <c r="C280" s="283"/>
      <c r="D280" s="283"/>
      <c r="E280" s="283"/>
      <c r="F280" s="283"/>
      <c r="G280" s="489"/>
      <c r="H280" s="504"/>
      <c r="I280" s="283"/>
      <c r="J280" s="495"/>
      <c r="K280" s="283"/>
      <c r="L280" s="489"/>
      <c r="M280" s="517"/>
      <c r="N280" s="289"/>
      <c r="O280" s="289"/>
      <c r="P280" s="289"/>
      <c r="Q280" s="220"/>
      <c r="R280" s="521"/>
      <c r="S280" s="522"/>
      <c r="T280" s="289"/>
      <c r="U280" s="289"/>
      <c r="V280" s="284">
        <f>Table626893456[[#This Row],[PO Value]]-Table626893456[[#This Row],[Offer Value]]</f>
        <v>0</v>
      </c>
      <c r="W280" s="289"/>
      <c r="X280" s="200"/>
      <c r="Y280" s="519"/>
      <c r="Z280" s="43"/>
      <c r="AA280" s="43"/>
    </row>
    <row r="281" spans="1:27" s="1" customFormat="1" ht="15.6">
      <c r="A281" s="289"/>
      <c r="B281" s="256"/>
      <c r="C281" s="283"/>
      <c r="D281" s="283"/>
      <c r="E281" s="283"/>
      <c r="F281" s="489"/>
      <c r="G281" s="489"/>
      <c r="H281" s="383"/>
      <c r="I281" s="489"/>
      <c r="J281" s="495"/>
      <c r="K281" s="283"/>
      <c r="L281" s="283"/>
      <c r="M281" s="517"/>
      <c r="N281" s="289"/>
      <c r="O281" s="289"/>
      <c r="P281" s="289"/>
      <c r="Q281" s="220"/>
      <c r="R281" s="521"/>
      <c r="S281" s="522"/>
      <c r="T281" s="289"/>
      <c r="U281" s="289"/>
      <c r="V281" s="284">
        <f>Table626893456[[#This Row],[PO Value]]-Table626893456[[#This Row],[Offer Value]]</f>
        <v>0</v>
      </c>
      <c r="W281" s="289"/>
      <c r="X281" s="200"/>
      <c r="Y281" s="519"/>
      <c r="Z281" s="43"/>
      <c r="AA281" s="43"/>
    </row>
    <row r="282" spans="1:27" ht="18">
      <c r="A282" s="106"/>
      <c r="B282" s="107"/>
      <c r="C282" s="108"/>
      <c r="D282" s="108"/>
      <c r="E282" s="108"/>
      <c r="F282" s="108"/>
      <c r="G282" s="108"/>
      <c r="H282" s="544"/>
      <c r="I282" s="108"/>
      <c r="J282" s="545"/>
      <c r="K282" s="108"/>
      <c r="L282" s="108"/>
      <c r="M282" s="108"/>
      <c r="N282" s="106"/>
      <c r="O282" s="106"/>
      <c r="P282" s="106"/>
      <c r="Q282" s="109"/>
      <c r="R282" s="110"/>
      <c r="S282" s="111"/>
      <c r="T282" s="106"/>
      <c r="U282" s="106"/>
      <c r="V282" s="284">
        <f>Table626893456[[#This Row],[PO Value]]-Table626893456[[#This Row],[Offer Value]]</f>
        <v>0</v>
      </c>
      <c r="W282" s="106"/>
      <c r="X282" s="200"/>
      <c r="Y282" s="519"/>
      <c r="Z282" s="7"/>
      <c r="AA282" s="7"/>
    </row>
    <row r="283" spans="1:27" ht="18">
      <c r="A283" s="106"/>
      <c r="B283" s="107"/>
      <c r="C283" s="108"/>
      <c r="D283" s="108"/>
      <c r="E283" s="108"/>
      <c r="F283" s="108"/>
      <c r="G283" s="108"/>
      <c r="H283" s="544"/>
      <c r="I283" s="108"/>
      <c r="J283" s="545"/>
      <c r="K283" s="108"/>
      <c r="L283" s="108"/>
      <c r="M283" s="108"/>
      <c r="N283" s="106"/>
      <c r="O283" s="106"/>
      <c r="P283" s="106"/>
      <c r="Q283" s="109"/>
      <c r="R283" s="110"/>
      <c r="S283" s="111"/>
      <c r="T283" s="106"/>
      <c r="U283" s="106"/>
      <c r="V283" s="284">
        <f>Table626893456[[#This Row],[PO Value]]-Table626893456[[#This Row],[Offer Value]]</f>
        <v>0</v>
      </c>
      <c r="W283" s="106"/>
      <c r="X283" s="200"/>
      <c r="Y283" s="519"/>
      <c r="Z283" s="7"/>
      <c r="AA283" s="7"/>
    </row>
    <row r="284" spans="1:27" ht="18">
      <c r="A284" s="106"/>
      <c r="B284" s="107"/>
      <c r="C284" s="108"/>
      <c r="D284" s="108"/>
      <c r="E284" s="108"/>
      <c r="F284" s="108"/>
      <c r="G284" s="108"/>
      <c r="H284" s="544"/>
      <c r="I284" s="108"/>
      <c r="J284" s="545"/>
      <c r="K284" s="108"/>
      <c r="L284" s="108"/>
      <c r="M284" s="108"/>
      <c r="N284" s="106"/>
      <c r="O284" s="106"/>
      <c r="P284" s="106"/>
      <c r="Q284" s="109"/>
      <c r="R284" s="110"/>
      <c r="S284" s="111"/>
      <c r="T284" s="106"/>
      <c r="U284" s="106"/>
      <c r="V284" s="284">
        <f>Table626893456[[#This Row],[PO Value]]-Table626893456[[#This Row],[Offer Value]]</f>
        <v>0</v>
      </c>
      <c r="W284" s="106"/>
      <c r="X284" s="200"/>
      <c r="Y284" s="519"/>
      <c r="Z284" s="7"/>
      <c r="AA284" s="7"/>
    </row>
    <row r="285" spans="1:27" ht="18">
      <c r="A285" s="106"/>
      <c r="B285" s="107"/>
      <c r="C285" s="108"/>
      <c r="D285" s="108"/>
      <c r="E285" s="108"/>
      <c r="F285" s="108"/>
      <c r="G285" s="108"/>
      <c r="H285" s="544"/>
      <c r="I285" s="108"/>
      <c r="J285" s="545"/>
      <c r="K285" s="108"/>
      <c r="L285" s="108"/>
      <c r="M285" s="108"/>
      <c r="N285" s="106"/>
      <c r="O285" s="106"/>
      <c r="P285" s="106"/>
      <c r="Q285" s="109"/>
      <c r="R285" s="110"/>
      <c r="S285" s="111"/>
      <c r="T285" s="106"/>
      <c r="U285" s="106"/>
      <c r="V285" s="284">
        <f>Table626893456[[#This Row],[PO Value]]-Table626893456[[#This Row],[Offer Value]]</f>
        <v>0</v>
      </c>
      <c r="W285" s="106"/>
      <c r="X285" s="200"/>
      <c r="Y285" s="519"/>
      <c r="Z285" s="7"/>
      <c r="AA285" s="7"/>
    </row>
    <row r="286" spans="1:27" ht="18">
      <c r="A286" s="106"/>
      <c r="B286" s="107"/>
      <c r="C286" s="108"/>
      <c r="D286" s="108"/>
      <c r="E286" s="108"/>
      <c r="F286" s="108"/>
      <c r="G286" s="108"/>
      <c r="H286" s="544"/>
      <c r="I286" s="108"/>
      <c r="J286" s="545"/>
      <c r="K286" s="108"/>
      <c r="L286" s="108"/>
      <c r="M286" s="108"/>
      <c r="N286" s="106"/>
      <c r="O286" s="106"/>
      <c r="P286" s="106"/>
      <c r="Q286" s="109"/>
      <c r="R286" s="110"/>
      <c r="S286" s="111"/>
      <c r="T286" s="106"/>
      <c r="U286" s="106"/>
      <c r="V286" s="284">
        <f>Table626893456[[#This Row],[PO Value]]-Table626893456[[#This Row],[Offer Value]]</f>
        <v>0</v>
      </c>
      <c r="W286" s="106"/>
      <c r="X286" s="200"/>
      <c r="Y286" s="519"/>
      <c r="Z286" s="7"/>
      <c r="AA286" s="7"/>
    </row>
    <row r="287" spans="1:27" ht="18">
      <c r="A287" s="106"/>
      <c r="B287" s="107"/>
      <c r="C287" s="108"/>
      <c r="D287" s="108"/>
      <c r="E287" s="108"/>
      <c r="F287" s="108"/>
      <c r="G287" s="108"/>
      <c r="H287" s="544"/>
      <c r="I287" s="108"/>
      <c r="J287" s="545"/>
      <c r="K287" s="108"/>
      <c r="L287" s="108"/>
      <c r="M287" s="108"/>
      <c r="N287" s="106"/>
      <c r="O287" s="106"/>
      <c r="P287" s="106"/>
      <c r="Q287" s="109"/>
      <c r="R287" s="110"/>
      <c r="S287" s="111"/>
      <c r="T287" s="106"/>
      <c r="U287" s="106"/>
      <c r="V287" s="284">
        <f>Table626893456[[#This Row],[PO Value]]-Table626893456[[#This Row],[Offer Value]]</f>
        <v>0</v>
      </c>
      <c r="W287" s="106"/>
      <c r="X287" s="200"/>
      <c r="Y287" s="519"/>
      <c r="Z287" s="7"/>
      <c r="AA287" s="7"/>
    </row>
    <row r="288" spans="1:27" ht="18">
      <c r="A288" s="106"/>
      <c r="B288" s="107"/>
      <c r="C288" s="108"/>
      <c r="D288" s="108"/>
      <c r="E288" s="108"/>
      <c r="F288" s="108"/>
      <c r="G288" s="108"/>
      <c r="H288" s="544"/>
      <c r="I288" s="108"/>
      <c r="J288" s="545"/>
      <c r="K288" s="108"/>
      <c r="L288" s="108"/>
      <c r="M288" s="108"/>
      <c r="N288" s="106"/>
      <c r="O288" s="106"/>
      <c r="P288" s="106"/>
      <c r="Q288" s="109"/>
      <c r="R288" s="110"/>
      <c r="S288" s="111"/>
      <c r="T288" s="106"/>
      <c r="U288" s="106"/>
      <c r="V288" s="284">
        <f>Table626893456[[#This Row],[PO Value]]-Table626893456[[#This Row],[Offer Value]]</f>
        <v>0</v>
      </c>
      <c r="W288" s="106"/>
      <c r="X288" s="200"/>
      <c r="Y288" s="519"/>
      <c r="Z288" s="7"/>
      <c r="AA288" s="7"/>
    </row>
    <row r="289" spans="1:27" ht="18">
      <c r="A289" s="106"/>
      <c r="B289" s="107"/>
      <c r="C289" s="108"/>
      <c r="D289" s="108"/>
      <c r="E289" s="108"/>
      <c r="F289" s="108"/>
      <c r="G289" s="108"/>
      <c r="H289" s="544"/>
      <c r="I289" s="108"/>
      <c r="J289" s="545"/>
      <c r="K289" s="108"/>
      <c r="L289" s="108"/>
      <c r="M289" s="108"/>
      <c r="N289" s="106"/>
      <c r="O289" s="106"/>
      <c r="P289" s="106"/>
      <c r="Q289" s="109"/>
      <c r="R289" s="110"/>
      <c r="S289" s="111"/>
      <c r="T289" s="106"/>
      <c r="U289" s="106"/>
      <c r="V289" s="284">
        <f>Table626893456[[#This Row],[PO Value]]-Table626893456[[#This Row],[Offer Value]]</f>
        <v>0</v>
      </c>
      <c r="W289" s="106"/>
      <c r="X289" s="200"/>
      <c r="Y289" s="519"/>
      <c r="Z289" s="7"/>
      <c r="AA289" s="7"/>
    </row>
    <row r="290" spans="1:27" ht="18">
      <c r="A290" s="106"/>
      <c r="B290" s="107"/>
      <c r="C290" s="108"/>
      <c r="D290" s="108"/>
      <c r="E290" s="108"/>
      <c r="F290" s="108"/>
      <c r="G290" s="108"/>
      <c r="H290" s="544"/>
      <c r="I290" s="108"/>
      <c r="J290" s="545"/>
      <c r="K290" s="108"/>
      <c r="L290" s="108"/>
      <c r="M290" s="108"/>
      <c r="N290" s="106"/>
      <c r="O290" s="106"/>
      <c r="P290" s="106"/>
      <c r="Q290" s="109"/>
      <c r="R290" s="110"/>
      <c r="S290" s="111"/>
      <c r="T290" s="106"/>
      <c r="U290" s="106"/>
      <c r="V290" s="284">
        <f>Table626893456[[#This Row],[PO Value]]-Table626893456[[#This Row],[Offer Value]]</f>
        <v>0</v>
      </c>
      <c r="W290" s="106"/>
      <c r="X290" s="200"/>
      <c r="Y290" s="519"/>
      <c r="Z290" s="7"/>
      <c r="AA290" s="7"/>
    </row>
    <row r="291" spans="1:27" ht="18">
      <c r="A291" s="106"/>
      <c r="B291" s="107"/>
      <c r="C291" s="108"/>
      <c r="D291" s="108"/>
      <c r="E291" s="108"/>
      <c r="F291" s="108"/>
      <c r="G291" s="108"/>
      <c r="H291" s="544"/>
      <c r="I291" s="108"/>
      <c r="J291" s="545"/>
      <c r="K291" s="108"/>
      <c r="L291" s="108"/>
      <c r="M291" s="108"/>
      <c r="N291" s="106"/>
      <c r="O291" s="106"/>
      <c r="P291" s="106"/>
      <c r="Q291" s="109"/>
      <c r="R291" s="110"/>
      <c r="S291" s="111"/>
      <c r="T291" s="106"/>
      <c r="U291" s="106"/>
      <c r="V291" s="284">
        <f>Table626893456[[#This Row],[PO Value]]-Table626893456[[#This Row],[Offer Value]]</f>
        <v>0</v>
      </c>
      <c r="W291" s="106"/>
      <c r="X291" s="200"/>
      <c r="Y291" s="519"/>
      <c r="Z291" s="7"/>
      <c r="AA291" s="7"/>
    </row>
    <row r="292" spans="1:27" ht="18">
      <c r="A292" s="106"/>
      <c r="B292" s="107"/>
      <c r="C292" s="108"/>
      <c r="D292" s="108"/>
      <c r="E292" s="108"/>
      <c r="F292" s="108"/>
      <c r="G292" s="108"/>
      <c r="H292" s="544"/>
      <c r="I292" s="108"/>
      <c r="J292" s="545"/>
      <c r="K292" s="108"/>
      <c r="L292" s="108"/>
      <c r="M292" s="108"/>
      <c r="N292" s="106"/>
      <c r="O292" s="106"/>
      <c r="P292" s="106"/>
      <c r="Q292" s="109"/>
      <c r="R292" s="110"/>
      <c r="S292" s="111"/>
      <c r="T292" s="106"/>
      <c r="U292" s="106"/>
      <c r="V292" s="284">
        <f>Table626893456[[#This Row],[PO Value]]-Table626893456[[#This Row],[Offer Value]]</f>
        <v>0</v>
      </c>
      <c r="W292" s="106"/>
      <c r="X292" s="200"/>
      <c r="Y292" s="519"/>
      <c r="Z292" s="7"/>
      <c r="AA292" s="7"/>
    </row>
    <row r="293" spans="1:27" ht="18">
      <c r="A293" s="106"/>
      <c r="B293" s="107"/>
      <c r="C293" s="108"/>
      <c r="D293" s="108"/>
      <c r="E293" s="108"/>
      <c r="F293" s="108"/>
      <c r="G293" s="108"/>
      <c r="H293" s="544"/>
      <c r="I293" s="108"/>
      <c r="J293" s="545"/>
      <c r="K293" s="108"/>
      <c r="L293" s="108"/>
      <c r="M293" s="108"/>
      <c r="N293" s="106"/>
      <c r="O293" s="106"/>
      <c r="P293" s="106"/>
      <c r="Q293" s="109"/>
      <c r="R293" s="110"/>
      <c r="S293" s="111"/>
      <c r="T293" s="106"/>
      <c r="U293" s="106"/>
      <c r="V293" s="284">
        <f>Table626893456[[#This Row],[PO Value]]-Table626893456[[#This Row],[Offer Value]]</f>
        <v>0</v>
      </c>
      <c r="W293" s="106"/>
      <c r="X293" s="200"/>
      <c r="Y293" s="519"/>
      <c r="Z293" s="7"/>
      <c r="AA293" s="7"/>
    </row>
    <row r="294" spans="1:27" ht="18">
      <c r="A294" s="106"/>
      <c r="B294" s="107"/>
      <c r="C294" s="108"/>
      <c r="D294" s="108"/>
      <c r="E294" s="108"/>
      <c r="F294" s="108"/>
      <c r="G294" s="108"/>
      <c r="H294" s="544"/>
      <c r="I294" s="108"/>
      <c r="J294" s="545"/>
      <c r="K294" s="108"/>
      <c r="L294" s="108"/>
      <c r="M294" s="108"/>
      <c r="N294" s="106"/>
      <c r="O294" s="106"/>
      <c r="P294" s="106"/>
      <c r="Q294" s="109"/>
      <c r="R294" s="110"/>
      <c r="S294" s="111"/>
      <c r="T294" s="106"/>
      <c r="U294" s="106"/>
      <c r="V294" s="284">
        <f>Table626893456[[#This Row],[PO Value]]-Table626893456[[#This Row],[Offer Value]]</f>
        <v>0</v>
      </c>
      <c r="W294" s="106"/>
      <c r="X294" s="200"/>
      <c r="Y294" s="519"/>
      <c r="Z294" s="7"/>
      <c r="AA294" s="7"/>
    </row>
    <row r="295" spans="1:27" ht="18">
      <c r="A295" s="106"/>
      <c r="B295" s="107"/>
      <c r="C295" s="108"/>
      <c r="D295" s="108"/>
      <c r="E295" s="108"/>
      <c r="F295" s="108"/>
      <c r="G295" s="108"/>
      <c r="H295" s="544"/>
      <c r="I295" s="108"/>
      <c r="J295" s="545"/>
      <c r="K295" s="108"/>
      <c r="L295" s="108"/>
      <c r="M295" s="108"/>
      <c r="N295" s="106"/>
      <c r="O295" s="106"/>
      <c r="P295" s="106"/>
      <c r="Q295" s="109"/>
      <c r="R295" s="110"/>
      <c r="S295" s="111"/>
      <c r="T295" s="106"/>
      <c r="U295" s="106"/>
      <c r="V295" s="284">
        <f>Table626893456[[#This Row],[PO Value]]-Table626893456[[#This Row],[Offer Value]]</f>
        <v>0</v>
      </c>
      <c r="W295" s="106"/>
      <c r="X295" s="200"/>
      <c r="Y295" s="519"/>
      <c r="Z295" s="7"/>
      <c r="AA295" s="7"/>
    </row>
    <row r="296" spans="1:27" ht="18">
      <c r="A296" s="106"/>
      <c r="B296" s="107"/>
      <c r="C296" s="108"/>
      <c r="D296" s="108"/>
      <c r="E296" s="108"/>
      <c r="F296" s="108"/>
      <c r="G296" s="108"/>
      <c r="H296" s="544"/>
      <c r="I296" s="108"/>
      <c r="J296" s="545"/>
      <c r="K296" s="108"/>
      <c r="L296" s="108"/>
      <c r="M296" s="108"/>
      <c r="N296" s="106"/>
      <c r="O296" s="106"/>
      <c r="P296" s="106"/>
      <c r="Q296" s="109"/>
      <c r="R296" s="110"/>
      <c r="S296" s="111"/>
      <c r="T296" s="106"/>
      <c r="U296" s="106"/>
      <c r="V296" s="284">
        <f>Table626893456[[#This Row],[PO Value]]-Table626893456[[#This Row],[Offer Value]]</f>
        <v>0</v>
      </c>
      <c r="W296" s="106"/>
      <c r="X296" s="200"/>
      <c r="Y296" s="519"/>
      <c r="Z296" s="7"/>
      <c r="AA296" s="7"/>
    </row>
    <row r="297" spans="1:27" ht="18">
      <c r="A297" s="106"/>
      <c r="B297" s="107"/>
      <c r="C297" s="108"/>
      <c r="D297" s="108"/>
      <c r="E297" s="108"/>
      <c r="F297" s="108"/>
      <c r="G297" s="108"/>
      <c r="H297" s="544"/>
      <c r="I297" s="108"/>
      <c r="J297" s="545"/>
      <c r="K297" s="108"/>
      <c r="L297" s="108"/>
      <c r="M297" s="108"/>
      <c r="N297" s="106"/>
      <c r="O297" s="106"/>
      <c r="P297" s="106"/>
      <c r="Q297" s="109"/>
      <c r="R297" s="110"/>
      <c r="S297" s="111"/>
      <c r="T297" s="106"/>
      <c r="U297" s="106"/>
      <c r="V297" s="284">
        <f>Table626893456[[#This Row],[PO Value]]-Table626893456[[#This Row],[Offer Value]]</f>
        <v>0</v>
      </c>
      <c r="W297" s="106"/>
      <c r="X297" s="200"/>
      <c r="Y297" s="519"/>
      <c r="Z297" s="7"/>
      <c r="AA297" s="7"/>
    </row>
    <row r="298" spans="1:27" ht="18">
      <c r="A298" s="106"/>
      <c r="B298" s="107"/>
      <c r="C298" s="108"/>
      <c r="D298" s="108"/>
      <c r="E298" s="108"/>
      <c r="F298" s="108"/>
      <c r="G298" s="108"/>
      <c r="H298" s="544"/>
      <c r="I298" s="108"/>
      <c r="J298" s="545"/>
      <c r="K298" s="108"/>
      <c r="L298" s="108"/>
      <c r="M298" s="108"/>
      <c r="N298" s="106"/>
      <c r="O298" s="106"/>
      <c r="P298" s="106"/>
      <c r="Q298" s="109"/>
      <c r="R298" s="110"/>
      <c r="S298" s="111"/>
      <c r="T298" s="106"/>
      <c r="U298" s="106"/>
      <c r="V298" s="284">
        <f>Table626893456[[#This Row],[PO Value]]-Table626893456[[#This Row],[Offer Value]]</f>
        <v>0</v>
      </c>
      <c r="W298" s="106"/>
      <c r="X298" s="200"/>
      <c r="Y298" s="519"/>
      <c r="Z298" s="7"/>
      <c r="AA298" s="7"/>
    </row>
    <row r="299" spans="1:27" ht="18">
      <c r="A299" s="106"/>
      <c r="B299" s="107"/>
      <c r="C299" s="108"/>
      <c r="D299" s="108"/>
      <c r="E299" s="108"/>
      <c r="F299" s="108"/>
      <c r="G299" s="108"/>
      <c r="H299" s="544"/>
      <c r="I299" s="108"/>
      <c r="J299" s="545"/>
      <c r="K299" s="108"/>
      <c r="L299" s="108"/>
      <c r="M299" s="108"/>
      <c r="N299" s="106"/>
      <c r="O299" s="106"/>
      <c r="P299" s="106"/>
      <c r="Q299" s="109"/>
      <c r="R299" s="110"/>
      <c r="S299" s="111"/>
      <c r="T299" s="106"/>
      <c r="U299" s="106"/>
      <c r="V299" s="284">
        <f>Table626893456[[#This Row],[PO Value]]-Table626893456[[#This Row],[Offer Value]]</f>
        <v>0</v>
      </c>
      <c r="W299" s="106"/>
      <c r="X299" s="200"/>
      <c r="Y299" s="519"/>
      <c r="Z299" s="7"/>
      <c r="AA299" s="7"/>
    </row>
    <row r="300" spans="1:27" ht="18">
      <c r="A300" s="106"/>
      <c r="B300" s="107"/>
      <c r="C300" s="108"/>
      <c r="D300" s="108"/>
      <c r="E300" s="108"/>
      <c r="F300" s="108"/>
      <c r="G300" s="108"/>
      <c r="H300" s="544"/>
      <c r="I300" s="108"/>
      <c r="J300" s="545"/>
      <c r="K300" s="108"/>
      <c r="L300" s="108"/>
      <c r="M300" s="108"/>
      <c r="N300" s="106"/>
      <c r="O300" s="106"/>
      <c r="P300" s="106"/>
      <c r="Q300" s="109"/>
      <c r="R300" s="110"/>
      <c r="S300" s="111"/>
      <c r="T300" s="106"/>
      <c r="U300" s="106"/>
      <c r="V300" s="284">
        <f>Table626893456[[#This Row],[PO Value]]-Table626893456[[#This Row],[Offer Value]]</f>
        <v>0</v>
      </c>
      <c r="W300" s="106"/>
      <c r="X300" s="200"/>
      <c r="Y300" s="519"/>
      <c r="Z300" s="7"/>
      <c r="AA300" s="7"/>
    </row>
    <row r="301" spans="1:27" ht="18">
      <c r="A301" s="106"/>
      <c r="B301" s="107"/>
      <c r="C301" s="108"/>
      <c r="D301" s="108"/>
      <c r="E301" s="108"/>
      <c r="F301" s="108"/>
      <c r="G301" s="108"/>
      <c r="H301" s="544"/>
      <c r="I301" s="108"/>
      <c r="J301" s="545"/>
      <c r="K301" s="108"/>
      <c r="L301" s="108"/>
      <c r="M301" s="108"/>
      <c r="N301" s="106"/>
      <c r="O301" s="106"/>
      <c r="P301" s="106"/>
      <c r="Q301" s="109"/>
      <c r="R301" s="110"/>
      <c r="S301" s="111"/>
      <c r="T301" s="106"/>
      <c r="U301" s="106"/>
      <c r="V301" s="284">
        <f>Table626893456[[#This Row],[PO Value]]-Table626893456[[#This Row],[Offer Value]]</f>
        <v>0</v>
      </c>
      <c r="W301" s="106"/>
      <c r="X301" s="200"/>
      <c r="Y301" s="519"/>
      <c r="Z301" s="7"/>
      <c r="AA301" s="7"/>
    </row>
    <row r="302" spans="1:27" ht="18">
      <c r="A302" s="106"/>
      <c r="B302" s="107"/>
      <c r="C302" s="108"/>
      <c r="D302" s="108"/>
      <c r="E302" s="108"/>
      <c r="F302" s="108"/>
      <c r="G302" s="108"/>
      <c r="H302" s="544"/>
      <c r="I302" s="108"/>
      <c r="J302" s="545"/>
      <c r="K302" s="108"/>
      <c r="L302" s="108"/>
      <c r="M302" s="108"/>
      <c r="N302" s="106"/>
      <c r="O302" s="106"/>
      <c r="P302" s="106"/>
      <c r="Q302" s="109"/>
      <c r="R302" s="110"/>
      <c r="S302" s="111"/>
      <c r="T302" s="106"/>
      <c r="U302" s="106"/>
      <c r="V302" s="284">
        <f>Table626893456[[#This Row],[PO Value]]-Table626893456[[#This Row],[Offer Value]]</f>
        <v>0</v>
      </c>
      <c r="W302" s="106"/>
      <c r="X302" s="200"/>
      <c r="Y302" s="519"/>
      <c r="Z302" s="7"/>
      <c r="AA302" s="7"/>
    </row>
    <row r="303" spans="1:27" ht="18">
      <c r="A303" s="106"/>
      <c r="B303" s="107"/>
      <c r="C303" s="108"/>
      <c r="D303" s="108"/>
      <c r="E303" s="108"/>
      <c r="F303" s="108"/>
      <c r="G303" s="108"/>
      <c r="H303" s="544"/>
      <c r="I303" s="108"/>
      <c r="J303" s="545"/>
      <c r="K303" s="108"/>
      <c r="L303" s="108"/>
      <c r="M303" s="108"/>
      <c r="N303" s="106"/>
      <c r="O303" s="106"/>
      <c r="P303" s="106"/>
      <c r="Q303" s="109"/>
      <c r="R303" s="110"/>
      <c r="S303" s="111"/>
      <c r="T303" s="106"/>
      <c r="U303" s="106"/>
      <c r="V303" s="284">
        <f>Table626893456[[#This Row],[PO Value]]-Table626893456[[#This Row],[Offer Value]]</f>
        <v>0</v>
      </c>
      <c r="W303" s="106"/>
      <c r="X303" s="200"/>
      <c r="Y303" s="519"/>
      <c r="Z303" s="7"/>
      <c r="AA303" s="7"/>
    </row>
    <row r="304" spans="1:27" ht="18">
      <c r="A304" s="106"/>
      <c r="B304" s="107"/>
      <c r="C304" s="108"/>
      <c r="D304" s="108"/>
      <c r="E304" s="108"/>
      <c r="F304" s="108"/>
      <c r="G304" s="108"/>
      <c r="H304" s="544"/>
      <c r="I304" s="108"/>
      <c r="J304" s="545"/>
      <c r="K304" s="108"/>
      <c r="L304" s="108"/>
      <c r="M304" s="108"/>
      <c r="N304" s="106"/>
      <c r="O304" s="106"/>
      <c r="P304" s="106"/>
      <c r="Q304" s="109"/>
      <c r="R304" s="110"/>
      <c r="S304" s="111"/>
      <c r="T304" s="106"/>
      <c r="U304" s="106"/>
      <c r="V304" s="284">
        <f>Table626893456[[#This Row],[PO Value]]-Table626893456[[#This Row],[Offer Value]]</f>
        <v>0</v>
      </c>
      <c r="W304" s="106"/>
      <c r="X304" s="200"/>
      <c r="Y304" s="519"/>
      <c r="Z304" s="7"/>
      <c r="AA304" s="7"/>
    </row>
    <row r="305" spans="1:27" ht="18">
      <c r="A305" s="106"/>
      <c r="B305" s="107"/>
      <c r="C305" s="108"/>
      <c r="D305" s="108"/>
      <c r="E305" s="108"/>
      <c r="F305" s="108"/>
      <c r="G305" s="108"/>
      <c r="H305" s="544"/>
      <c r="I305" s="108"/>
      <c r="J305" s="545"/>
      <c r="K305" s="108"/>
      <c r="L305" s="108"/>
      <c r="M305" s="108"/>
      <c r="N305" s="106"/>
      <c r="O305" s="106"/>
      <c r="P305" s="106"/>
      <c r="Q305" s="109"/>
      <c r="R305" s="110"/>
      <c r="S305" s="111"/>
      <c r="T305" s="106"/>
      <c r="U305" s="106"/>
      <c r="V305" s="284">
        <f>Table626893456[[#This Row],[PO Value]]-Table626893456[[#This Row],[Offer Value]]</f>
        <v>0</v>
      </c>
      <c r="W305" s="106"/>
      <c r="X305" s="200"/>
      <c r="Y305" s="519"/>
      <c r="Z305" s="7"/>
      <c r="AA305" s="7"/>
    </row>
    <row r="306" spans="1:27" ht="18">
      <c r="A306" s="106"/>
      <c r="B306" s="107"/>
      <c r="C306" s="108"/>
      <c r="D306" s="108"/>
      <c r="E306" s="108"/>
      <c r="F306" s="108"/>
      <c r="G306" s="108"/>
      <c r="H306" s="544"/>
      <c r="I306" s="108"/>
      <c r="J306" s="545"/>
      <c r="K306" s="108"/>
      <c r="L306" s="108"/>
      <c r="M306" s="108"/>
      <c r="N306" s="106"/>
      <c r="O306" s="106"/>
      <c r="P306" s="106"/>
      <c r="Q306" s="109"/>
      <c r="R306" s="110"/>
      <c r="S306" s="111"/>
      <c r="T306" s="106"/>
      <c r="U306" s="106"/>
      <c r="V306" s="284">
        <f>Table626893456[[#This Row],[PO Value]]-Table626893456[[#This Row],[Offer Value]]</f>
        <v>0</v>
      </c>
      <c r="W306" s="106"/>
      <c r="X306" s="200"/>
      <c r="Y306" s="519"/>
      <c r="Z306" s="7"/>
      <c r="AA306" s="7"/>
    </row>
    <row r="307" spans="1:27" ht="18">
      <c r="A307" s="106"/>
      <c r="B307" s="107"/>
      <c r="C307" s="108"/>
      <c r="D307" s="108"/>
      <c r="E307" s="108"/>
      <c r="F307" s="108"/>
      <c r="G307" s="108"/>
      <c r="H307" s="544"/>
      <c r="I307" s="108"/>
      <c r="J307" s="545"/>
      <c r="K307" s="108"/>
      <c r="L307" s="108"/>
      <c r="M307" s="108"/>
      <c r="N307" s="106"/>
      <c r="O307" s="106"/>
      <c r="P307" s="106"/>
      <c r="Q307" s="109"/>
      <c r="R307" s="110"/>
      <c r="S307" s="111"/>
      <c r="T307" s="106"/>
      <c r="U307" s="106"/>
      <c r="V307" s="284">
        <f>Table626893456[[#This Row],[PO Value]]-Table626893456[[#This Row],[Offer Value]]</f>
        <v>0</v>
      </c>
      <c r="W307" s="106"/>
      <c r="X307" s="200"/>
      <c r="Y307" s="519"/>
      <c r="Z307" s="7"/>
      <c r="AA307" s="7"/>
    </row>
    <row r="308" spans="1:27" ht="18">
      <c r="A308" s="106"/>
      <c r="B308" s="106"/>
      <c r="C308" s="105"/>
      <c r="D308" s="105"/>
      <c r="E308" s="105"/>
      <c r="F308" s="105"/>
      <c r="G308" s="105"/>
      <c r="H308" s="546"/>
      <c r="I308" s="105"/>
      <c r="J308" s="545"/>
      <c r="K308" s="115"/>
      <c r="L308" s="105"/>
      <c r="M308" s="116"/>
      <c r="N308" s="106"/>
      <c r="O308" s="106"/>
      <c r="P308" s="106"/>
      <c r="Q308" s="109"/>
      <c r="R308" s="107"/>
      <c r="S308" s="107"/>
      <c r="T308" s="106"/>
      <c r="U308" s="106"/>
      <c r="V308" s="284">
        <f>Table626893456[[#This Row],[PO Value]]-Table626893456[[#This Row],[Offer Value]]</f>
        <v>0</v>
      </c>
      <c r="W308" s="106"/>
      <c r="X308" s="106"/>
      <c r="Y308" s="660"/>
      <c r="Z308" s="7"/>
      <c r="AA308" s="7"/>
    </row>
    <row r="309" spans="1:27" ht="18">
      <c r="A309" s="106"/>
      <c r="B309" s="106"/>
      <c r="C309" s="105"/>
      <c r="D309" s="105"/>
      <c r="E309" s="105"/>
      <c r="F309" s="105"/>
      <c r="G309" s="105"/>
      <c r="H309" s="546"/>
      <c r="I309" s="105"/>
      <c r="J309" s="545"/>
      <c r="K309" s="115"/>
      <c r="L309" s="105"/>
      <c r="M309" s="116"/>
      <c r="N309" s="106"/>
      <c r="O309" s="106"/>
      <c r="P309" s="106"/>
      <c r="Q309" s="109"/>
      <c r="R309" s="107"/>
      <c r="S309" s="107"/>
      <c r="T309" s="106"/>
      <c r="U309" s="106"/>
      <c r="V309" s="284">
        <f>Table626893456[[#This Row],[PO Value]]-Table626893456[[#This Row],[Offer Value]]</f>
        <v>0</v>
      </c>
      <c r="W309" s="106"/>
      <c r="X309" s="106"/>
      <c r="Y309" s="660"/>
      <c r="Z309" s="7"/>
      <c r="AA309" s="7"/>
    </row>
    <row r="310" spans="1:27" ht="18">
      <c r="A310" s="106"/>
      <c r="B310" s="107"/>
      <c r="C310" s="105"/>
      <c r="D310" s="105"/>
      <c r="E310" s="105"/>
      <c r="F310" s="105"/>
      <c r="G310" s="105"/>
      <c r="H310" s="546"/>
      <c r="I310" s="105"/>
      <c r="J310" s="545"/>
      <c r="K310" s="108"/>
      <c r="L310" s="106"/>
      <c r="M310" s="107"/>
      <c r="N310" s="106"/>
      <c r="O310" s="106"/>
      <c r="P310" s="106"/>
      <c r="Q310" s="109"/>
      <c r="R310" s="106"/>
      <c r="S310" s="107"/>
      <c r="T310" s="106"/>
      <c r="U310" s="106"/>
      <c r="V310" s="284">
        <f>Table626893456[[#This Row],[PO Value]]-Table626893456[[#This Row],[Offer Value]]</f>
        <v>0</v>
      </c>
      <c r="W310" s="106"/>
      <c r="X310" s="106"/>
      <c r="Y310" s="661"/>
      <c r="Z310" s="7"/>
      <c r="AA310" s="7"/>
    </row>
    <row r="311" spans="1:27" ht="18">
      <c r="A311" s="106"/>
      <c r="B311" s="107"/>
      <c r="C311" s="105"/>
      <c r="D311" s="105"/>
      <c r="E311" s="105"/>
      <c r="F311" s="105"/>
      <c r="G311" s="105"/>
      <c r="H311" s="546"/>
      <c r="I311" s="105"/>
      <c r="J311" s="545"/>
      <c r="K311" s="108"/>
      <c r="L311" s="106"/>
      <c r="M311" s="106"/>
      <c r="N311" s="106"/>
      <c r="O311" s="106"/>
      <c r="P311" s="106"/>
      <c r="Q311" s="109"/>
      <c r="R311" s="106"/>
      <c r="S311" s="107"/>
      <c r="T311" s="106"/>
      <c r="U311" s="106"/>
      <c r="V311" s="284">
        <f>Table626893456[[#This Row],[PO Value]]-Table626893456[[#This Row],[Offer Value]]</f>
        <v>0</v>
      </c>
      <c r="W311" s="106"/>
      <c r="X311" s="106"/>
      <c r="Y311" s="661"/>
      <c r="Z311" s="7"/>
      <c r="AA311" s="7"/>
    </row>
    <row r="312" spans="1:27" ht="18">
      <c r="A312" s="106"/>
      <c r="B312" s="107"/>
      <c r="C312" s="105"/>
      <c r="D312" s="105"/>
      <c r="E312" s="105"/>
      <c r="F312" s="105"/>
      <c r="G312" s="105"/>
      <c r="H312" s="546"/>
      <c r="I312" s="105"/>
      <c r="J312" s="545"/>
      <c r="K312" s="108"/>
      <c r="L312" s="106"/>
      <c r="M312" s="106"/>
      <c r="N312" s="106"/>
      <c r="O312" s="106"/>
      <c r="P312" s="106"/>
      <c r="Q312" s="109"/>
      <c r="R312" s="106"/>
      <c r="S312" s="107"/>
      <c r="T312" s="106"/>
      <c r="U312" s="106"/>
      <c r="V312" s="284">
        <f>Table626893456[[#This Row],[PO Value]]-Table626893456[[#This Row],[Offer Value]]</f>
        <v>0</v>
      </c>
      <c r="W312" s="106"/>
      <c r="X312" s="106"/>
      <c r="Y312" s="661"/>
      <c r="Z312" s="7"/>
      <c r="AA312" s="7"/>
    </row>
    <row r="313" spans="1:27" ht="18">
      <c r="A313" s="106"/>
      <c r="B313" s="107"/>
      <c r="C313" s="105"/>
      <c r="D313" s="105"/>
      <c r="E313" s="105"/>
      <c r="F313" s="105"/>
      <c r="G313" s="105"/>
      <c r="H313" s="546"/>
      <c r="I313" s="105"/>
      <c r="J313" s="545"/>
      <c r="K313" s="108"/>
      <c r="L313" s="106"/>
      <c r="M313" s="106"/>
      <c r="N313" s="106"/>
      <c r="O313" s="106"/>
      <c r="P313" s="106"/>
      <c r="Q313" s="109"/>
      <c r="R313" s="106"/>
      <c r="S313" s="107"/>
      <c r="T313" s="106"/>
      <c r="U313" s="106"/>
      <c r="V313" s="284">
        <f>Table626893456[[#This Row],[PO Value]]-Table626893456[[#This Row],[Offer Value]]</f>
        <v>0</v>
      </c>
      <c r="W313" s="106"/>
      <c r="X313" s="106"/>
      <c r="Y313" s="661"/>
      <c r="Z313" s="7"/>
      <c r="AA313" s="7"/>
    </row>
    <row r="314" spans="1:27" ht="18">
      <c r="A314" s="106"/>
      <c r="B314" s="107"/>
      <c r="C314" s="105"/>
      <c r="D314" s="105"/>
      <c r="E314" s="105"/>
      <c r="F314" s="105"/>
      <c r="G314" s="105"/>
      <c r="H314" s="546"/>
      <c r="I314" s="105"/>
      <c r="J314" s="545"/>
      <c r="K314" s="108"/>
      <c r="L314" s="106"/>
      <c r="M314" s="106"/>
      <c r="N314" s="106"/>
      <c r="O314" s="106"/>
      <c r="P314" s="106"/>
      <c r="Q314" s="109"/>
      <c r="R314" s="107"/>
      <c r="S314" s="107"/>
      <c r="T314" s="106"/>
      <c r="U314" s="106"/>
      <c r="V314" s="284">
        <f>Table626893456[[#This Row],[PO Value]]-Table626893456[[#This Row],[Offer Value]]</f>
        <v>0</v>
      </c>
      <c r="W314" s="106"/>
      <c r="X314" s="106"/>
      <c r="Y314" s="660"/>
      <c r="Z314" s="7"/>
      <c r="AA314" s="7"/>
    </row>
    <row r="315" spans="1:27" ht="18">
      <c r="A315" s="106"/>
      <c r="B315" s="107"/>
      <c r="C315" s="105"/>
      <c r="D315" s="105"/>
      <c r="E315" s="105"/>
      <c r="F315" s="105"/>
      <c r="G315" s="105"/>
      <c r="H315" s="546"/>
      <c r="I315" s="105"/>
      <c r="J315" s="545"/>
      <c r="K315" s="108"/>
      <c r="L315" s="106"/>
      <c r="M315" s="106"/>
      <c r="N315" s="106"/>
      <c r="O315" s="106"/>
      <c r="P315" s="106"/>
      <c r="Q315" s="109"/>
      <c r="R315" s="107"/>
      <c r="S315" s="107"/>
      <c r="T315" s="106"/>
      <c r="U315" s="106"/>
      <c r="V315" s="284">
        <f>Table626893456[[#This Row],[PO Value]]-Table626893456[[#This Row],[Offer Value]]</f>
        <v>0</v>
      </c>
      <c r="W315" s="106"/>
      <c r="X315" s="106"/>
      <c r="Y315" s="660"/>
      <c r="Z315" s="7"/>
      <c r="AA315" s="7"/>
    </row>
    <row r="316" spans="1:27" ht="18">
      <c r="A316" s="106"/>
      <c r="B316" s="107"/>
      <c r="C316" s="105"/>
      <c r="D316" s="105"/>
      <c r="E316" s="105"/>
      <c r="F316" s="105"/>
      <c r="G316" s="105"/>
      <c r="H316" s="546"/>
      <c r="I316" s="105"/>
      <c r="J316" s="545"/>
      <c r="K316" s="108"/>
      <c r="L316" s="106"/>
      <c r="M316" s="107"/>
      <c r="N316" s="106"/>
      <c r="O316" s="106"/>
      <c r="P316" s="106"/>
      <c r="Q316" s="109"/>
      <c r="R316" s="106"/>
      <c r="S316" s="107"/>
      <c r="T316" s="106"/>
      <c r="U316" s="106"/>
      <c r="V316" s="284">
        <f>Table626893456[[#This Row],[PO Value]]-Table626893456[[#This Row],[Offer Value]]</f>
        <v>0</v>
      </c>
      <c r="W316" s="106"/>
      <c r="X316" s="106"/>
      <c r="Y316" s="661"/>
      <c r="Z316" s="7"/>
      <c r="AA316" s="7"/>
    </row>
    <row r="317" spans="1:27" ht="18">
      <c r="A317" s="106"/>
      <c r="B317" s="107"/>
      <c r="C317" s="105"/>
      <c r="D317" s="105"/>
      <c r="E317" s="105"/>
      <c r="F317" s="105"/>
      <c r="G317" s="105"/>
      <c r="H317" s="546"/>
      <c r="I317" s="105"/>
      <c r="J317" s="545"/>
      <c r="K317" s="108"/>
      <c r="L317" s="106"/>
      <c r="M317" s="107"/>
      <c r="N317" s="106"/>
      <c r="O317" s="106"/>
      <c r="P317" s="106"/>
      <c r="Q317" s="109"/>
      <c r="R317" s="106"/>
      <c r="S317" s="107"/>
      <c r="T317" s="106"/>
      <c r="U317" s="106"/>
      <c r="V317" s="284">
        <f>Table626893456[[#This Row],[PO Value]]-Table626893456[[#This Row],[Offer Value]]</f>
        <v>0</v>
      </c>
      <c r="W317" s="106"/>
      <c r="X317" s="106"/>
      <c r="Y317" s="661"/>
      <c r="Z317" s="7"/>
      <c r="AA317" s="7"/>
    </row>
    <row r="318" spans="1:27" ht="18">
      <c r="A318" s="106"/>
      <c r="B318" s="107"/>
      <c r="C318" s="105"/>
      <c r="D318" s="105"/>
      <c r="E318" s="105"/>
      <c r="F318" s="105"/>
      <c r="G318" s="105"/>
      <c r="H318" s="546"/>
      <c r="I318" s="105"/>
      <c r="J318" s="545"/>
      <c r="K318" s="108"/>
      <c r="L318" s="106"/>
      <c r="M318" s="106"/>
      <c r="N318" s="106"/>
      <c r="O318" s="106"/>
      <c r="P318" s="106"/>
      <c r="Q318" s="109"/>
      <c r="R318" s="106"/>
      <c r="S318" s="107"/>
      <c r="T318" s="106"/>
      <c r="U318" s="106"/>
      <c r="V318" s="284">
        <f>Table626893456[[#This Row],[PO Value]]-Table626893456[[#This Row],[Offer Value]]</f>
        <v>0</v>
      </c>
      <c r="W318" s="106"/>
      <c r="X318" s="106"/>
      <c r="Y318" s="661"/>
      <c r="Z318" s="7"/>
      <c r="AA318" s="7"/>
    </row>
    <row r="319" spans="1:27" ht="18">
      <c r="A319" s="106"/>
      <c r="B319" s="107"/>
      <c r="C319" s="105"/>
      <c r="D319" s="105"/>
      <c r="E319" s="105"/>
      <c r="F319" s="105"/>
      <c r="G319" s="105"/>
      <c r="H319" s="546"/>
      <c r="I319" s="105"/>
      <c r="J319" s="545"/>
      <c r="K319" s="108"/>
      <c r="L319" s="106"/>
      <c r="M319" s="106"/>
      <c r="N319" s="106"/>
      <c r="O319" s="106"/>
      <c r="P319" s="106"/>
      <c r="Q319" s="109"/>
      <c r="R319" s="106"/>
      <c r="S319" s="107"/>
      <c r="T319" s="106"/>
      <c r="U319" s="106"/>
      <c r="V319" s="284">
        <f>Table626893456[[#This Row],[PO Value]]-Table626893456[[#This Row],[Offer Value]]</f>
        <v>0</v>
      </c>
      <c r="W319" s="106"/>
      <c r="X319" s="106"/>
      <c r="Y319" s="661"/>
      <c r="Z319" s="7"/>
      <c r="AA319" s="7"/>
    </row>
    <row r="320" spans="1:27" ht="18">
      <c r="A320" s="106"/>
      <c r="B320" s="107"/>
      <c r="C320" s="105"/>
      <c r="D320" s="105"/>
      <c r="E320" s="105"/>
      <c r="F320" s="105"/>
      <c r="G320" s="105"/>
      <c r="H320" s="546"/>
      <c r="I320" s="105"/>
      <c r="J320" s="545"/>
      <c r="K320" s="108"/>
      <c r="L320" s="106"/>
      <c r="M320" s="106"/>
      <c r="N320" s="106"/>
      <c r="O320" s="106"/>
      <c r="P320" s="106"/>
      <c r="Q320" s="109"/>
      <c r="R320" s="106"/>
      <c r="S320" s="107"/>
      <c r="T320" s="106"/>
      <c r="U320" s="106"/>
      <c r="V320" s="284">
        <f>Table626893456[[#This Row],[PO Value]]-Table626893456[[#This Row],[Offer Value]]</f>
        <v>0</v>
      </c>
      <c r="W320" s="106"/>
      <c r="X320" s="106"/>
      <c r="Y320" s="661"/>
      <c r="Z320" s="7"/>
      <c r="AA320" s="7"/>
    </row>
    <row r="321" spans="1:27" ht="18">
      <c r="A321" s="106"/>
      <c r="B321" s="107"/>
      <c r="C321" s="105"/>
      <c r="D321" s="105"/>
      <c r="E321" s="105"/>
      <c r="F321" s="105"/>
      <c r="G321" s="105"/>
      <c r="H321" s="546"/>
      <c r="I321" s="105"/>
      <c r="J321" s="545"/>
      <c r="K321" s="108"/>
      <c r="L321" s="106"/>
      <c r="M321" s="106"/>
      <c r="N321" s="106"/>
      <c r="O321" s="106"/>
      <c r="P321" s="106"/>
      <c r="Q321" s="109"/>
      <c r="R321" s="107"/>
      <c r="S321" s="107"/>
      <c r="T321" s="106"/>
      <c r="U321" s="106"/>
      <c r="V321" s="284">
        <f>Table626893456[[#This Row],[PO Value]]-Table626893456[[#This Row],[Offer Value]]</f>
        <v>0</v>
      </c>
      <c r="W321" s="106"/>
      <c r="X321" s="106"/>
      <c r="Y321" s="660"/>
      <c r="Z321" s="7"/>
      <c r="AA321" s="7"/>
    </row>
    <row r="322" spans="1:27" ht="18">
      <c r="A322" s="106"/>
      <c r="B322" s="107"/>
      <c r="C322" s="105"/>
      <c r="D322" s="105"/>
      <c r="E322" s="105"/>
      <c r="F322" s="105"/>
      <c r="G322" s="105"/>
      <c r="H322" s="546"/>
      <c r="I322" s="105"/>
      <c r="J322" s="545"/>
      <c r="K322" s="108"/>
      <c r="L322" s="106"/>
      <c r="M322" s="106"/>
      <c r="N322" s="106"/>
      <c r="O322" s="106"/>
      <c r="P322" s="106"/>
      <c r="Q322" s="109"/>
      <c r="R322" s="106"/>
      <c r="S322" s="107"/>
      <c r="T322" s="106"/>
      <c r="U322" s="106"/>
      <c r="V322" s="284">
        <f>Table626893456[[#This Row],[PO Value]]-Table626893456[[#This Row],[Offer Value]]</f>
        <v>0</v>
      </c>
      <c r="W322" s="106"/>
      <c r="X322" s="106"/>
      <c r="Y322" s="661"/>
      <c r="Z322" s="7"/>
      <c r="AA322" s="7"/>
    </row>
    <row r="323" spans="1:27" ht="18">
      <c r="A323" s="106"/>
      <c r="B323" s="107"/>
      <c r="C323" s="105"/>
      <c r="D323" s="105"/>
      <c r="E323" s="105"/>
      <c r="F323" s="105"/>
      <c r="G323" s="105"/>
      <c r="H323" s="546"/>
      <c r="I323" s="105"/>
      <c r="J323" s="545"/>
      <c r="K323" s="108"/>
      <c r="L323" s="106"/>
      <c r="M323" s="106"/>
      <c r="N323" s="106"/>
      <c r="O323" s="106"/>
      <c r="P323" s="106"/>
      <c r="Q323" s="109"/>
      <c r="R323" s="106"/>
      <c r="S323" s="107"/>
      <c r="T323" s="106"/>
      <c r="U323" s="106"/>
      <c r="V323" s="284">
        <f>Table626893456[[#This Row],[PO Value]]-Table626893456[[#This Row],[Offer Value]]</f>
        <v>0</v>
      </c>
      <c r="W323" s="106"/>
      <c r="X323" s="106"/>
      <c r="Y323" s="661"/>
      <c r="Z323" s="7"/>
      <c r="AA323" s="7"/>
    </row>
    <row r="324" spans="1:27" ht="18">
      <c r="A324" s="106"/>
      <c r="B324" s="107"/>
      <c r="C324" s="105"/>
      <c r="D324" s="105"/>
      <c r="E324" s="105"/>
      <c r="F324" s="105"/>
      <c r="G324" s="105"/>
      <c r="H324" s="546"/>
      <c r="I324" s="105"/>
      <c r="J324" s="545"/>
      <c r="K324" s="108"/>
      <c r="L324" s="106"/>
      <c r="M324" s="106"/>
      <c r="N324" s="106"/>
      <c r="O324" s="106"/>
      <c r="P324" s="106"/>
      <c r="Q324" s="109"/>
      <c r="R324" s="106"/>
      <c r="S324" s="107"/>
      <c r="T324" s="106"/>
      <c r="U324" s="106"/>
      <c r="V324" s="284">
        <f>Table626893456[[#This Row],[PO Value]]-Table626893456[[#This Row],[Offer Value]]</f>
        <v>0</v>
      </c>
      <c r="W324" s="106"/>
      <c r="X324" s="106"/>
      <c r="Y324" s="661"/>
      <c r="Z324" s="7"/>
      <c r="AA324" s="7"/>
    </row>
    <row r="325" spans="1:27" ht="18">
      <c r="A325" s="106"/>
      <c r="B325" s="107"/>
      <c r="C325" s="105"/>
      <c r="D325" s="105"/>
      <c r="E325" s="105"/>
      <c r="F325" s="105"/>
      <c r="G325" s="105"/>
      <c r="H325" s="546"/>
      <c r="I325" s="105"/>
      <c r="J325" s="545"/>
      <c r="K325" s="108"/>
      <c r="L325" s="106"/>
      <c r="M325" s="107"/>
      <c r="N325" s="106"/>
      <c r="O325" s="106"/>
      <c r="P325" s="106"/>
      <c r="Q325" s="109"/>
      <c r="R325" s="106"/>
      <c r="S325" s="107"/>
      <c r="T325" s="106"/>
      <c r="U325" s="106"/>
      <c r="V325" s="284">
        <f>Table626893456[[#This Row],[PO Value]]-Table626893456[[#This Row],[Offer Value]]</f>
        <v>0</v>
      </c>
      <c r="W325" s="106"/>
      <c r="X325" s="106"/>
      <c r="Y325" s="661"/>
      <c r="Z325" s="7"/>
      <c r="AA325" s="7"/>
    </row>
    <row r="326" spans="1:27" ht="18">
      <c r="A326" s="106"/>
      <c r="B326" s="107"/>
      <c r="C326" s="105"/>
      <c r="D326" s="105"/>
      <c r="E326" s="105"/>
      <c r="F326" s="105"/>
      <c r="G326" s="105"/>
      <c r="H326" s="546"/>
      <c r="I326" s="105"/>
      <c r="J326" s="545"/>
      <c r="K326" s="108"/>
      <c r="L326" s="106"/>
      <c r="M326" s="106"/>
      <c r="N326" s="106"/>
      <c r="O326" s="106"/>
      <c r="P326" s="106"/>
      <c r="Q326" s="109"/>
      <c r="R326" s="107"/>
      <c r="S326" s="107"/>
      <c r="T326" s="106"/>
      <c r="U326" s="106"/>
      <c r="V326" s="284">
        <f>Table626893456[[#This Row],[PO Value]]-Table626893456[[#This Row],[Offer Value]]</f>
        <v>0</v>
      </c>
      <c r="W326" s="106"/>
      <c r="X326" s="106"/>
      <c r="Y326" s="660"/>
      <c r="Z326" s="7"/>
      <c r="AA326" s="7"/>
    </row>
    <row r="327" spans="1:27" ht="18">
      <c r="A327" s="106"/>
      <c r="B327" s="106"/>
      <c r="C327" s="105"/>
      <c r="D327" s="105"/>
      <c r="E327" s="105"/>
      <c r="F327" s="105"/>
      <c r="G327" s="105"/>
      <c r="H327" s="546"/>
      <c r="I327" s="105"/>
      <c r="J327" s="545"/>
      <c r="K327" s="108"/>
      <c r="L327" s="106"/>
      <c r="M327" s="106"/>
      <c r="N327" s="106"/>
      <c r="O327" s="106"/>
      <c r="P327" s="106"/>
      <c r="Q327" s="109"/>
      <c r="R327" s="106"/>
      <c r="S327" s="107"/>
      <c r="T327" s="106"/>
      <c r="U327" s="106"/>
      <c r="V327" s="284">
        <f>Table626893456[[#This Row],[PO Value]]-Table626893456[[#This Row],[Offer Value]]</f>
        <v>0</v>
      </c>
      <c r="W327" s="106"/>
      <c r="X327" s="106"/>
      <c r="Y327" s="661"/>
      <c r="Z327" s="7"/>
      <c r="AA327" s="7"/>
    </row>
    <row r="328" spans="1:27" ht="18">
      <c r="A328" s="106"/>
      <c r="B328" s="106"/>
      <c r="C328" s="105"/>
      <c r="D328" s="105"/>
      <c r="E328" s="105"/>
      <c r="F328" s="105"/>
      <c r="G328" s="105"/>
      <c r="H328" s="546"/>
      <c r="I328" s="105"/>
      <c r="J328" s="545"/>
      <c r="K328" s="108"/>
      <c r="L328" s="106"/>
      <c r="M328" s="107"/>
      <c r="N328" s="106"/>
      <c r="O328" s="106"/>
      <c r="P328" s="106"/>
      <c r="Q328" s="109"/>
      <c r="R328" s="106"/>
      <c r="S328" s="107"/>
      <c r="T328" s="106"/>
      <c r="U328" s="106"/>
      <c r="V328" s="284">
        <f>Table626893456[[#This Row],[PO Value]]-Table626893456[[#This Row],[Offer Value]]</f>
        <v>0</v>
      </c>
      <c r="W328" s="106"/>
      <c r="X328" s="106"/>
      <c r="Y328" s="661"/>
      <c r="Z328" s="7"/>
      <c r="AA328" s="7"/>
    </row>
    <row r="329" spans="1:27" ht="18">
      <c r="A329" s="106"/>
      <c r="B329" s="106"/>
      <c r="C329" s="105"/>
      <c r="D329" s="105"/>
      <c r="E329" s="105"/>
      <c r="F329" s="105"/>
      <c r="G329" s="105"/>
      <c r="H329" s="546"/>
      <c r="I329" s="105"/>
      <c r="J329" s="545"/>
      <c r="K329" s="108"/>
      <c r="L329" s="106"/>
      <c r="M329" s="107"/>
      <c r="N329" s="106"/>
      <c r="O329" s="106"/>
      <c r="P329" s="106"/>
      <c r="Q329" s="109"/>
      <c r="R329" s="106"/>
      <c r="S329" s="107"/>
      <c r="T329" s="106"/>
      <c r="U329" s="106"/>
      <c r="V329" s="284">
        <f>Table626893456[[#This Row],[PO Value]]-Table626893456[[#This Row],[Offer Value]]</f>
        <v>0</v>
      </c>
      <c r="W329" s="106"/>
      <c r="X329" s="106"/>
      <c r="Y329" s="661"/>
      <c r="Z329" s="7"/>
      <c r="AA329" s="7"/>
    </row>
    <row r="330" spans="1:27" ht="18">
      <c r="A330" s="106"/>
      <c r="B330" s="106"/>
      <c r="C330" s="105"/>
      <c r="D330" s="105"/>
      <c r="E330" s="105"/>
      <c r="F330" s="105"/>
      <c r="G330" s="105"/>
      <c r="H330" s="546"/>
      <c r="I330" s="105"/>
      <c r="J330" s="545"/>
      <c r="K330" s="108"/>
      <c r="L330" s="106"/>
      <c r="M330" s="107"/>
      <c r="N330" s="106"/>
      <c r="O330" s="106"/>
      <c r="P330" s="106"/>
      <c r="Q330" s="109"/>
      <c r="R330" s="106"/>
      <c r="S330" s="107"/>
      <c r="T330" s="106"/>
      <c r="U330" s="106"/>
      <c r="V330" s="284">
        <f>Table626893456[[#This Row],[PO Value]]-Table626893456[[#This Row],[Offer Value]]</f>
        <v>0</v>
      </c>
      <c r="W330" s="106"/>
      <c r="X330" s="106"/>
      <c r="Y330" s="661"/>
      <c r="Z330" s="7"/>
      <c r="AA330" s="7"/>
    </row>
    <row r="331" spans="1:27" ht="18">
      <c r="A331" s="106"/>
      <c r="B331" s="106"/>
      <c r="C331" s="105"/>
      <c r="D331" s="105"/>
      <c r="E331" s="105"/>
      <c r="F331" s="105"/>
      <c r="G331" s="105"/>
      <c r="H331" s="546"/>
      <c r="I331" s="105"/>
      <c r="J331" s="545"/>
      <c r="K331" s="108"/>
      <c r="L331" s="106"/>
      <c r="M331" s="107"/>
      <c r="N331" s="106"/>
      <c r="O331" s="106"/>
      <c r="P331" s="106"/>
      <c r="Q331" s="109"/>
      <c r="R331" s="106"/>
      <c r="S331" s="107"/>
      <c r="T331" s="106"/>
      <c r="U331" s="106"/>
      <c r="V331" s="284">
        <f>Table626893456[[#This Row],[PO Value]]-Table626893456[[#This Row],[Offer Value]]</f>
        <v>0</v>
      </c>
      <c r="W331" s="106"/>
      <c r="X331" s="106"/>
      <c r="Y331" s="661"/>
      <c r="Z331" s="7"/>
      <c r="AA331" s="7"/>
    </row>
    <row r="332" spans="1:27" ht="18">
      <c r="A332" s="106"/>
      <c r="B332" s="106"/>
      <c r="C332" s="105"/>
      <c r="D332" s="105"/>
      <c r="E332" s="105"/>
      <c r="F332" s="105"/>
      <c r="G332" s="105"/>
      <c r="H332" s="546"/>
      <c r="I332" s="105"/>
      <c r="J332" s="545"/>
      <c r="K332" s="108"/>
      <c r="L332" s="106"/>
      <c r="M332" s="107"/>
      <c r="N332" s="106"/>
      <c r="O332" s="106"/>
      <c r="P332" s="106"/>
      <c r="Q332" s="109"/>
      <c r="R332" s="106"/>
      <c r="S332" s="107"/>
      <c r="T332" s="106"/>
      <c r="U332" s="106"/>
      <c r="V332" s="284">
        <f>Table626893456[[#This Row],[PO Value]]-Table626893456[[#This Row],[Offer Value]]</f>
        <v>0</v>
      </c>
      <c r="W332" s="106"/>
      <c r="X332" s="106"/>
      <c r="Y332" s="661"/>
      <c r="Z332" s="7"/>
      <c r="AA332" s="7"/>
    </row>
    <row r="333" spans="1:27" ht="18">
      <c r="A333" s="106"/>
      <c r="B333" s="106"/>
      <c r="C333" s="105"/>
      <c r="D333" s="105"/>
      <c r="E333" s="105"/>
      <c r="F333" s="105"/>
      <c r="G333" s="105"/>
      <c r="H333" s="546"/>
      <c r="I333" s="105"/>
      <c r="J333" s="545"/>
      <c r="K333" s="108"/>
      <c r="L333" s="106"/>
      <c r="M333" s="107"/>
      <c r="N333" s="106"/>
      <c r="O333" s="106"/>
      <c r="P333" s="106"/>
      <c r="Q333" s="109"/>
      <c r="R333" s="106"/>
      <c r="S333" s="107"/>
      <c r="T333" s="106"/>
      <c r="U333" s="106"/>
      <c r="V333" s="284">
        <f>Table626893456[[#This Row],[PO Value]]-Table626893456[[#This Row],[Offer Value]]</f>
        <v>0</v>
      </c>
      <c r="W333" s="106"/>
      <c r="X333" s="106"/>
      <c r="Y333" s="661"/>
      <c r="Z333" s="7"/>
      <c r="AA333" s="7"/>
    </row>
    <row r="334" spans="1:27" ht="18">
      <c r="A334" s="106"/>
      <c r="B334" s="106"/>
      <c r="C334" s="105"/>
      <c r="D334" s="105"/>
      <c r="E334" s="105"/>
      <c r="F334" s="105"/>
      <c r="G334" s="105"/>
      <c r="H334" s="546"/>
      <c r="I334" s="105"/>
      <c r="J334" s="545"/>
      <c r="K334" s="108"/>
      <c r="L334" s="106"/>
      <c r="M334" s="107"/>
      <c r="N334" s="106"/>
      <c r="O334" s="106"/>
      <c r="P334" s="106"/>
      <c r="Q334" s="109"/>
      <c r="R334" s="106"/>
      <c r="S334" s="107"/>
      <c r="T334" s="106"/>
      <c r="U334" s="106"/>
      <c r="V334" s="284">
        <f>Table626893456[[#This Row],[PO Value]]-Table626893456[[#This Row],[Offer Value]]</f>
        <v>0</v>
      </c>
      <c r="W334" s="106"/>
      <c r="X334" s="106"/>
      <c r="Y334" s="661"/>
      <c r="Z334" s="7"/>
      <c r="AA334" s="7"/>
    </row>
    <row r="335" spans="1:27" ht="18">
      <c r="A335" s="106"/>
      <c r="B335" s="106"/>
      <c r="C335" s="105"/>
      <c r="D335" s="105"/>
      <c r="E335" s="105"/>
      <c r="F335" s="105"/>
      <c r="G335" s="105"/>
      <c r="H335" s="546"/>
      <c r="I335" s="105"/>
      <c r="J335" s="545"/>
      <c r="K335" s="108"/>
      <c r="L335" s="106"/>
      <c r="M335" s="107"/>
      <c r="N335" s="106"/>
      <c r="O335" s="106"/>
      <c r="P335" s="106"/>
      <c r="Q335" s="109"/>
      <c r="R335" s="106"/>
      <c r="S335" s="107"/>
      <c r="T335" s="106"/>
      <c r="U335" s="106"/>
      <c r="V335" s="284">
        <f>Table626893456[[#This Row],[PO Value]]-Table626893456[[#This Row],[Offer Value]]</f>
        <v>0</v>
      </c>
      <c r="W335" s="106"/>
      <c r="X335" s="106"/>
      <c r="Y335" s="661"/>
      <c r="Z335" s="7"/>
      <c r="AA335" s="7"/>
    </row>
    <row r="336" spans="1:27" ht="18">
      <c r="A336" s="106"/>
      <c r="B336" s="106"/>
      <c r="C336" s="105"/>
      <c r="D336" s="105"/>
      <c r="E336" s="105"/>
      <c r="F336" s="105"/>
      <c r="G336" s="105"/>
      <c r="H336" s="546"/>
      <c r="I336" s="105"/>
      <c r="J336" s="545"/>
      <c r="K336" s="108"/>
      <c r="L336" s="106"/>
      <c r="M336" s="106"/>
      <c r="N336" s="106"/>
      <c r="O336" s="106"/>
      <c r="P336" s="106"/>
      <c r="Q336" s="109"/>
      <c r="R336" s="106"/>
      <c r="S336" s="107"/>
      <c r="T336" s="106"/>
      <c r="U336" s="106"/>
      <c r="V336" s="284">
        <f>Table626893456[[#This Row],[PO Value]]-Table626893456[[#This Row],[Offer Value]]</f>
        <v>0</v>
      </c>
      <c r="W336" s="106"/>
      <c r="X336" s="106"/>
      <c r="Y336" s="661"/>
      <c r="Z336" s="7"/>
      <c r="AA336" s="7"/>
    </row>
    <row r="337" spans="1:27" ht="18">
      <c r="A337" s="106"/>
      <c r="B337" s="106"/>
      <c r="C337" s="105"/>
      <c r="D337" s="105"/>
      <c r="E337" s="105"/>
      <c r="F337" s="105"/>
      <c r="G337" s="105"/>
      <c r="H337" s="546"/>
      <c r="I337" s="105"/>
      <c r="J337" s="545"/>
      <c r="K337" s="108"/>
      <c r="L337" s="106"/>
      <c r="M337" s="106"/>
      <c r="N337" s="106"/>
      <c r="O337" s="106"/>
      <c r="P337" s="106"/>
      <c r="Q337" s="109"/>
      <c r="R337" s="106"/>
      <c r="S337" s="107"/>
      <c r="T337" s="106"/>
      <c r="U337" s="106"/>
      <c r="V337" s="284">
        <f>Table626893456[[#This Row],[PO Value]]-Table626893456[[#This Row],[Offer Value]]</f>
        <v>0</v>
      </c>
      <c r="W337" s="106"/>
      <c r="X337" s="106"/>
      <c r="Y337" s="661"/>
      <c r="Z337" s="7"/>
      <c r="AA337" s="7"/>
    </row>
    <row r="338" spans="1:27" ht="18">
      <c r="A338" s="106"/>
      <c r="B338" s="106"/>
      <c r="C338" s="105"/>
      <c r="D338" s="105"/>
      <c r="E338" s="105"/>
      <c r="F338" s="105"/>
      <c r="G338" s="105"/>
      <c r="H338" s="546"/>
      <c r="I338" s="105"/>
      <c r="J338" s="545"/>
      <c r="K338" s="108"/>
      <c r="L338" s="106"/>
      <c r="M338" s="106"/>
      <c r="N338" s="106"/>
      <c r="O338" s="106"/>
      <c r="P338" s="106"/>
      <c r="Q338" s="109"/>
      <c r="R338" s="106"/>
      <c r="S338" s="107"/>
      <c r="T338" s="106"/>
      <c r="U338" s="106"/>
      <c r="V338" s="284">
        <f>Table626893456[[#This Row],[PO Value]]-Table626893456[[#This Row],[Offer Value]]</f>
        <v>0</v>
      </c>
      <c r="W338" s="106"/>
      <c r="X338" s="106"/>
      <c r="Y338" s="661"/>
      <c r="Z338" s="7"/>
      <c r="AA338" s="7"/>
    </row>
    <row r="339" spans="1:27" ht="18">
      <c r="A339" s="106"/>
      <c r="B339" s="106"/>
      <c r="C339" s="105"/>
      <c r="D339" s="105"/>
      <c r="E339" s="105"/>
      <c r="F339" s="105"/>
      <c r="G339" s="105"/>
      <c r="H339" s="546"/>
      <c r="I339" s="105"/>
      <c r="J339" s="545"/>
      <c r="K339" s="108"/>
      <c r="L339" s="106"/>
      <c r="M339" s="106"/>
      <c r="N339" s="106"/>
      <c r="O339" s="106"/>
      <c r="P339" s="106"/>
      <c r="Q339" s="109"/>
      <c r="R339" s="106"/>
      <c r="S339" s="107"/>
      <c r="T339" s="106"/>
      <c r="U339" s="106"/>
      <c r="V339" s="284">
        <f>Table626893456[[#This Row],[PO Value]]-Table626893456[[#This Row],[Offer Value]]</f>
        <v>0</v>
      </c>
      <c r="W339" s="106"/>
      <c r="X339" s="106"/>
      <c r="Y339" s="661"/>
      <c r="Z339" s="7"/>
      <c r="AA339" s="7"/>
    </row>
    <row r="340" spans="1:27" ht="18">
      <c r="A340" s="106"/>
      <c r="B340" s="106"/>
      <c r="C340" s="105"/>
      <c r="D340" s="105"/>
      <c r="E340" s="105"/>
      <c r="F340" s="105"/>
      <c r="G340" s="105"/>
      <c r="H340" s="546"/>
      <c r="I340" s="105"/>
      <c r="J340" s="545"/>
      <c r="K340" s="108"/>
      <c r="L340" s="106"/>
      <c r="M340" s="106"/>
      <c r="N340" s="106"/>
      <c r="O340" s="106"/>
      <c r="P340" s="106"/>
      <c r="Q340" s="109"/>
      <c r="R340" s="106"/>
      <c r="S340" s="107"/>
      <c r="T340" s="106"/>
      <c r="U340" s="106"/>
      <c r="V340" s="284">
        <f>Table626893456[[#This Row],[PO Value]]-Table626893456[[#This Row],[Offer Value]]</f>
        <v>0</v>
      </c>
      <c r="W340" s="106"/>
      <c r="X340" s="106"/>
      <c r="Y340" s="661"/>
      <c r="Z340" s="7"/>
      <c r="AA340" s="7"/>
    </row>
    <row r="341" spans="1:27" ht="18">
      <c r="A341" s="106"/>
      <c r="B341" s="106"/>
      <c r="C341" s="105"/>
      <c r="D341" s="105"/>
      <c r="E341" s="105"/>
      <c r="F341" s="105"/>
      <c r="G341" s="105"/>
      <c r="H341" s="546"/>
      <c r="I341" s="105"/>
      <c r="J341" s="545"/>
      <c r="K341" s="108"/>
      <c r="L341" s="106"/>
      <c r="M341" s="107"/>
      <c r="N341" s="106"/>
      <c r="O341" s="106"/>
      <c r="P341" s="106"/>
      <c r="Q341" s="109"/>
      <c r="R341" s="106"/>
      <c r="S341" s="107"/>
      <c r="T341" s="106"/>
      <c r="U341" s="106"/>
      <c r="V341" s="284">
        <f>Table626893456[[#This Row],[PO Value]]-Table626893456[[#This Row],[Offer Value]]</f>
        <v>0</v>
      </c>
      <c r="W341" s="106"/>
      <c r="X341" s="106"/>
      <c r="Y341" s="661"/>
      <c r="Z341" s="7"/>
      <c r="AA341" s="7"/>
    </row>
    <row r="342" spans="1:27" ht="18">
      <c r="A342" s="106"/>
      <c r="B342" s="106"/>
      <c r="C342" s="105"/>
      <c r="D342" s="105"/>
      <c r="E342" s="105"/>
      <c r="F342" s="105"/>
      <c r="G342" s="105"/>
      <c r="H342" s="546"/>
      <c r="I342" s="105"/>
      <c r="J342" s="545"/>
      <c r="K342" s="108"/>
      <c r="L342" s="106"/>
      <c r="M342" s="106"/>
      <c r="N342" s="106"/>
      <c r="O342" s="106"/>
      <c r="P342" s="106"/>
      <c r="Q342" s="109"/>
      <c r="R342" s="106"/>
      <c r="S342" s="107"/>
      <c r="T342" s="106"/>
      <c r="U342" s="106"/>
      <c r="V342" s="284">
        <f>Table626893456[[#This Row],[PO Value]]-Table626893456[[#This Row],[Offer Value]]</f>
        <v>0</v>
      </c>
      <c r="W342" s="106"/>
      <c r="X342" s="106"/>
      <c r="Y342" s="661"/>
      <c r="Z342" s="7"/>
      <c r="AA342" s="7"/>
    </row>
    <row r="343" spans="1:27" ht="18">
      <c r="A343" s="106"/>
      <c r="B343" s="106"/>
      <c r="C343" s="105"/>
      <c r="D343" s="105"/>
      <c r="E343" s="105"/>
      <c r="F343" s="105"/>
      <c r="G343" s="105"/>
      <c r="H343" s="546"/>
      <c r="I343" s="105"/>
      <c r="J343" s="545"/>
      <c r="K343" s="108"/>
      <c r="L343" s="106"/>
      <c r="M343" s="106"/>
      <c r="N343" s="106"/>
      <c r="O343" s="106"/>
      <c r="P343" s="106"/>
      <c r="Q343" s="109"/>
      <c r="R343" s="106"/>
      <c r="S343" s="107"/>
      <c r="T343" s="106"/>
      <c r="U343" s="106"/>
      <c r="V343" s="284">
        <f>Table626893456[[#This Row],[PO Value]]-Table626893456[[#This Row],[Offer Value]]</f>
        <v>0</v>
      </c>
      <c r="W343" s="106"/>
      <c r="X343" s="106"/>
      <c r="Y343" s="661"/>
      <c r="Z343" s="7"/>
      <c r="AA343" s="7"/>
    </row>
    <row r="344" spans="1:27" ht="18">
      <c r="A344" s="106"/>
      <c r="B344" s="106"/>
      <c r="C344" s="105"/>
      <c r="D344" s="105"/>
      <c r="E344" s="105"/>
      <c r="F344" s="105"/>
      <c r="G344" s="105"/>
      <c r="H344" s="546"/>
      <c r="I344" s="105"/>
      <c r="J344" s="545"/>
      <c r="K344" s="108"/>
      <c r="L344" s="106"/>
      <c r="M344" s="107"/>
      <c r="N344" s="106"/>
      <c r="O344" s="106"/>
      <c r="P344" s="106"/>
      <c r="Q344" s="109"/>
      <c r="R344" s="106"/>
      <c r="S344" s="107"/>
      <c r="T344" s="106"/>
      <c r="U344" s="106"/>
      <c r="V344" s="284">
        <f>Table626893456[[#This Row],[PO Value]]-Table626893456[[#This Row],[Offer Value]]</f>
        <v>0</v>
      </c>
      <c r="W344" s="106"/>
      <c r="X344" s="106"/>
      <c r="Y344" s="661"/>
      <c r="Z344" s="7"/>
      <c r="AA344" s="7"/>
    </row>
    <row r="345" spans="1:27" ht="18">
      <c r="A345" s="106"/>
      <c r="B345" s="106"/>
      <c r="C345" s="105"/>
      <c r="D345" s="105"/>
      <c r="E345" s="105"/>
      <c r="F345" s="105"/>
      <c r="G345" s="105"/>
      <c r="H345" s="546"/>
      <c r="I345" s="105"/>
      <c r="J345" s="545"/>
      <c r="K345" s="108"/>
      <c r="L345" s="106"/>
      <c r="M345" s="106"/>
      <c r="N345" s="106"/>
      <c r="O345" s="106"/>
      <c r="P345" s="106"/>
      <c r="Q345" s="109"/>
      <c r="R345" s="106"/>
      <c r="S345" s="107"/>
      <c r="T345" s="106"/>
      <c r="U345" s="106"/>
      <c r="V345" s="284">
        <f>Table626893456[[#This Row],[PO Value]]-Table626893456[[#This Row],[Offer Value]]</f>
        <v>0</v>
      </c>
      <c r="W345" s="106"/>
      <c r="X345" s="106"/>
      <c r="Y345" s="661"/>
      <c r="Z345" s="7"/>
      <c r="AA345" s="7"/>
    </row>
    <row r="346" spans="1:27" ht="18">
      <c r="A346" s="106"/>
      <c r="B346" s="106"/>
      <c r="C346" s="105"/>
      <c r="D346" s="105"/>
      <c r="E346" s="105"/>
      <c r="F346" s="105"/>
      <c r="G346" s="105"/>
      <c r="H346" s="546"/>
      <c r="I346" s="105"/>
      <c r="J346" s="545"/>
      <c r="K346" s="108"/>
      <c r="L346" s="106"/>
      <c r="M346" s="106"/>
      <c r="N346" s="106"/>
      <c r="O346" s="106"/>
      <c r="P346" s="106"/>
      <c r="Q346" s="109"/>
      <c r="R346" s="107"/>
      <c r="S346" s="107"/>
      <c r="T346" s="106"/>
      <c r="U346" s="106"/>
      <c r="V346" s="284">
        <f>Table626893456[[#This Row],[PO Value]]-Table626893456[[#This Row],[Offer Value]]</f>
        <v>0</v>
      </c>
      <c r="W346" s="106"/>
      <c r="X346" s="106"/>
      <c r="Y346" s="660"/>
      <c r="Z346" s="7"/>
      <c r="AA346" s="7"/>
    </row>
    <row r="347" spans="1:27" ht="18">
      <c r="A347" s="106"/>
      <c r="B347" s="106"/>
      <c r="C347" s="105"/>
      <c r="D347" s="105"/>
      <c r="E347" s="105"/>
      <c r="F347" s="105"/>
      <c r="G347" s="105"/>
      <c r="H347" s="546"/>
      <c r="I347" s="105"/>
      <c r="J347" s="545"/>
      <c r="K347" s="108"/>
      <c r="L347" s="106"/>
      <c r="M347" s="106"/>
      <c r="N347" s="106"/>
      <c r="O347" s="106"/>
      <c r="P347" s="106"/>
      <c r="Q347" s="109"/>
      <c r="R347" s="106"/>
      <c r="S347" s="107"/>
      <c r="T347" s="106"/>
      <c r="U347" s="106"/>
      <c r="V347" s="284">
        <f>Table626893456[[#This Row],[PO Value]]-Table626893456[[#This Row],[Offer Value]]</f>
        <v>0</v>
      </c>
      <c r="W347" s="106"/>
      <c r="X347" s="106"/>
      <c r="Y347" s="661"/>
      <c r="Z347" s="7"/>
      <c r="AA347" s="7"/>
    </row>
    <row r="348" spans="1:27" ht="18">
      <c r="A348" s="106"/>
      <c r="B348" s="106"/>
      <c r="C348" s="105"/>
      <c r="D348" s="105"/>
      <c r="E348" s="105"/>
      <c r="F348" s="105"/>
      <c r="G348" s="105"/>
      <c r="H348" s="546"/>
      <c r="I348" s="105"/>
      <c r="J348" s="545"/>
      <c r="K348" s="108"/>
      <c r="L348" s="106"/>
      <c r="M348" s="107"/>
      <c r="N348" s="106"/>
      <c r="O348" s="106"/>
      <c r="P348" s="106"/>
      <c r="Q348" s="109"/>
      <c r="R348" s="106"/>
      <c r="S348" s="107"/>
      <c r="T348" s="106"/>
      <c r="U348" s="106"/>
      <c r="V348" s="284">
        <f>Table626893456[[#This Row],[PO Value]]-Table626893456[[#This Row],[Offer Value]]</f>
        <v>0</v>
      </c>
      <c r="W348" s="106"/>
      <c r="X348" s="106"/>
      <c r="Y348" s="661"/>
      <c r="Z348" s="7"/>
      <c r="AA348" s="7"/>
    </row>
    <row r="349" spans="1:27" ht="18">
      <c r="A349" s="106"/>
      <c r="B349" s="106"/>
      <c r="C349" s="105"/>
      <c r="D349" s="105"/>
      <c r="E349" s="105"/>
      <c r="F349" s="105"/>
      <c r="G349" s="105"/>
      <c r="H349" s="546"/>
      <c r="I349" s="105"/>
      <c r="J349" s="545"/>
      <c r="K349" s="108"/>
      <c r="L349" s="106"/>
      <c r="M349" s="106"/>
      <c r="N349" s="106"/>
      <c r="O349" s="106"/>
      <c r="P349" s="106"/>
      <c r="Q349" s="109"/>
      <c r="R349" s="106"/>
      <c r="S349" s="107"/>
      <c r="T349" s="106"/>
      <c r="U349" s="106"/>
      <c r="V349" s="284">
        <f>Table626893456[[#This Row],[PO Value]]-Table626893456[[#This Row],[Offer Value]]</f>
        <v>0</v>
      </c>
      <c r="W349" s="106"/>
      <c r="X349" s="106"/>
      <c r="Y349" s="661"/>
      <c r="Z349" s="7"/>
      <c r="AA349" s="7"/>
    </row>
    <row r="350" spans="1:27" ht="18">
      <c r="A350" s="106"/>
      <c r="B350" s="106"/>
      <c r="C350" s="105"/>
      <c r="D350" s="105"/>
      <c r="E350" s="105"/>
      <c r="F350" s="105"/>
      <c r="G350" s="105"/>
      <c r="H350" s="546"/>
      <c r="I350" s="105"/>
      <c r="J350" s="545"/>
      <c r="K350" s="108"/>
      <c r="L350" s="106"/>
      <c r="M350" s="106"/>
      <c r="N350" s="106"/>
      <c r="O350" s="106"/>
      <c r="P350" s="106"/>
      <c r="Q350" s="109"/>
      <c r="R350" s="106"/>
      <c r="S350" s="107"/>
      <c r="T350" s="106"/>
      <c r="U350" s="106"/>
      <c r="V350" s="284">
        <f>Table626893456[[#This Row],[PO Value]]-Table626893456[[#This Row],[Offer Value]]</f>
        <v>0</v>
      </c>
      <c r="W350" s="106"/>
      <c r="X350" s="106"/>
      <c r="Y350" s="661"/>
      <c r="Z350" s="7"/>
      <c r="AA350" s="7"/>
    </row>
    <row r="351" spans="1:27" ht="18">
      <c r="A351" s="106"/>
      <c r="B351" s="106"/>
      <c r="C351" s="105"/>
      <c r="D351" s="105"/>
      <c r="E351" s="105"/>
      <c r="F351" s="105"/>
      <c r="G351" s="105"/>
      <c r="H351" s="546"/>
      <c r="I351" s="105"/>
      <c r="J351" s="545"/>
      <c r="K351" s="108"/>
      <c r="L351" s="106"/>
      <c r="M351" s="106"/>
      <c r="N351" s="106"/>
      <c r="O351" s="106"/>
      <c r="P351" s="106"/>
      <c r="Q351" s="109"/>
      <c r="R351" s="106"/>
      <c r="S351" s="107"/>
      <c r="T351" s="106"/>
      <c r="U351" s="106"/>
      <c r="V351" s="284">
        <f>Table626893456[[#This Row],[PO Value]]-Table626893456[[#This Row],[Offer Value]]</f>
        <v>0</v>
      </c>
      <c r="W351" s="106"/>
      <c r="X351" s="106"/>
      <c r="Y351" s="661"/>
      <c r="Z351" s="7"/>
      <c r="AA351" s="7"/>
    </row>
    <row r="352" spans="1:27" ht="18">
      <c r="A352" s="106"/>
      <c r="B352" s="106"/>
      <c r="C352" s="105"/>
      <c r="D352" s="105"/>
      <c r="E352" s="105"/>
      <c r="F352" s="105"/>
      <c r="G352" s="105"/>
      <c r="H352" s="546"/>
      <c r="I352" s="105"/>
      <c r="J352" s="545"/>
      <c r="K352" s="108"/>
      <c r="L352" s="106"/>
      <c r="M352" s="107"/>
      <c r="N352" s="106"/>
      <c r="O352" s="106"/>
      <c r="P352" s="106"/>
      <c r="Q352" s="109"/>
      <c r="R352" s="106"/>
      <c r="S352" s="107"/>
      <c r="T352" s="106"/>
      <c r="U352" s="106"/>
      <c r="V352" s="284">
        <f>Table626893456[[#This Row],[PO Value]]-Table626893456[[#This Row],[Offer Value]]</f>
        <v>0</v>
      </c>
      <c r="W352" s="106"/>
      <c r="X352" s="106"/>
      <c r="Y352" s="661"/>
      <c r="Z352" s="7"/>
      <c r="AA352" s="7"/>
    </row>
    <row r="353" spans="1:27" ht="18">
      <c r="A353" s="106"/>
      <c r="B353" s="106"/>
      <c r="C353" s="105"/>
      <c r="D353" s="105"/>
      <c r="E353" s="105"/>
      <c r="F353" s="105"/>
      <c r="G353" s="105"/>
      <c r="H353" s="546"/>
      <c r="I353" s="105"/>
      <c r="J353" s="545"/>
      <c r="K353" s="108"/>
      <c r="L353" s="106"/>
      <c r="M353" s="107"/>
      <c r="N353" s="106"/>
      <c r="O353" s="106"/>
      <c r="P353" s="106"/>
      <c r="Q353" s="109"/>
      <c r="R353" s="106"/>
      <c r="S353" s="107"/>
      <c r="T353" s="106"/>
      <c r="U353" s="106"/>
      <c r="V353" s="284">
        <f>Table626893456[[#This Row],[PO Value]]-Table626893456[[#This Row],[Offer Value]]</f>
        <v>0</v>
      </c>
      <c r="W353" s="106"/>
      <c r="X353" s="106"/>
      <c r="Y353" s="661"/>
      <c r="Z353" s="7"/>
      <c r="AA353" s="7"/>
    </row>
    <row r="354" spans="1:27" ht="18">
      <c r="A354" s="106"/>
      <c r="B354" s="106"/>
      <c r="C354" s="105"/>
      <c r="D354" s="105"/>
      <c r="E354" s="105"/>
      <c r="F354" s="105"/>
      <c r="G354" s="105"/>
      <c r="H354" s="546"/>
      <c r="I354" s="105"/>
      <c r="J354" s="545"/>
      <c r="K354" s="108"/>
      <c r="L354" s="106"/>
      <c r="M354" s="106"/>
      <c r="N354" s="106"/>
      <c r="O354" s="106"/>
      <c r="P354" s="106"/>
      <c r="Q354" s="109"/>
      <c r="R354" s="107"/>
      <c r="S354" s="107"/>
      <c r="T354" s="106"/>
      <c r="U354" s="106"/>
      <c r="V354" s="284">
        <f>Table626893456[[#This Row],[PO Value]]-Table626893456[[#This Row],[Offer Value]]</f>
        <v>0</v>
      </c>
      <c r="W354" s="106"/>
      <c r="X354" s="106"/>
      <c r="Y354" s="660"/>
      <c r="Z354" s="7"/>
      <c r="AA354" s="7"/>
    </row>
    <row r="355" spans="1:27" ht="18">
      <c r="A355" s="106"/>
      <c r="B355" s="106"/>
      <c r="C355" s="106"/>
      <c r="D355" s="106"/>
      <c r="E355" s="106"/>
      <c r="F355" s="106"/>
      <c r="G355" s="106"/>
      <c r="H355" s="509"/>
      <c r="I355" s="106"/>
      <c r="J355" s="545"/>
      <c r="K355" s="108"/>
      <c r="L355" s="106"/>
      <c r="M355" s="106"/>
      <c r="N355" s="106"/>
      <c r="O355" s="106"/>
      <c r="P355" s="106"/>
      <c r="Q355" s="109"/>
      <c r="R355" s="106"/>
      <c r="S355" s="107"/>
      <c r="T355" s="106"/>
      <c r="U355" s="106"/>
      <c r="V355" s="284">
        <f>Table626893456[[#This Row],[PO Value]]-Table626893456[[#This Row],[Offer Value]]</f>
        <v>0</v>
      </c>
      <c r="W355" s="106"/>
      <c r="X355" s="106"/>
      <c r="Y355" s="661"/>
      <c r="Z355" s="7"/>
      <c r="AA355" s="7"/>
    </row>
    <row r="356" spans="1:27" ht="18">
      <c r="A356" s="106"/>
      <c r="B356" s="106"/>
      <c r="C356" s="106"/>
      <c r="D356" s="106"/>
      <c r="E356" s="106"/>
      <c r="F356" s="106"/>
      <c r="G356" s="106"/>
      <c r="H356" s="509"/>
      <c r="I356" s="106"/>
      <c r="J356" s="545"/>
      <c r="K356" s="108"/>
      <c r="L356" s="106"/>
      <c r="M356" s="106"/>
      <c r="N356" s="106"/>
      <c r="O356" s="106"/>
      <c r="P356" s="106"/>
      <c r="Q356" s="109"/>
      <c r="R356" s="106"/>
      <c r="S356" s="107"/>
      <c r="T356" s="106"/>
      <c r="U356" s="106"/>
      <c r="V356" s="284">
        <f>Table626893456[[#This Row],[PO Value]]-Table626893456[[#This Row],[Offer Value]]</f>
        <v>0</v>
      </c>
      <c r="W356" s="106"/>
      <c r="X356" s="106"/>
      <c r="Y356" s="661"/>
      <c r="Z356" s="7"/>
      <c r="AA356" s="7"/>
    </row>
    <row r="357" spans="1:27" ht="18">
      <c r="A357" s="106"/>
      <c r="B357" s="106"/>
      <c r="C357" s="106"/>
      <c r="D357" s="106"/>
      <c r="E357" s="106"/>
      <c r="F357" s="106"/>
      <c r="G357" s="106"/>
      <c r="H357" s="509"/>
      <c r="I357" s="106"/>
      <c r="J357" s="545"/>
      <c r="K357" s="108"/>
      <c r="L357" s="106"/>
      <c r="M357" s="106"/>
      <c r="N357" s="106"/>
      <c r="O357" s="106"/>
      <c r="P357" s="106"/>
      <c r="Q357" s="109"/>
      <c r="R357" s="106"/>
      <c r="S357" s="107"/>
      <c r="T357" s="106"/>
      <c r="U357" s="106"/>
      <c r="V357" s="284">
        <f>Table626893456[[#This Row],[PO Value]]-Table626893456[[#This Row],[Offer Value]]</f>
        <v>0</v>
      </c>
      <c r="W357" s="106"/>
      <c r="X357" s="106"/>
      <c r="Y357" s="661"/>
      <c r="Z357" s="7"/>
      <c r="AA357" s="7"/>
    </row>
    <row r="358" spans="1:27" ht="18">
      <c r="A358" s="106"/>
      <c r="B358" s="106"/>
      <c r="C358" s="106"/>
      <c r="D358" s="106"/>
      <c r="E358" s="106"/>
      <c r="F358" s="106"/>
      <c r="G358" s="106"/>
      <c r="H358" s="509"/>
      <c r="I358" s="106"/>
      <c r="J358" s="545"/>
      <c r="K358" s="108"/>
      <c r="L358" s="106"/>
      <c r="M358" s="106"/>
      <c r="N358" s="106"/>
      <c r="O358" s="106"/>
      <c r="P358" s="106"/>
      <c r="Q358" s="109"/>
      <c r="R358" s="106"/>
      <c r="S358" s="107"/>
      <c r="T358" s="106"/>
      <c r="U358" s="106"/>
      <c r="V358" s="284">
        <f>Table626893456[[#This Row],[PO Value]]-Table626893456[[#This Row],[Offer Value]]</f>
        <v>0</v>
      </c>
      <c r="W358" s="106"/>
      <c r="X358" s="106"/>
      <c r="Y358" s="661"/>
      <c r="Z358" s="7"/>
      <c r="AA358" s="7"/>
    </row>
    <row r="359" spans="1:27" ht="18">
      <c r="A359" s="106"/>
      <c r="B359" s="106"/>
      <c r="C359" s="106"/>
      <c r="D359" s="106"/>
      <c r="E359" s="106"/>
      <c r="F359" s="106"/>
      <c r="G359" s="106"/>
      <c r="H359" s="509"/>
      <c r="I359" s="106"/>
      <c r="J359" s="545"/>
      <c r="K359" s="108"/>
      <c r="L359" s="106"/>
      <c r="M359" s="106"/>
      <c r="N359" s="106"/>
      <c r="O359" s="106"/>
      <c r="P359" s="106"/>
      <c r="Q359" s="109"/>
      <c r="R359" s="106"/>
      <c r="S359" s="107"/>
      <c r="T359" s="106"/>
      <c r="U359" s="106"/>
      <c r="V359" s="284">
        <f>Table626893456[[#This Row],[PO Value]]-Table626893456[[#This Row],[Offer Value]]</f>
        <v>0</v>
      </c>
      <c r="W359" s="106"/>
      <c r="X359" s="106"/>
      <c r="Y359" s="661"/>
      <c r="Z359" s="7"/>
      <c r="AA359" s="7"/>
    </row>
    <row r="360" spans="1:27" ht="18">
      <c r="A360" s="106"/>
      <c r="B360" s="106"/>
      <c r="C360" s="106"/>
      <c r="D360" s="106"/>
      <c r="E360" s="106"/>
      <c r="F360" s="106"/>
      <c r="G360" s="106"/>
      <c r="H360" s="509"/>
      <c r="I360" s="106"/>
      <c r="J360" s="545"/>
      <c r="K360" s="108"/>
      <c r="L360" s="106"/>
      <c r="M360" s="106"/>
      <c r="N360" s="106"/>
      <c r="O360" s="106"/>
      <c r="P360" s="106"/>
      <c r="Q360" s="109"/>
      <c r="R360" s="106"/>
      <c r="S360" s="107"/>
      <c r="T360" s="106"/>
      <c r="U360" s="106"/>
      <c r="V360" s="284">
        <f>Table626893456[[#This Row],[PO Value]]-Table626893456[[#This Row],[Offer Value]]</f>
        <v>0</v>
      </c>
      <c r="W360" s="106"/>
      <c r="X360" s="106"/>
      <c r="Y360" s="661"/>
      <c r="Z360" s="7"/>
      <c r="AA360" s="7"/>
    </row>
    <row r="361" spans="1:27" ht="18">
      <c r="A361" s="106"/>
      <c r="B361" s="106"/>
      <c r="C361" s="106"/>
      <c r="D361" s="106"/>
      <c r="E361" s="106"/>
      <c r="F361" s="106"/>
      <c r="G361" s="106"/>
      <c r="H361" s="509"/>
      <c r="I361" s="106"/>
      <c r="J361" s="545"/>
      <c r="K361" s="108"/>
      <c r="L361" s="106"/>
      <c r="M361" s="106"/>
      <c r="N361" s="106"/>
      <c r="O361" s="106"/>
      <c r="P361" s="106"/>
      <c r="Q361" s="109"/>
      <c r="R361" s="106"/>
      <c r="S361" s="107"/>
      <c r="T361" s="106"/>
      <c r="U361" s="106"/>
      <c r="V361" s="284">
        <f>Table626893456[[#This Row],[PO Value]]-Table626893456[[#This Row],[Offer Value]]</f>
        <v>0</v>
      </c>
      <c r="W361" s="106"/>
      <c r="X361" s="106"/>
      <c r="Y361" s="661"/>
      <c r="Z361" s="7"/>
      <c r="AA361" s="7"/>
    </row>
    <row r="362" spans="1:27" ht="18">
      <c r="A362" s="106"/>
      <c r="B362" s="106"/>
      <c r="C362" s="106"/>
      <c r="D362" s="106"/>
      <c r="E362" s="106"/>
      <c r="F362" s="106"/>
      <c r="G362" s="106"/>
      <c r="H362" s="509"/>
      <c r="I362" s="106"/>
      <c r="J362" s="545"/>
      <c r="K362" s="108"/>
      <c r="L362" s="106"/>
      <c r="M362" s="106"/>
      <c r="N362" s="106"/>
      <c r="O362" s="106"/>
      <c r="P362" s="106"/>
      <c r="Q362" s="109"/>
      <c r="R362" s="106"/>
      <c r="S362" s="107"/>
      <c r="T362" s="106"/>
      <c r="U362" s="106"/>
      <c r="V362" s="284">
        <f>Table626893456[[#This Row],[PO Value]]-Table626893456[[#This Row],[Offer Value]]</f>
        <v>0</v>
      </c>
      <c r="W362" s="106"/>
      <c r="X362" s="106"/>
      <c r="Y362" s="661"/>
      <c r="Z362" s="7"/>
      <c r="AA362" s="7"/>
    </row>
    <row r="363" spans="1:27" ht="18">
      <c r="A363" s="106"/>
      <c r="B363" s="106"/>
      <c r="C363" s="106"/>
      <c r="D363" s="106"/>
      <c r="E363" s="106"/>
      <c r="F363" s="106"/>
      <c r="G363" s="106"/>
      <c r="H363" s="509"/>
      <c r="I363" s="106"/>
      <c r="J363" s="545"/>
      <c r="K363" s="108"/>
      <c r="L363" s="106"/>
      <c r="M363" s="106"/>
      <c r="N363" s="106"/>
      <c r="O363" s="106"/>
      <c r="P363" s="106"/>
      <c r="Q363" s="109"/>
      <c r="R363" s="106"/>
      <c r="S363" s="107"/>
      <c r="T363" s="106"/>
      <c r="U363" s="106"/>
      <c r="V363" s="284">
        <f>Table626893456[[#This Row],[PO Value]]-Table626893456[[#This Row],[Offer Value]]</f>
        <v>0</v>
      </c>
      <c r="W363" s="106"/>
      <c r="X363" s="106"/>
      <c r="Y363" s="661"/>
      <c r="Z363" s="7"/>
      <c r="AA363" s="7"/>
    </row>
    <row r="364" spans="1:27" ht="18">
      <c r="A364" s="106"/>
      <c r="B364" s="106"/>
      <c r="C364" s="106"/>
      <c r="D364" s="106"/>
      <c r="E364" s="106"/>
      <c r="F364" s="106"/>
      <c r="G364" s="106"/>
      <c r="H364" s="509"/>
      <c r="I364" s="106"/>
      <c r="J364" s="545"/>
      <c r="K364" s="108"/>
      <c r="L364" s="106"/>
      <c r="M364" s="106"/>
      <c r="N364" s="106"/>
      <c r="O364" s="106"/>
      <c r="P364" s="106"/>
      <c r="Q364" s="109"/>
      <c r="R364" s="106"/>
      <c r="S364" s="107"/>
      <c r="T364" s="106"/>
      <c r="U364" s="106"/>
      <c r="V364" s="284">
        <f>Table626893456[[#This Row],[PO Value]]-Table626893456[[#This Row],[Offer Value]]</f>
        <v>0</v>
      </c>
      <c r="W364" s="106"/>
      <c r="X364" s="106"/>
      <c r="Y364" s="661"/>
      <c r="Z364" s="7"/>
      <c r="AA364" s="7"/>
    </row>
    <row r="365" spans="1:27" ht="18">
      <c r="A365" s="106"/>
      <c r="B365" s="106"/>
      <c r="C365" s="106"/>
      <c r="D365" s="106"/>
      <c r="E365" s="106"/>
      <c r="F365" s="106"/>
      <c r="G365" s="106"/>
      <c r="H365" s="509"/>
      <c r="I365" s="106"/>
      <c r="J365" s="545"/>
      <c r="K365" s="108"/>
      <c r="L365" s="106"/>
      <c r="M365" s="106"/>
      <c r="N365" s="106"/>
      <c r="O365" s="106"/>
      <c r="P365" s="106"/>
      <c r="Q365" s="109"/>
      <c r="R365" s="106"/>
      <c r="S365" s="107"/>
      <c r="T365" s="106"/>
      <c r="U365" s="106"/>
      <c r="V365" s="284">
        <f>Table626893456[[#This Row],[PO Value]]-Table626893456[[#This Row],[Offer Value]]</f>
        <v>0</v>
      </c>
      <c r="W365" s="106"/>
      <c r="X365" s="106"/>
      <c r="Y365" s="661"/>
      <c r="Z365" s="7"/>
      <c r="AA365" s="7"/>
    </row>
    <row r="366" spans="1:27" ht="18">
      <c r="A366" s="106"/>
      <c r="B366" s="106"/>
      <c r="C366" s="106"/>
      <c r="D366" s="106"/>
      <c r="E366" s="106"/>
      <c r="F366" s="106"/>
      <c r="G366" s="106"/>
      <c r="H366" s="509"/>
      <c r="I366" s="106"/>
      <c r="J366" s="545"/>
      <c r="K366" s="108"/>
      <c r="L366" s="106"/>
      <c r="M366" s="106"/>
      <c r="N366" s="106"/>
      <c r="O366" s="106"/>
      <c r="P366" s="106"/>
      <c r="Q366" s="109"/>
      <c r="R366" s="106"/>
      <c r="S366" s="107"/>
      <c r="T366" s="106"/>
      <c r="U366" s="106"/>
      <c r="V366" s="284">
        <f>Table626893456[[#This Row],[PO Value]]-Table626893456[[#This Row],[Offer Value]]</f>
        <v>0</v>
      </c>
      <c r="W366" s="106"/>
      <c r="X366" s="106"/>
      <c r="Y366" s="661"/>
      <c r="Z366" s="7"/>
      <c r="AA366" s="7"/>
    </row>
    <row r="367" spans="1:27" ht="18">
      <c r="A367" s="106"/>
      <c r="B367" s="106"/>
      <c r="C367" s="106"/>
      <c r="D367" s="106"/>
      <c r="E367" s="106"/>
      <c r="F367" s="106"/>
      <c r="G367" s="106"/>
      <c r="H367" s="509"/>
      <c r="I367" s="106"/>
      <c r="J367" s="545"/>
      <c r="K367" s="108"/>
      <c r="L367" s="106"/>
      <c r="M367" s="106"/>
      <c r="N367" s="106"/>
      <c r="O367" s="106"/>
      <c r="P367" s="106"/>
      <c r="Q367" s="109"/>
      <c r="R367" s="106"/>
      <c r="S367" s="107"/>
      <c r="T367" s="106"/>
      <c r="U367" s="106"/>
      <c r="V367" s="284">
        <f>Table626893456[[#This Row],[PO Value]]-Table626893456[[#This Row],[Offer Value]]</f>
        <v>0</v>
      </c>
      <c r="W367" s="106"/>
      <c r="X367" s="106"/>
      <c r="Y367" s="661"/>
      <c r="Z367" s="7"/>
      <c r="AA367" s="7"/>
    </row>
    <row r="368" spans="1:27" ht="18">
      <c r="A368" s="106"/>
      <c r="B368" s="106"/>
      <c r="C368" s="106"/>
      <c r="D368" s="106"/>
      <c r="E368" s="106"/>
      <c r="F368" s="106"/>
      <c r="G368" s="106"/>
      <c r="H368" s="509"/>
      <c r="I368" s="106"/>
      <c r="J368" s="545"/>
      <c r="K368" s="108"/>
      <c r="L368" s="106"/>
      <c r="M368" s="106"/>
      <c r="N368" s="106"/>
      <c r="O368" s="106"/>
      <c r="P368" s="106"/>
      <c r="Q368" s="109"/>
      <c r="R368" s="106"/>
      <c r="S368" s="107"/>
      <c r="T368" s="106"/>
      <c r="U368" s="106"/>
      <c r="V368" s="284">
        <f>Table626893456[[#This Row],[PO Value]]-Table626893456[[#This Row],[Offer Value]]</f>
        <v>0</v>
      </c>
      <c r="W368" s="106"/>
      <c r="X368" s="106"/>
      <c r="Y368" s="661"/>
      <c r="Z368" s="7"/>
      <c r="AA368" s="7"/>
    </row>
    <row r="369" spans="1:27" ht="18">
      <c r="A369" s="106"/>
      <c r="B369" s="106"/>
      <c r="C369" s="106"/>
      <c r="D369" s="106"/>
      <c r="E369" s="106"/>
      <c r="F369" s="106"/>
      <c r="G369" s="106"/>
      <c r="H369" s="509"/>
      <c r="I369" s="106"/>
      <c r="J369" s="545"/>
      <c r="K369" s="108"/>
      <c r="L369" s="106"/>
      <c r="M369" s="106"/>
      <c r="N369" s="106"/>
      <c r="O369" s="106"/>
      <c r="P369" s="106"/>
      <c r="Q369" s="109"/>
      <c r="R369" s="106"/>
      <c r="S369" s="107"/>
      <c r="T369" s="106"/>
      <c r="U369" s="106"/>
      <c r="V369" s="284">
        <f>Table626893456[[#This Row],[PO Value]]-Table626893456[[#This Row],[Offer Value]]</f>
        <v>0</v>
      </c>
      <c r="W369" s="106"/>
      <c r="X369" s="106"/>
      <c r="Y369" s="661"/>
      <c r="Z369" s="7"/>
      <c r="AA369" s="7"/>
    </row>
    <row r="370" spans="1:27" ht="18">
      <c r="A370" s="106"/>
      <c r="B370" s="106"/>
      <c r="C370" s="106"/>
      <c r="D370" s="106"/>
      <c r="E370" s="106"/>
      <c r="F370" s="106"/>
      <c r="G370" s="106"/>
      <c r="H370" s="509"/>
      <c r="I370" s="106"/>
      <c r="J370" s="545"/>
      <c r="K370" s="108"/>
      <c r="L370" s="106"/>
      <c r="M370" s="106"/>
      <c r="N370" s="106"/>
      <c r="O370" s="106"/>
      <c r="P370" s="106"/>
      <c r="Q370" s="109"/>
      <c r="R370" s="106"/>
      <c r="S370" s="107"/>
      <c r="T370" s="106"/>
      <c r="U370" s="106"/>
      <c r="V370" s="284">
        <f>Table626893456[[#This Row],[PO Value]]-Table626893456[[#This Row],[Offer Value]]</f>
        <v>0</v>
      </c>
      <c r="W370" s="106"/>
      <c r="X370" s="106"/>
      <c r="Y370" s="661"/>
      <c r="Z370" s="7"/>
      <c r="AA370" s="7"/>
    </row>
    <row r="371" spans="1:27" ht="18">
      <c r="A371" s="106"/>
      <c r="B371" s="106"/>
      <c r="C371" s="106"/>
      <c r="D371" s="106"/>
      <c r="E371" s="106"/>
      <c r="F371" s="106"/>
      <c r="G371" s="106"/>
      <c r="H371" s="509"/>
      <c r="I371" s="106"/>
      <c r="J371" s="545"/>
      <c r="K371" s="108"/>
      <c r="L371" s="106"/>
      <c r="M371" s="106"/>
      <c r="N371" s="106"/>
      <c r="O371" s="106"/>
      <c r="P371" s="106"/>
      <c r="Q371" s="109"/>
      <c r="R371" s="106"/>
      <c r="S371" s="107"/>
      <c r="T371" s="106"/>
      <c r="U371" s="106"/>
      <c r="V371" s="284">
        <f>Table626893456[[#This Row],[PO Value]]-Table626893456[[#This Row],[Offer Value]]</f>
        <v>0</v>
      </c>
      <c r="W371" s="106"/>
      <c r="X371" s="106"/>
      <c r="Y371" s="661"/>
      <c r="Z371" s="7"/>
      <c r="AA371" s="7"/>
    </row>
    <row r="372" spans="1:27" ht="18">
      <c r="A372" s="106"/>
      <c r="B372" s="106"/>
      <c r="C372" s="106"/>
      <c r="D372" s="106"/>
      <c r="E372" s="106"/>
      <c r="F372" s="106"/>
      <c r="G372" s="106"/>
      <c r="H372" s="509"/>
      <c r="I372" s="106"/>
      <c r="J372" s="545"/>
      <c r="K372" s="108"/>
      <c r="L372" s="106"/>
      <c r="M372" s="106"/>
      <c r="N372" s="106"/>
      <c r="O372" s="106"/>
      <c r="P372" s="106"/>
      <c r="Q372" s="109"/>
      <c r="R372" s="106"/>
      <c r="S372" s="107"/>
      <c r="T372" s="106"/>
      <c r="U372" s="106"/>
      <c r="V372" s="284">
        <f>Table626893456[[#This Row],[PO Value]]-Table626893456[[#This Row],[Offer Value]]</f>
        <v>0</v>
      </c>
      <c r="W372" s="106"/>
      <c r="X372" s="106"/>
      <c r="Y372" s="661"/>
      <c r="Z372" s="7"/>
      <c r="AA372" s="7"/>
    </row>
    <row r="373" spans="1:27" ht="18">
      <c r="A373" s="106"/>
      <c r="B373" s="106"/>
      <c r="C373" s="106"/>
      <c r="D373" s="106"/>
      <c r="E373" s="106"/>
      <c r="F373" s="106"/>
      <c r="G373" s="106"/>
      <c r="H373" s="509"/>
      <c r="I373" s="106"/>
      <c r="J373" s="545"/>
      <c r="K373" s="108"/>
      <c r="L373" s="106"/>
      <c r="M373" s="106"/>
      <c r="N373" s="106"/>
      <c r="O373" s="106"/>
      <c r="P373" s="106"/>
      <c r="Q373" s="109"/>
      <c r="R373" s="106"/>
      <c r="S373" s="107"/>
      <c r="T373" s="106"/>
      <c r="U373" s="106"/>
      <c r="V373" s="284">
        <f>Table626893456[[#This Row],[PO Value]]-Table626893456[[#This Row],[Offer Value]]</f>
        <v>0</v>
      </c>
      <c r="W373" s="106"/>
      <c r="X373" s="106"/>
      <c r="Y373" s="661"/>
      <c r="Z373" s="7"/>
      <c r="AA373" s="7"/>
    </row>
    <row r="374" spans="1:27" ht="18">
      <c r="A374" s="106"/>
      <c r="B374" s="106"/>
      <c r="C374" s="106"/>
      <c r="D374" s="106"/>
      <c r="E374" s="106"/>
      <c r="F374" s="106"/>
      <c r="G374" s="106"/>
      <c r="H374" s="509"/>
      <c r="I374" s="106"/>
      <c r="J374" s="545"/>
      <c r="K374" s="108"/>
      <c r="L374" s="106"/>
      <c r="M374" s="106"/>
      <c r="N374" s="106"/>
      <c r="O374" s="106"/>
      <c r="P374" s="106"/>
      <c r="Q374" s="109"/>
      <c r="R374" s="106"/>
      <c r="S374" s="107"/>
      <c r="T374" s="106"/>
      <c r="U374" s="106"/>
      <c r="V374" s="284">
        <f>Table626893456[[#This Row],[PO Value]]-Table626893456[[#This Row],[Offer Value]]</f>
        <v>0</v>
      </c>
      <c r="W374" s="106"/>
      <c r="X374" s="106"/>
      <c r="Y374" s="661"/>
      <c r="Z374" s="7"/>
      <c r="AA374" s="7"/>
    </row>
    <row r="375" spans="1:27" ht="18">
      <c r="A375" s="106"/>
      <c r="B375" s="106"/>
      <c r="C375" s="106"/>
      <c r="D375" s="106"/>
      <c r="E375" s="106"/>
      <c r="F375" s="106"/>
      <c r="G375" s="106"/>
      <c r="H375" s="509"/>
      <c r="I375" s="106"/>
      <c r="J375" s="545"/>
      <c r="K375" s="108"/>
      <c r="L375" s="106"/>
      <c r="M375" s="106"/>
      <c r="N375" s="106"/>
      <c r="O375" s="106"/>
      <c r="P375" s="106"/>
      <c r="Q375" s="109"/>
      <c r="R375" s="106"/>
      <c r="S375" s="107"/>
      <c r="T375" s="106"/>
      <c r="U375" s="106"/>
      <c r="V375" s="284">
        <f>Table626893456[[#This Row],[PO Value]]-Table626893456[[#This Row],[Offer Value]]</f>
        <v>0</v>
      </c>
      <c r="W375" s="106"/>
      <c r="X375" s="106"/>
      <c r="Y375" s="661"/>
      <c r="Z375" s="7"/>
      <c r="AA375" s="7"/>
    </row>
    <row r="376" spans="1:27" ht="18">
      <c r="A376" s="106"/>
      <c r="B376" s="106"/>
      <c r="C376" s="106"/>
      <c r="D376" s="106"/>
      <c r="E376" s="106"/>
      <c r="F376" s="106"/>
      <c r="G376" s="106"/>
      <c r="H376" s="509"/>
      <c r="I376" s="106"/>
      <c r="J376" s="545"/>
      <c r="K376" s="108"/>
      <c r="L376" s="106"/>
      <c r="M376" s="106"/>
      <c r="N376" s="106"/>
      <c r="O376" s="106"/>
      <c r="P376" s="106"/>
      <c r="Q376" s="109"/>
      <c r="R376" s="106"/>
      <c r="S376" s="107"/>
      <c r="T376" s="106"/>
      <c r="U376" s="106"/>
      <c r="V376" s="284">
        <f>Table626893456[[#This Row],[PO Value]]-Table626893456[[#This Row],[Offer Value]]</f>
        <v>0</v>
      </c>
      <c r="W376" s="106"/>
      <c r="X376" s="106"/>
      <c r="Y376" s="661"/>
      <c r="Z376" s="7"/>
      <c r="AA376" s="7"/>
    </row>
    <row r="377" spans="1:27" ht="18">
      <c r="A377" s="106"/>
      <c r="B377" s="106"/>
      <c r="C377" s="106"/>
      <c r="D377" s="106"/>
      <c r="E377" s="106"/>
      <c r="F377" s="106"/>
      <c r="G377" s="106"/>
      <c r="H377" s="509"/>
      <c r="I377" s="106"/>
      <c r="J377" s="545"/>
      <c r="K377" s="108"/>
      <c r="L377" s="106"/>
      <c r="M377" s="106"/>
      <c r="N377" s="106"/>
      <c r="O377" s="106"/>
      <c r="P377" s="106"/>
      <c r="Q377" s="109"/>
      <c r="R377" s="106"/>
      <c r="S377" s="107"/>
      <c r="T377" s="106"/>
      <c r="U377" s="106"/>
      <c r="V377" s="284">
        <f>Table626893456[[#This Row],[PO Value]]-Table626893456[[#This Row],[Offer Value]]</f>
        <v>0</v>
      </c>
      <c r="W377" s="106"/>
      <c r="X377" s="106"/>
      <c r="Y377" s="661"/>
      <c r="Z377" s="7"/>
      <c r="AA377" s="7"/>
    </row>
    <row r="378" spans="1:27" ht="18">
      <c r="A378" s="106"/>
      <c r="B378" s="106"/>
      <c r="C378" s="106"/>
      <c r="D378" s="106"/>
      <c r="E378" s="106"/>
      <c r="F378" s="106"/>
      <c r="G378" s="106"/>
      <c r="H378" s="509"/>
      <c r="I378" s="106"/>
      <c r="J378" s="545"/>
      <c r="K378" s="108"/>
      <c r="L378" s="106"/>
      <c r="M378" s="106"/>
      <c r="N378" s="106"/>
      <c r="O378" s="106"/>
      <c r="P378" s="106"/>
      <c r="Q378" s="109"/>
      <c r="R378" s="106"/>
      <c r="S378" s="107"/>
      <c r="T378" s="106"/>
      <c r="U378" s="106"/>
      <c r="V378" s="284">
        <f>Table626893456[[#This Row],[PO Value]]-Table626893456[[#This Row],[Offer Value]]</f>
        <v>0</v>
      </c>
      <c r="W378" s="106"/>
      <c r="X378" s="106"/>
      <c r="Y378" s="661"/>
      <c r="Z378" s="7"/>
      <c r="AA378" s="7"/>
    </row>
    <row r="379" spans="1:27" ht="18">
      <c r="A379" s="106"/>
      <c r="B379" s="106"/>
      <c r="C379" s="106"/>
      <c r="D379" s="106"/>
      <c r="E379" s="106"/>
      <c r="F379" s="106"/>
      <c r="G379" s="106"/>
      <c r="H379" s="509"/>
      <c r="I379" s="106"/>
      <c r="J379" s="545"/>
      <c r="K379" s="108"/>
      <c r="L379" s="106"/>
      <c r="M379" s="106"/>
      <c r="N379" s="106"/>
      <c r="O379" s="106"/>
      <c r="P379" s="106"/>
      <c r="Q379" s="109"/>
      <c r="R379" s="106"/>
      <c r="S379" s="107"/>
      <c r="T379" s="106"/>
      <c r="U379" s="106"/>
      <c r="V379" s="284">
        <f>Table626893456[[#This Row],[PO Value]]-Table626893456[[#This Row],[Offer Value]]</f>
        <v>0</v>
      </c>
      <c r="W379" s="106"/>
      <c r="X379" s="106"/>
      <c r="Y379" s="661"/>
      <c r="Z379" s="7"/>
      <c r="AA379" s="7"/>
    </row>
    <row r="380" spans="1:27" ht="18">
      <c r="A380" s="106"/>
      <c r="B380" s="106"/>
      <c r="C380" s="106"/>
      <c r="D380" s="106"/>
      <c r="E380" s="106"/>
      <c r="F380" s="106"/>
      <c r="G380" s="106"/>
      <c r="H380" s="509"/>
      <c r="I380" s="106"/>
      <c r="J380" s="545"/>
      <c r="K380" s="108"/>
      <c r="L380" s="106"/>
      <c r="M380" s="106"/>
      <c r="N380" s="106"/>
      <c r="O380" s="106"/>
      <c r="P380" s="106"/>
      <c r="Q380" s="109"/>
      <c r="R380" s="106"/>
      <c r="S380" s="107"/>
      <c r="T380" s="106"/>
      <c r="U380" s="106"/>
      <c r="V380" s="284">
        <f>Table626893456[[#This Row],[PO Value]]-Table626893456[[#This Row],[Offer Value]]</f>
        <v>0</v>
      </c>
      <c r="W380" s="106"/>
      <c r="X380" s="106"/>
      <c r="Y380" s="661"/>
      <c r="Z380" s="7"/>
      <c r="AA380" s="7"/>
    </row>
    <row r="381" spans="1:27" ht="18">
      <c r="A381" s="106"/>
      <c r="B381" s="106"/>
      <c r="C381" s="106"/>
      <c r="D381" s="106"/>
      <c r="E381" s="106"/>
      <c r="F381" s="106"/>
      <c r="G381" s="106"/>
      <c r="H381" s="509"/>
      <c r="I381" s="106"/>
      <c r="J381" s="545"/>
      <c r="K381" s="108"/>
      <c r="L381" s="106"/>
      <c r="M381" s="106"/>
      <c r="N381" s="106"/>
      <c r="O381" s="106"/>
      <c r="P381" s="106"/>
      <c r="Q381" s="109"/>
      <c r="R381" s="106"/>
      <c r="S381" s="107"/>
      <c r="T381" s="106"/>
      <c r="U381" s="106"/>
      <c r="V381" s="284">
        <f>Table626893456[[#This Row],[PO Value]]-Table626893456[[#This Row],[Offer Value]]</f>
        <v>0</v>
      </c>
      <c r="W381" s="106"/>
      <c r="X381" s="106"/>
      <c r="Y381" s="661"/>
      <c r="Z381" s="7"/>
      <c r="AA381" s="7"/>
    </row>
    <row r="382" spans="1:27" ht="18">
      <c r="A382" s="106"/>
      <c r="B382" s="106"/>
      <c r="C382" s="106"/>
      <c r="D382" s="106"/>
      <c r="E382" s="106"/>
      <c r="F382" s="106"/>
      <c r="G382" s="106"/>
      <c r="H382" s="509"/>
      <c r="I382" s="106"/>
      <c r="J382" s="545"/>
      <c r="K382" s="108"/>
      <c r="L382" s="106"/>
      <c r="M382" s="106"/>
      <c r="N382" s="106"/>
      <c r="O382" s="106"/>
      <c r="P382" s="106"/>
      <c r="Q382" s="109"/>
      <c r="R382" s="106"/>
      <c r="S382" s="107"/>
      <c r="T382" s="106"/>
      <c r="U382" s="106"/>
      <c r="V382" s="284">
        <f>Table626893456[[#This Row],[PO Value]]-Table626893456[[#This Row],[Offer Value]]</f>
        <v>0</v>
      </c>
      <c r="W382" s="106"/>
      <c r="X382" s="106"/>
      <c r="Y382" s="661"/>
      <c r="Z382" s="7"/>
      <c r="AA382" s="7"/>
    </row>
    <row r="383" spans="1:27" ht="18">
      <c r="A383" s="106"/>
      <c r="B383" s="106"/>
      <c r="C383" s="106"/>
      <c r="D383" s="106"/>
      <c r="E383" s="106"/>
      <c r="F383" s="106"/>
      <c r="G383" s="106"/>
      <c r="H383" s="509"/>
      <c r="I383" s="106"/>
      <c r="J383" s="545"/>
      <c r="K383" s="108"/>
      <c r="L383" s="106"/>
      <c r="M383" s="106"/>
      <c r="N383" s="106"/>
      <c r="O383" s="106"/>
      <c r="P383" s="106"/>
      <c r="Q383" s="109"/>
      <c r="R383" s="106"/>
      <c r="S383" s="107"/>
      <c r="T383" s="106"/>
      <c r="U383" s="106"/>
      <c r="V383" s="284">
        <f>Table626893456[[#This Row],[PO Value]]-Table626893456[[#This Row],[Offer Value]]</f>
        <v>0</v>
      </c>
      <c r="W383" s="106"/>
      <c r="X383" s="106"/>
      <c r="Y383" s="661"/>
      <c r="Z383" s="7"/>
      <c r="AA383" s="7"/>
    </row>
    <row r="384" spans="1:27" ht="18">
      <c r="A384" s="106"/>
      <c r="B384" s="106"/>
      <c r="C384" s="106"/>
      <c r="D384" s="106"/>
      <c r="E384" s="106"/>
      <c r="F384" s="106"/>
      <c r="G384" s="106"/>
      <c r="H384" s="509"/>
      <c r="I384" s="106"/>
      <c r="J384" s="545"/>
      <c r="K384" s="108"/>
      <c r="L384" s="106"/>
      <c r="M384" s="106"/>
      <c r="N384" s="106"/>
      <c r="O384" s="106"/>
      <c r="P384" s="106"/>
      <c r="Q384" s="109"/>
      <c r="R384" s="106"/>
      <c r="S384" s="107"/>
      <c r="T384" s="106"/>
      <c r="U384" s="106"/>
      <c r="V384" s="284">
        <f>Table626893456[[#This Row],[PO Value]]-Table626893456[[#This Row],[Offer Value]]</f>
        <v>0</v>
      </c>
      <c r="W384" s="106"/>
      <c r="X384" s="106"/>
      <c r="Y384" s="661"/>
      <c r="Z384" s="7"/>
      <c r="AA384" s="7"/>
    </row>
    <row r="385" spans="1:27" ht="18">
      <c r="A385" s="106"/>
      <c r="B385" s="106"/>
      <c r="C385" s="106"/>
      <c r="D385" s="106"/>
      <c r="E385" s="106"/>
      <c r="F385" s="106"/>
      <c r="G385" s="106"/>
      <c r="H385" s="509"/>
      <c r="I385" s="106"/>
      <c r="J385" s="545"/>
      <c r="K385" s="108"/>
      <c r="L385" s="106"/>
      <c r="M385" s="106"/>
      <c r="N385" s="106"/>
      <c r="O385" s="106"/>
      <c r="P385" s="106"/>
      <c r="Q385" s="109"/>
      <c r="R385" s="106"/>
      <c r="S385" s="107"/>
      <c r="T385" s="106"/>
      <c r="U385" s="106"/>
      <c r="V385" s="284">
        <f>Table626893456[[#This Row],[PO Value]]-Table626893456[[#This Row],[Offer Value]]</f>
        <v>0</v>
      </c>
      <c r="W385" s="106"/>
      <c r="X385" s="106"/>
      <c r="Y385" s="661"/>
      <c r="Z385" s="7"/>
      <c r="AA385" s="7"/>
    </row>
    <row r="386" spans="1:27" ht="18">
      <c r="A386" s="106"/>
      <c r="B386" s="106"/>
      <c r="C386" s="106"/>
      <c r="D386" s="106"/>
      <c r="E386" s="106"/>
      <c r="F386" s="106"/>
      <c r="G386" s="106"/>
      <c r="H386" s="509"/>
      <c r="I386" s="106"/>
      <c r="J386" s="545"/>
      <c r="K386" s="108"/>
      <c r="L386" s="106"/>
      <c r="M386" s="106"/>
      <c r="N386" s="106"/>
      <c r="O386" s="106"/>
      <c r="P386" s="106"/>
      <c r="Q386" s="109"/>
      <c r="R386" s="106"/>
      <c r="S386" s="107"/>
      <c r="T386" s="106"/>
      <c r="U386" s="106"/>
      <c r="V386" s="284">
        <f>Table626893456[[#This Row],[PO Value]]-Table626893456[[#This Row],[Offer Value]]</f>
        <v>0</v>
      </c>
      <c r="W386" s="106"/>
      <c r="X386" s="106"/>
      <c r="Y386" s="661"/>
      <c r="Z386" s="7"/>
      <c r="AA386" s="7"/>
    </row>
    <row r="387" spans="1:27" ht="18">
      <c r="A387" s="106"/>
      <c r="B387" s="106"/>
      <c r="C387" s="110"/>
      <c r="D387" s="110"/>
      <c r="E387" s="110"/>
      <c r="F387" s="110"/>
      <c r="G387" s="110"/>
      <c r="H387" s="511"/>
      <c r="I387" s="110"/>
      <c r="J387" s="545"/>
      <c r="K387" s="108"/>
      <c r="L387" s="106"/>
      <c r="M387" s="106"/>
      <c r="N387" s="106"/>
      <c r="O387" s="106"/>
      <c r="P387" s="106"/>
      <c r="Q387" s="109"/>
      <c r="R387" s="106"/>
      <c r="S387" s="107"/>
      <c r="T387" s="106"/>
      <c r="U387" s="106"/>
      <c r="V387" s="284">
        <f>Table626893456[[#This Row],[PO Value]]-Table626893456[[#This Row],[Offer Value]]</f>
        <v>0</v>
      </c>
      <c r="W387" s="106"/>
      <c r="X387" s="106"/>
      <c r="Y387" s="661"/>
      <c r="Z387" s="7"/>
      <c r="AA387" s="7"/>
    </row>
    <row r="388" spans="1:27" ht="18">
      <c r="A388" s="106"/>
      <c r="B388" s="106"/>
      <c r="C388" s="106"/>
      <c r="D388" s="106"/>
      <c r="E388" s="106"/>
      <c r="F388" s="106"/>
      <c r="G388" s="106"/>
      <c r="H388" s="509"/>
      <c r="I388" s="106"/>
      <c r="J388" s="545"/>
      <c r="K388" s="108"/>
      <c r="L388" s="106"/>
      <c r="M388" s="106"/>
      <c r="N388" s="106"/>
      <c r="O388" s="106"/>
      <c r="P388" s="106"/>
      <c r="Q388" s="109"/>
      <c r="R388" s="106"/>
      <c r="S388" s="107"/>
      <c r="T388" s="106"/>
      <c r="U388" s="106"/>
      <c r="V388" s="284">
        <f>Table626893456[[#This Row],[PO Value]]-Table626893456[[#This Row],[Offer Value]]</f>
        <v>0</v>
      </c>
      <c r="W388" s="106"/>
      <c r="X388" s="106"/>
      <c r="Y388" s="661"/>
      <c r="Z388" s="7"/>
      <c r="AA388" s="7"/>
    </row>
    <row r="389" spans="1:27" ht="18">
      <c r="A389" s="106"/>
      <c r="B389" s="106"/>
      <c r="C389" s="106"/>
      <c r="D389" s="106"/>
      <c r="E389" s="106"/>
      <c r="F389" s="106"/>
      <c r="G389" s="106"/>
      <c r="H389" s="509"/>
      <c r="I389" s="106"/>
      <c r="J389" s="545"/>
      <c r="K389" s="108"/>
      <c r="L389" s="106"/>
      <c r="M389" s="106"/>
      <c r="N389" s="106"/>
      <c r="O389" s="106"/>
      <c r="P389" s="106"/>
      <c r="Q389" s="109"/>
      <c r="R389" s="106"/>
      <c r="S389" s="107"/>
      <c r="T389" s="106"/>
      <c r="U389" s="106"/>
      <c r="V389" s="284">
        <f>Table626893456[[#This Row],[PO Value]]-Table626893456[[#This Row],[Offer Value]]</f>
        <v>0</v>
      </c>
      <c r="W389" s="106"/>
      <c r="X389" s="106"/>
      <c r="Y389" s="661"/>
      <c r="Z389" s="7"/>
      <c r="AA389" s="7"/>
    </row>
    <row r="390" spans="1:27" ht="18">
      <c r="A390" s="106"/>
      <c r="B390" s="106"/>
      <c r="C390" s="106"/>
      <c r="D390" s="106"/>
      <c r="E390" s="106"/>
      <c r="F390" s="106"/>
      <c r="G390" s="106"/>
      <c r="H390" s="509"/>
      <c r="I390" s="106"/>
      <c r="J390" s="545"/>
      <c r="K390" s="108"/>
      <c r="L390" s="106"/>
      <c r="M390" s="106"/>
      <c r="N390" s="106"/>
      <c r="O390" s="106"/>
      <c r="P390" s="106"/>
      <c r="Q390" s="109"/>
      <c r="R390" s="106"/>
      <c r="S390" s="107"/>
      <c r="T390" s="106"/>
      <c r="U390" s="106"/>
      <c r="V390" s="284">
        <f>Table626893456[[#This Row],[PO Value]]-Table626893456[[#This Row],[Offer Value]]</f>
        <v>0</v>
      </c>
      <c r="W390" s="106"/>
      <c r="X390" s="106"/>
      <c r="Y390" s="661"/>
      <c r="Z390" s="7"/>
      <c r="AA390" s="7"/>
    </row>
    <row r="391" spans="1:27" ht="18">
      <c r="A391" s="106"/>
      <c r="B391" s="106"/>
      <c r="C391" s="106"/>
      <c r="D391" s="106"/>
      <c r="E391" s="106"/>
      <c r="F391" s="106"/>
      <c r="G391" s="106"/>
      <c r="H391" s="509"/>
      <c r="I391" s="106"/>
      <c r="J391" s="545"/>
      <c r="K391" s="108"/>
      <c r="L391" s="106"/>
      <c r="M391" s="106"/>
      <c r="N391" s="106"/>
      <c r="O391" s="106"/>
      <c r="P391" s="106"/>
      <c r="Q391" s="109"/>
      <c r="R391" s="106"/>
      <c r="S391" s="107"/>
      <c r="T391" s="106"/>
      <c r="U391" s="106"/>
      <c r="V391" s="284">
        <f>Table626893456[[#This Row],[PO Value]]-Table626893456[[#This Row],[Offer Value]]</f>
        <v>0</v>
      </c>
      <c r="W391" s="106"/>
      <c r="X391" s="106"/>
      <c r="Y391" s="661"/>
      <c r="Z391" s="7"/>
      <c r="AA391" s="7"/>
    </row>
    <row r="392" spans="1:27" ht="18">
      <c r="A392" s="106"/>
      <c r="B392" s="106"/>
      <c r="C392" s="106"/>
      <c r="D392" s="106"/>
      <c r="E392" s="106"/>
      <c r="F392" s="106"/>
      <c r="G392" s="106"/>
      <c r="H392" s="509"/>
      <c r="I392" s="106"/>
      <c r="J392" s="545"/>
      <c r="K392" s="108"/>
      <c r="L392" s="106"/>
      <c r="M392" s="106"/>
      <c r="N392" s="106"/>
      <c r="O392" s="106"/>
      <c r="P392" s="106"/>
      <c r="Q392" s="109"/>
      <c r="R392" s="106"/>
      <c r="S392" s="107"/>
      <c r="T392" s="106"/>
      <c r="U392" s="106"/>
      <c r="V392" s="284">
        <f>Table626893456[[#This Row],[PO Value]]-Table626893456[[#This Row],[Offer Value]]</f>
        <v>0</v>
      </c>
      <c r="W392" s="106"/>
      <c r="X392" s="106"/>
      <c r="Y392" s="661"/>
      <c r="Z392" s="7"/>
      <c r="AA392" s="7"/>
    </row>
    <row r="393" spans="1:27" ht="18">
      <c r="A393" s="106"/>
      <c r="B393" s="106"/>
      <c r="C393" s="106"/>
      <c r="D393" s="106"/>
      <c r="E393" s="106"/>
      <c r="F393" s="106"/>
      <c r="G393" s="106"/>
      <c r="H393" s="509"/>
      <c r="I393" s="106"/>
      <c r="J393" s="545"/>
      <c r="K393" s="108"/>
      <c r="L393" s="106"/>
      <c r="M393" s="106"/>
      <c r="N393" s="106"/>
      <c r="O393" s="106"/>
      <c r="P393" s="106"/>
      <c r="Q393" s="109"/>
      <c r="R393" s="106"/>
      <c r="S393" s="107"/>
      <c r="T393" s="106"/>
      <c r="U393" s="106"/>
      <c r="V393" s="284">
        <f>Table626893456[[#This Row],[PO Value]]-Table626893456[[#This Row],[Offer Value]]</f>
        <v>0</v>
      </c>
      <c r="W393" s="106"/>
      <c r="X393" s="106"/>
      <c r="Y393" s="661"/>
      <c r="Z393" s="7"/>
      <c r="AA393" s="7"/>
    </row>
    <row r="394" spans="1:27" ht="18">
      <c r="A394" s="106"/>
      <c r="B394" s="106"/>
      <c r="C394" s="106"/>
      <c r="D394" s="106"/>
      <c r="E394" s="106"/>
      <c r="F394" s="106"/>
      <c r="G394" s="106"/>
      <c r="H394" s="509"/>
      <c r="I394" s="106"/>
      <c r="J394" s="545"/>
      <c r="K394" s="108"/>
      <c r="L394" s="106"/>
      <c r="M394" s="106"/>
      <c r="N394" s="106"/>
      <c r="O394" s="106"/>
      <c r="P394" s="106"/>
      <c r="Q394" s="109"/>
      <c r="R394" s="106"/>
      <c r="S394" s="107"/>
      <c r="T394" s="106"/>
      <c r="U394" s="106"/>
      <c r="V394" s="284">
        <f>Table626893456[[#This Row],[PO Value]]-Table626893456[[#This Row],[Offer Value]]</f>
        <v>0</v>
      </c>
      <c r="W394" s="106"/>
      <c r="X394" s="106"/>
      <c r="Y394" s="661"/>
      <c r="Z394" s="7"/>
      <c r="AA394" s="7"/>
    </row>
    <row r="395" spans="1:27" ht="18">
      <c r="A395" s="106"/>
      <c r="B395" s="106"/>
      <c r="C395" s="106"/>
      <c r="D395" s="106"/>
      <c r="E395" s="106"/>
      <c r="F395" s="106"/>
      <c r="G395" s="106"/>
      <c r="H395" s="509"/>
      <c r="I395" s="106"/>
      <c r="J395" s="545"/>
      <c r="K395" s="108"/>
      <c r="L395" s="106"/>
      <c r="M395" s="106"/>
      <c r="N395" s="106"/>
      <c r="O395" s="106"/>
      <c r="P395" s="106"/>
      <c r="Q395" s="109"/>
      <c r="R395" s="106"/>
      <c r="S395" s="107"/>
      <c r="T395" s="106"/>
      <c r="U395" s="106"/>
      <c r="V395" s="284">
        <f>Table626893456[[#This Row],[PO Value]]-Table626893456[[#This Row],[Offer Value]]</f>
        <v>0</v>
      </c>
      <c r="W395" s="106"/>
      <c r="X395" s="106"/>
      <c r="Y395" s="661"/>
      <c r="Z395" s="7"/>
      <c r="AA395" s="7"/>
    </row>
    <row r="396" spans="1:27" ht="18">
      <c r="A396" s="106"/>
      <c r="B396" s="106"/>
      <c r="C396" s="106"/>
      <c r="D396" s="106"/>
      <c r="E396" s="106"/>
      <c r="F396" s="106"/>
      <c r="G396" s="106"/>
      <c r="H396" s="509"/>
      <c r="I396" s="106"/>
      <c r="J396" s="545"/>
      <c r="K396" s="108"/>
      <c r="L396" s="106"/>
      <c r="M396" s="106"/>
      <c r="N396" s="106"/>
      <c r="O396" s="106"/>
      <c r="P396" s="106"/>
      <c r="Q396" s="109"/>
      <c r="R396" s="106"/>
      <c r="S396" s="107"/>
      <c r="T396" s="106"/>
      <c r="U396" s="106"/>
      <c r="V396" s="284">
        <f>Table626893456[[#This Row],[PO Value]]-Table626893456[[#This Row],[Offer Value]]</f>
        <v>0</v>
      </c>
      <c r="W396" s="106"/>
      <c r="X396" s="106"/>
      <c r="Y396" s="661"/>
      <c r="Z396" s="7"/>
      <c r="AA396" s="7"/>
    </row>
    <row r="397" spans="1:27" ht="18">
      <c r="A397" s="106"/>
      <c r="B397" s="106"/>
      <c r="C397" s="106"/>
      <c r="D397" s="106"/>
      <c r="E397" s="106"/>
      <c r="F397" s="106"/>
      <c r="G397" s="106"/>
      <c r="H397" s="509"/>
      <c r="I397" s="106"/>
      <c r="J397" s="545"/>
      <c r="K397" s="108"/>
      <c r="L397" s="106"/>
      <c r="M397" s="106"/>
      <c r="N397" s="106"/>
      <c r="O397" s="106"/>
      <c r="P397" s="106"/>
      <c r="Q397" s="109"/>
      <c r="R397" s="106"/>
      <c r="S397" s="107"/>
      <c r="T397" s="106"/>
      <c r="U397" s="106"/>
      <c r="V397" s="284">
        <f>Table626893456[[#This Row],[PO Value]]-Table626893456[[#This Row],[Offer Value]]</f>
        <v>0</v>
      </c>
      <c r="W397" s="106"/>
      <c r="X397" s="106"/>
      <c r="Y397" s="661"/>
      <c r="Z397" s="7"/>
      <c r="AA397" s="7"/>
    </row>
    <row r="398" spans="1:27" ht="18">
      <c r="A398" s="106"/>
      <c r="B398" s="106"/>
      <c r="C398" s="106"/>
      <c r="D398" s="106"/>
      <c r="E398" s="106"/>
      <c r="F398" s="106"/>
      <c r="G398" s="106"/>
      <c r="H398" s="509"/>
      <c r="I398" s="106"/>
      <c r="J398" s="545"/>
      <c r="K398" s="108"/>
      <c r="L398" s="106"/>
      <c r="M398" s="106"/>
      <c r="N398" s="106"/>
      <c r="O398" s="106"/>
      <c r="P398" s="106"/>
      <c r="Q398" s="109"/>
      <c r="R398" s="106"/>
      <c r="S398" s="107"/>
      <c r="T398" s="106"/>
      <c r="U398" s="106"/>
      <c r="V398" s="284">
        <f>Table626893456[[#This Row],[PO Value]]-Table626893456[[#This Row],[Offer Value]]</f>
        <v>0</v>
      </c>
      <c r="W398" s="106"/>
      <c r="X398" s="106"/>
      <c r="Y398" s="661"/>
      <c r="Z398" s="7"/>
      <c r="AA398" s="7"/>
    </row>
    <row r="399" spans="1:27" ht="18">
      <c r="A399" s="106"/>
      <c r="B399" s="106"/>
      <c r="C399" s="106"/>
      <c r="D399" s="106"/>
      <c r="E399" s="106"/>
      <c r="F399" s="106"/>
      <c r="G399" s="106"/>
      <c r="H399" s="509"/>
      <c r="I399" s="106"/>
      <c r="J399" s="545"/>
      <c r="K399" s="108"/>
      <c r="L399" s="106"/>
      <c r="M399" s="106"/>
      <c r="N399" s="106"/>
      <c r="O399" s="106"/>
      <c r="P399" s="106"/>
      <c r="Q399" s="109"/>
      <c r="R399" s="106"/>
      <c r="S399" s="107"/>
      <c r="T399" s="106"/>
      <c r="U399" s="106"/>
      <c r="V399" s="284">
        <f>Table626893456[[#This Row],[PO Value]]-Table626893456[[#This Row],[Offer Value]]</f>
        <v>0</v>
      </c>
      <c r="W399" s="106"/>
      <c r="X399" s="106"/>
      <c r="Y399" s="661"/>
      <c r="Z399" s="7"/>
      <c r="AA399" s="7"/>
    </row>
    <row r="400" spans="1:27" ht="18">
      <c r="A400" s="106"/>
      <c r="B400" s="106"/>
      <c r="C400" s="106"/>
      <c r="D400" s="106"/>
      <c r="E400" s="106"/>
      <c r="F400" s="106"/>
      <c r="G400" s="106"/>
      <c r="H400" s="509"/>
      <c r="I400" s="106"/>
      <c r="J400" s="545"/>
      <c r="K400" s="108"/>
      <c r="L400" s="106"/>
      <c r="M400" s="106"/>
      <c r="N400" s="106"/>
      <c r="O400" s="106"/>
      <c r="P400" s="106"/>
      <c r="Q400" s="109"/>
      <c r="R400" s="106"/>
      <c r="S400" s="107"/>
      <c r="T400" s="106"/>
      <c r="U400" s="106"/>
      <c r="V400" s="284">
        <f>Table626893456[[#This Row],[PO Value]]-Table626893456[[#This Row],[Offer Value]]</f>
        <v>0</v>
      </c>
      <c r="W400" s="106"/>
      <c r="X400" s="106"/>
      <c r="Y400" s="661"/>
      <c r="Z400" s="7"/>
      <c r="AA400" s="7"/>
    </row>
    <row r="401" spans="1:27" ht="18">
      <c r="A401" s="106"/>
      <c r="B401" s="106"/>
      <c r="C401" s="106"/>
      <c r="D401" s="106"/>
      <c r="E401" s="106"/>
      <c r="F401" s="106"/>
      <c r="G401" s="106"/>
      <c r="H401" s="509"/>
      <c r="I401" s="106"/>
      <c r="J401" s="545"/>
      <c r="K401" s="108"/>
      <c r="L401" s="106"/>
      <c r="M401" s="106"/>
      <c r="N401" s="106"/>
      <c r="O401" s="106"/>
      <c r="P401" s="106"/>
      <c r="Q401" s="109"/>
      <c r="R401" s="106"/>
      <c r="S401" s="107"/>
      <c r="T401" s="106"/>
      <c r="U401" s="106"/>
      <c r="V401" s="284">
        <f>Table626893456[[#This Row],[PO Value]]-Table626893456[[#This Row],[Offer Value]]</f>
        <v>0</v>
      </c>
      <c r="W401" s="106"/>
      <c r="X401" s="106"/>
      <c r="Y401" s="661"/>
      <c r="Z401" s="7"/>
      <c r="AA401" s="7"/>
    </row>
    <row r="402" spans="1:27" ht="18">
      <c r="A402" s="106"/>
      <c r="B402" s="106"/>
      <c r="C402" s="106"/>
      <c r="D402" s="106"/>
      <c r="E402" s="106"/>
      <c r="F402" s="106"/>
      <c r="G402" s="106"/>
      <c r="H402" s="509"/>
      <c r="I402" s="106"/>
      <c r="J402" s="545"/>
      <c r="K402" s="108"/>
      <c r="L402" s="106"/>
      <c r="M402" s="106"/>
      <c r="N402" s="106"/>
      <c r="O402" s="106"/>
      <c r="P402" s="106"/>
      <c r="Q402" s="109"/>
      <c r="R402" s="106"/>
      <c r="S402" s="107"/>
      <c r="T402" s="106"/>
      <c r="U402" s="106"/>
      <c r="V402" s="284">
        <f>Table626893456[[#This Row],[PO Value]]-Table626893456[[#This Row],[Offer Value]]</f>
        <v>0</v>
      </c>
      <c r="W402" s="106"/>
      <c r="X402" s="106"/>
      <c r="Y402" s="661"/>
      <c r="Z402" s="7"/>
      <c r="AA402" s="7"/>
    </row>
    <row r="403" spans="1:27" ht="18">
      <c r="A403" s="106"/>
      <c r="B403" s="106"/>
      <c r="C403" s="106"/>
      <c r="D403" s="106"/>
      <c r="E403" s="106"/>
      <c r="F403" s="106"/>
      <c r="G403" s="106"/>
      <c r="H403" s="509"/>
      <c r="I403" s="106"/>
      <c r="J403" s="545"/>
      <c r="K403" s="108"/>
      <c r="L403" s="106"/>
      <c r="M403" s="106"/>
      <c r="N403" s="106"/>
      <c r="O403" s="106"/>
      <c r="P403" s="106"/>
      <c r="Q403" s="109"/>
      <c r="R403" s="106"/>
      <c r="S403" s="107"/>
      <c r="T403" s="106"/>
      <c r="U403" s="106"/>
      <c r="V403" s="284">
        <f>Table626893456[[#This Row],[PO Value]]-Table626893456[[#This Row],[Offer Value]]</f>
        <v>0</v>
      </c>
      <c r="W403" s="106"/>
      <c r="X403" s="106"/>
      <c r="Y403" s="661"/>
      <c r="Z403" s="7"/>
      <c r="AA403" s="7"/>
    </row>
    <row r="404" spans="1:27" ht="18">
      <c r="A404" s="106"/>
      <c r="B404" s="106"/>
      <c r="C404" s="106"/>
      <c r="D404" s="106"/>
      <c r="E404" s="106"/>
      <c r="F404" s="106"/>
      <c r="G404" s="106"/>
      <c r="H404" s="509"/>
      <c r="I404" s="106"/>
      <c r="J404" s="545"/>
      <c r="K404" s="108"/>
      <c r="L404" s="106"/>
      <c r="M404" s="106"/>
      <c r="N404" s="106"/>
      <c r="O404" s="106"/>
      <c r="P404" s="106"/>
      <c r="Q404" s="109"/>
      <c r="R404" s="106"/>
      <c r="S404" s="107"/>
      <c r="T404" s="106"/>
      <c r="U404" s="106"/>
      <c r="V404" s="284">
        <f>Table626893456[[#This Row],[PO Value]]-Table626893456[[#This Row],[Offer Value]]</f>
        <v>0</v>
      </c>
      <c r="W404" s="106"/>
      <c r="X404" s="106"/>
      <c r="Y404" s="661"/>
      <c r="Z404" s="7"/>
      <c r="AA404" s="7"/>
    </row>
    <row r="405" spans="1:27" ht="18">
      <c r="A405" s="106"/>
      <c r="B405" s="106"/>
      <c r="C405" s="106"/>
      <c r="D405" s="106"/>
      <c r="E405" s="106"/>
      <c r="F405" s="106"/>
      <c r="G405" s="106"/>
      <c r="H405" s="509"/>
      <c r="I405" s="106"/>
      <c r="J405" s="545"/>
      <c r="K405" s="108"/>
      <c r="L405" s="106"/>
      <c r="M405" s="106"/>
      <c r="N405" s="106"/>
      <c r="O405" s="106"/>
      <c r="P405" s="106"/>
      <c r="Q405" s="109"/>
      <c r="R405" s="106"/>
      <c r="S405" s="107"/>
      <c r="T405" s="106"/>
      <c r="U405" s="106"/>
      <c r="V405" s="284">
        <f>Table626893456[[#This Row],[PO Value]]-Table626893456[[#This Row],[Offer Value]]</f>
        <v>0</v>
      </c>
      <c r="W405" s="106"/>
      <c r="X405" s="106"/>
      <c r="Y405" s="661"/>
      <c r="Z405" s="7"/>
      <c r="AA405" s="7"/>
    </row>
    <row r="406" spans="1:27" ht="18">
      <c r="A406" s="106"/>
      <c r="B406" s="106"/>
      <c r="C406" s="106"/>
      <c r="D406" s="106"/>
      <c r="E406" s="106"/>
      <c r="F406" s="106"/>
      <c r="G406" s="106"/>
      <c r="H406" s="509"/>
      <c r="I406" s="106"/>
      <c r="J406" s="545"/>
      <c r="K406" s="108"/>
      <c r="L406" s="106"/>
      <c r="M406" s="106"/>
      <c r="N406" s="106"/>
      <c r="O406" s="106"/>
      <c r="P406" s="106"/>
      <c r="Q406" s="109"/>
      <c r="R406" s="106"/>
      <c r="S406" s="107"/>
      <c r="T406" s="106"/>
      <c r="U406" s="106"/>
      <c r="V406" s="284">
        <f>Table626893456[[#This Row],[PO Value]]-Table626893456[[#This Row],[Offer Value]]</f>
        <v>0</v>
      </c>
      <c r="W406" s="106"/>
      <c r="X406" s="106"/>
      <c r="Y406" s="661"/>
      <c r="Z406" s="7"/>
      <c r="AA406" s="7"/>
    </row>
    <row r="407" spans="1:27" ht="18">
      <c r="A407" s="106"/>
      <c r="B407" s="106"/>
      <c r="C407" s="106"/>
      <c r="D407" s="106"/>
      <c r="E407" s="106"/>
      <c r="F407" s="106"/>
      <c r="G407" s="106"/>
      <c r="H407" s="509"/>
      <c r="I407" s="106"/>
      <c r="J407" s="545"/>
      <c r="K407" s="108"/>
      <c r="L407" s="106"/>
      <c r="M407" s="106"/>
      <c r="N407" s="106"/>
      <c r="O407" s="106"/>
      <c r="P407" s="106"/>
      <c r="Q407" s="109"/>
      <c r="R407" s="106"/>
      <c r="S407" s="107"/>
      <c r="T407" s="106"/>
      <c r="U407" s="106"/>
      <c r="V407" s="284">
        <f>Table626893456[[#This Row],[PO Value]]-Table626893456[[#This Row],[Offer Value]]</f>
        <v>0</v>
      </c>
      <c r="W407" s="106"/>
      <c r="X407" s="106"/>
      <c r="Y407" s="661"/>
      <c r="Z407" s="7"/>
      <c r="AA407" s="7"/>
    </row>
    <row r="408" spans="1:27" ht="18">
      <c r="A408" s="106"/>
      <c r="B408" s="106"/>
      <c r="C408" s="106"/>
      <c r="D408" s="106"/>
      <c r="E408" s="106"/>
      <c r="F408" s="106"/>
      <c r="G408" s="106"/>
      <c r="H408" s="509"/>
      <c r="I408" s="106"/>
      <c r="J408" s="545"/>
      <c r="K408" s="108"/>
      <c r="L408" s="106"/>
      <c r="M408" s="106"/>
      <c r="N408" s="106"/>
      <c r="O408" s="106"/>
      <c r="P408" s="106"/>
      <c r="Q408" s="109"/>
      <c r="R408" s="106"/>
      <c r="S408" s="107"/>
      <c r="T408" s="106"/>
      <c r="U408" s="106"/>
      <c r="V408" s="284">
        <f>Table626893456[[#This Row],[PO Value]]-Table626893456[[#This Row],[Offer Value]]</f>
        <v>0</v>
      </c>
      <c r="W408" s="106"/>
      <c r="X408" s="106"/>
      <c r="Y408" s="661"/>
      <c r="Z408" s="7"/>
      <c r="AA408" s="7"/>
    </row>
    <row r="409" spans="1:27" ht="18">
      <c r="A409" s="106"/>
      <c r="B409" s="106"/>
      <c r="C409" s="106"/>
      <c r="D409" s="106"/>
      <c r="E409" s="106"/>
      <c r="F409" s="106"/>
      <c r="G409" s="106"/>
      <c r="H409" s="509"/>
      <c r="I409" s="106"/>
      <c r="J409" s="545"/>
      <c r="K409" s="108"/>
      <c r="L409" s="106"/>
      <c r="M409" s="106"/>
      <c r="N409" s="106"/>
      <c r="O409" s="106"/>
      <c r="P409" s="106"/>
      <c r="Q409" s="109"/>
      <c r="R409" s="106"/>
      <c r="S409" s="107"/>
      <c r="T409" s="106"/>
      <c r="U409" s="106"/>
      <c r="V409" s="284">
        <f>Table626893456[[#This Row],[PO Value]]-Table626893456[[#This Row],[Offer Value]]</f>
        <v>0</v>
      </c>
      <c r="W409" s="106"/>
      <c r="X409" s="106"/>
      <c r="Y409" s="661"/>
      <c r="Z409" s="7"/>
      <c r="AA409" s="7"/>
    </row>
    <row r="410" spans="1:27" ht="18">
      <c r="A410" s="106"/>
      <c r="B410" s="106"/>
      <c r="C410" s="106"/>
      <c r="D410" s="106"/>
      <c r="E410" s="106"/>
      <c r="F410" s="106"/>
      <c r="G410" s="106"/>
      <c r="H410" s="509"/>
      <c r="I410" s="106"/>
      <c r="J410" s="545"/>
      <c r="K410" s="108"/>
      <c r="L410" s="106"/>
      <c r="M410" s="106"/>
      <c r="N410" s="106"/>
      <c r="O410" s="106"/>
      <c r="P410" s="106"/>
      <c r="Q410" s="109"/>
      <c r="R410" s="106"/>
      <c r="S410" s="107"/>
      <c r="T410" s="106"/>
      <c r="U410" s="106"/>
      <c r="V410" s="284">
        <f>Table626893456[[#This Row],[PO Value]]-Table626893456[[#This Row],[Offer Value]]</f>
        <v>0</v>
      </c>
      <c r="W410" s="106"/>
      <c r="X410" s="106"/>
      <c r="Y410" s="661"/>
      <c r="Z410" s="7"/>
      <c r="AA410" s="7"/>
    </row>
    <row r="411" spans="1:27" ht="18">
      <c r="A411" s="106"/>
      <c r="B411" s="106"/>
      <c r="C411" s="106"/>
      <c r="D411" s="106"/>
      <c r="E411" s="106"/>
      <c r="F411" s="106"/>
      <c r="G411" s="106"/>
      <c r="H411" s="509"/>
      <c r="I411" s="106"/>
      <c r="J411" s="545"/>
      <c r="K411" s="108"/>
      <c r="L411" s="106"/>
      <c r="M411" s="106"/>
      <c r="N411" s="106"/>
      <c r="O411" s="106"/>
      <c r="P411" s="106"/>
      <c r="Q411" s="109"/>
      <c r="R411" s="106"/>
      <c r="S411" s="107"/>
      <c r="T411" s="106"/>
      <c r="U411" s="106"/>
      <c r="V411" s="284">
        <f>Table626893456[[#This Row],[PO Value]]-Table626893456[[#This Row],[Offer Value]]</f>
        <v>0</v>
      </c>
      <c r="W411" s="106"/>
      <c r="X411" s="106"/>
      <c r="Y411" s="661"/>
      <c r="Z411" s="7"/>
      <c r="AA411" s="7"/>
    </row>
    <row r="412" spans="1:27" ht="18">
      <c r="A412" s="106"/>
      <c r="B412" s="106"/>
      <c r="C412" s="106"/>
      <c r="D412" s="106"/>
      <c r="E412" s="106"/>
      <c r="F412" s="106"/>
      <c r="G412" s="106"/>
      <c r="H412" s="509"/>
      <c r="I412" s="106"/>
      <c r="J412" s="545"/>
      <c r="K412" s="108"/>
      <c r="L412" s="106"/>
      <c r="M412" s="106"/>
      <c r="N412" s="106"/>
      <c r="O412" s="106"/>
      <c r="P412" s="106"/>
      <c r="Q412" s="109"/>
      <c r="R412" s="106"/>
      <c r="S412" s="107"/>
      <c r="T412" s="106"/>
      <c r="U412" s="106"/>
      <c r="V412" s="284">
        <f>Table626893456[[#This Row],[PO Value]]-Table626893456[[#This Row],[Offer Value]]</f>
        <v>0</v>
      </c>
      <c r="W412" s="106"/>
      <c r="X412" s="106"/>
      <c r="Y412" s="661"/>
      <c r="Z412" s="7"/>
      <c r="AA412" s="7"/>
    </row>
    <row r="413" spans="1:27" ht="18">
      <c r="A413" s="106"/>
      <c r="B413" s="106"/>
      <c r="C413" s="106"/>
      <c r="D413" s="106"/>
      <c r="E413" s="106"/>
      <c r="F413" s="106"/>
      <c r="G413" s="106"/>
      <c r="H413" s="509"/>
      <c r="I413" s="106"/>
      <c r="J413" s="545"/>
      <c r="K413" s="108"/>
      <c r="L413" s="106"/>
      <c r="M413" s="106"/>
      <c r="N413" s="106"/>
      <c r="O413" s="106"/>
      <c r="P413" s="106"/>
      <c r="Q413" s="109"/>
      <c r="R413" s="106"/>
      <c r="S413" s="107"/>
      <c r="T413" s="106"/>
      <c r="U413" s="106"/>
      <c r="V413" s="284">
        <f>Table626893456[[#This Row],[PO Value]]-Table626893456[[#This Row],[Offer Value]]</f>
        <v>0</v>
      </c>
      <c r="W413" s="106"/>
      <c r="X413" s="106"/>
      <c r="Y413" s="661"/>
      <c r="Z413" s="7"/>
      <c r="AA413" s="7"/>
    </row>
    <row r="414" spans="1:27" ht="18">
      <c r="A414" s="106"/>
      <c r="B414" s="106"/>
      <c r="C414" s="106"/>
      <c r="D414" s="106"/>
      <c r="E414" s="106"/>
      <c r="F414" s="106"/>
      <c r="G414" s="106"/>
      <c r="H414" s="509"/>
      <c r="I414" s="106"/>
      <c r="J414" s="545"/>
      <c r="K414" s="108"/>
      <c r="L414" s="106"/>
      <c r="M414" s="106"/>
      <c r="N414" s="106"/>
      <c r="O414" s="106"/>
      <c r="P414" s="106"/>
      <c r="Q414" s="109"/>
      <c r="R414" s="106"/>
      <c r="S414" s="107"/>
      <c r="T414" s="106"/>
      <c r="U414" s="106"/>
      <c r="V414" s="284">
        <f>Table626893456[[#This Row],[PO Value]]-Table626893456[[#This Row],[Offer Value]]</f>
        <v>0</v>
      </c>
      <c r="W414" s="106"/>
      <c r="X414" s="106"/>
      <c r="Y414" s="661"/>
      <c r="Z414" s="7"/>
      <c r="AA414" s="7"/>
    </row>
    <row r="415" spans="1:27" ht="18">
      <c r="A415" s="106"/>
      <c r="B415" s="106"/>
      <c r="C415" s="106"/>
      <c r="D415" s="106"/>
      <c r="E415" s="106"/>
      <c r="F415" s="106"/>
      <c r="G415" s="106"/>
      <c r="H415" s="509"/>
      <c r="I415" s="106"/>
      <c r="J415" s="545"/>
      <c r="K415" s="108"/>
      <c r="L415" s="106"/>
      <c r="M415" s="106"/>
      <c r="N415" s="106"/>
      <c r="O415" s="106"/>
      <c r="P415" s="106"/>
      <c r="Q415" s="109"/>
      <c r="R415" s="106"/>
      <c r="S415" s="107"/>
      <c r="T415" s="106"/>
      <c r="U415" s="106"/>
      <c r="V415" s="284">
        <f>Table626893456[[#This Row],[PO Value]]-Table626893456[[#This Row],[Offer Value]]</f>
        <v>0</v>
      </c>
      <c r="W415" s="106"/>
      <c r="X415" s="106"/>
      <c r="Y415" s="661"/>
      <c r="Z415" s="7"/>
      <c r="AA415" s="7"/>
    </row>
    <row r="416" spans="1:27" ht="18">
      <c r="A416" s="106"/>
      <c r="B416" s="106"/>
      <c r="C416" s="106"/>
      <c r="D416" s="106"/>
      <c r="E416" s="106"/>
      <c r="F416" s="106"/>
      <c r="G416" s="106"/>
      <c r="H416" s="509"/>
      <c r="I416" s="106"/>
      <c r="J416" s="545"/>
      <c r="K416" s="108"/>
      <c r="L416" s="106"/>
      <c r="M416" s="106"/>
      <c r="N416" s="106"/>
      <c r="O416" s="106"/>
      <c r="P416" s="106"/>
      <c r="Q416" s="109"/>
      <c r="R416" s="106"/>
      <c r="S416" s="107"/>
      <c r="T416" s="106"/>
      <c r="U416" s="106"/>
      <c r="V416" s="284">
        <f>Table626893456[[#This Row],[PO Value]]-Table626893456[[#This Row],[Offer Value]]</f>
        <v>0</v>
      </c>
      <c r="W416" s="106"/>
      <c r="X416" s="106"/>
      <c r="Y416" s="661"/>
      <c r="Z416" s="7"/>
      <c r="AA416" s="7"/>
    </row>
    <row r="417" spans="1:27" ht="18">
      <c r="A417" s="106"/>
      <c r="B417" s="106"/>
      <c r="C417" s="106"/>
      <c r="D417" s="106"/>
      <c r="E417" s="106"/>
      <c r="F417" s="106"/>
      <c r="G417" s="106"/>
      <c r="H417" s="509"/>
      <c r="I417" s="106"/>
      <c r="J417" s="545"/>
      <c r="K417" s="108"/>
      <c r="L417" s="106"/>
      <c r="M417" s="106"/>
      <c r="N417" s="106"/>
      <c r="O417" s="106"/>
      <c r="P417" s="106"/>
      <c r="Q417" s="109"/>
      <c r="R417" s="106"/>
      <c r="S417" s="107"/>
      <c r="T417" s="106"/>
      <c r="U417" s="106"/>
      <c r="V417" s="284">
        <f>Table626893456[[#This Row],[PO Value]]-Table626893456[[#This Row],[Offer Value]]</f>
        <v>0</v>
      </c>
      <c r="W417" s="106"/>
      <c r="X417" s="106"/>
      <c r="Y417" s="661"/>
      <c r="Z417" s="7"/>
      <c r="AA417" s="7"/>
    </row>
    <row r="418" spans="1:27" ht="18">
      <c r="A418" s="106"/>
      <c r="B418" s="106"/>
      <c r="C418" s="106"/>
      <c r="D418" s="106"/>
      <c r="E418" s="106"/>
      <c r="F418" s="106"/>
      <c r="G418" s="106"/>
      <c r="H418" s="509"/>
      <c r="I418" s="106"/>
      <c r="J418" s="545"/>
      <c r="K418" s="108"/>
      <c r="L418" s="106"/>
      <c r="M418" s="106"/>
      <c r="N418" s="106"/>
      <c r="O418" s="106"/>
      <c r="P418" s="106"/>
      <c r="Q418" s="109"/>
      <c r="R418" s="106"/>
      <c r="S418" s="107"/>
      <c r="T418" s="106"/>
      <c r="U418" s="106"/>
      <c r="V418" s="284">
        <f>Table626893456[[#This Row],[PO Value]]-Table626893456[[#This Row],[Offer Value]]</f>
        <v>0</v>
      </c>
      <c r="W418" s="106"/>
      <c r="X418" s="106"/>
      <c r="Y418" s="661"/>
      <c r="Z418" s="7"/>
      <c r="AA418" s="7"/>
    </row>
    <row r="419" spans="1:27" ht="18">
      <c r="A419" s="106"/>
      <c r="B419" s="106"/>
      <c r="C419" s="106"/>
      <c r="D419" s="106"/>
      <c r="E419" s="106"/>
      <c r="F419" s="106"/>
      <c r="G419" s="106"/>
      <c r="H419" s="509"/>
      <c r="I419" s="106"/>
      <c r="J419" s="545"/>
      <c r="K419" s="108"/>
      <c r="L419" s="106"/>
      <c r="M419" s="106"/>
      <c r="N419" s="106"/>
      <c r="O419" s="106"/>
      <c r="P419" s="106"/>
      <c r="Q419" s="109"/>
      <c r="R419" s="106"/>
      <c r="S419" s="107"/>
      <c r="T419" s="106"/>
      <c r="U419" s="106"/>
      <c r="V419" s="284">
        <f>Table626893456[[#This Row],[PO Value]]-Table626893456[[#This Row],[Offer Value]]</f>
        <v>0</v>
      </c>
      <c r="W419" s="106"/>
      <c r="X419" s="106"/>
      <c r="Y419" s="661"/>
      <c r="Z419" s="7"/>
      <c r="AA419" s="7"/>
    </row>
    <row r="420" spans="1:27" ht="18">
      <c r="A420" s="106"/>
      <c r="B420" s="106"/>
      <c r="C420" s="106"/>
      <c r="D420" s="106"/>
      <c r="E420" s="106"/>
      <c r="F420" s="106"/>
      <c r="G420" s="106"/>
      <c r="H420" s="509"/>
      <c r="I420" s="106"/>
      <c r="J420" s="545"/>
      <c r="K420" s="108"/>
      <c r="L420" s="106"/>
      <c r="M420" s="106"/>
      <c r="N420" s="106"/>
      <c r="O420" s="106"/>
      <c r="P420" s="106"/>
      <c r="Q420" s="109"/>
      <c r="R420" s="106"/>
      <c r="S420" s="107"/>
      <c r="T420" s="106"/>
      <c r="U420" s="106"/>
      <c r="V420" s="284">
        <f>Table626893456[[#This Row],[PO Value]]-Table626893456[[#This Row],[Offer Value]]</f>
        <v>0</v>
      </c>
      <c r="W420" s="106"/>
      <c r="X420" s="106"/>
      <c r="Y420" s="661"/>
      <c r="Z420" s="7"/>
      <c r="AA420" s="7"/>
    </row>
    <row r="421" spans="1:27" ht="18">
      <c r="A421" s="106"/>
      <c r="B421" s="106"/>
      <c r="C421" s="106"/>
      <c r="D421" s="106"/>
      <c r="E421" s="106"/>
      <c r="F421" s="106"/>
      <c r="G421" s="106"/>
      <c r="H421" s="509"/>
      <c r="I421" s="106"/>
      <c r="J421" s="545"/>
      <c r="K421" s="108"/>
      <c r="L421" s="106"/>
      <c r="M421" s="106"/>
      <c r="N421" s="106"/>
      <c r="O421" s="106"/>
      <c r="P421" s="106"/>
      <c r="Q421" s="109"/>
      <c r="R421" s="106"/>
      <c r="S421" s="107"/>
      <c r="T421" s="106"/>
      <c r="U421" s="106"/>
      <c r="V421" s="284">
        <f>Table626893456[[#This Row],[PO Value]]-Table626893456[[#This Row],[Offer Value]]</f>
        <v>0</v>
      </c>
      <c r="W421" s="106"/>
      <c r="X421" s="106"/>
      <c r="Y421" s="661"/>
      <c r="Z421" s="7"/>
      <c r="AA421" s="7"/>
    </row>
    <row r="422" spans="1:27" ht="18">
      <c r="A422" s="106"/>
      <c r="B422" s="106"/>
      <c r="C422" s="106"/>
      <c r="D422" s="106"/>
      <c r="E422" s="106"/>
      <c r="F422" s="106"/>
      <c r="G422" s="106"/>
      <c r="H422" s="509"/>
      <c r="I422" s="106"/>
      <c r="J422" s="545"/>
      <c r="K422" s="108"/>
      <c r="L422" s="106"/>
      <c r="M422" s="106"/>
      <c r="N422" s="106"/>
      <c r="O422" s="106"/>
      <c r="P422" s="106"/>
      <c r="Q422" s="109"/>
      <c r="R422" s="106"/>
      <c r="S422" s="107"/>
      <c r="T422" s="106"/>
      <c r="U422" s="106"/>
      <c r="V422" s="284">
        <f>Table626893456[[#This Row],[PO Value]]-Table626893456[[#This Row],[Offer Value]]</f>
        <v>0</v>
      </c>
      <c r="W422" s="106"/>
      <c r="X422" s="106"/>
      <c r="Y422" s="661"/>
      <c r="Z422" s="7"/>
      <c r="AA422" s="7"/>
    </row>
    <row r="423" spans="1:27" ht="18">
      <c r="A423" s="106"/>
      <c r="B423" s="106"/>
      <c r="C423" s="106"/>
      <c r="D423" s="106"/>
      <c r="E423" s="106"/>
      <c r="F423" s="106"/>
      <c r="G423" s="106"/>
      <c r="H423" s="509"/>
      <c r="I423" s="106"/>
      <c r="J423" s="545"/>
      <c r="K423" s="106"/>
      <c r="L423" s="106"/>
      <c r="M423" s="106"/>
      <c r="N423" s="128"/>
      <c r="O423" s="128"/>
      <c r="P423" s="106"/>
      <c r="Q423" s="109"/>
      <c r="R423" s="129"/>
      <c r="S423" s="130"/>
      <c r="T423" s="106"/>
      <c r="U423" s="129"/>
      <c r="V423" s="284">
        <f>Table626893456[[#This Row],[PO Value]]-Table626893456[[#This Row],[Offer Value]]</f>
        <v>0</v>
      </c>
      <c r="W423" s="106"/>
      <c r="X423" s="106"/>
      <c r="Y423" s="662"/>
      <c r="Z423" s="7"/>
      <c r="AA423" s="7"/>
    </row>
    <row r="424" spans="1:27" ht="18">
      <c r="A424" s="118"/>
      <c r="B424" s="119"/>
      <c r="C424" s="120"/>
      <c r="D424" s="120"/>
      <c r="E424" s="120"/>
      <c r="F424" s="120"/>
      <c r="G424" s="120"/>
      <c r="H424" s="547"/>
      <c r="I424" s="120"/>
      <c r="J424" s="545"/>
      <c r="K424" s="121"/>
      <c r="L424" s="120"/>
      <c r="M424" s="206"/>
      <c r="N424" s="131"/>
      <c r="O424" s="131"/>
      <c r="P424" s="123"/>
      <c r="Q424" s="124"/>
      <c r="R424" s="206"/>
      <c r="S424" s="206"/>
      <c r="T424" s="123"/>
      <c r="U424" s="131"/>
      <c r="V424" s="284">
        <f>Table626893456[[#This Row],[PO Value]]-Table626893456[[#This Row],[Offer Value]]</f>
        <v>0</v>
      </c>
      <c r="W424" s="123"/>
      <c r="X424" s="120"/>
      <c r="Y424" s="663"/>
      <c r="Z424" s="7"/>
      <c r="AA424" s="7"/>
    </row>
    <row r="425" spans="1:27" ht="18">
      <c r="A425" s="118"/>
      <c r="B425" s="119"/>
      <c r="C425" s="120"/>
      <c r="D425" s="120"/>
      <c r="E425" s="120"/>
      <c r="F425" s="120"/>
      <c r="G425" s="120"/>
      <c r="H425" s="547"/>
      <c r="I425" s="120"/>
      <c r="J425" s="545"/>
      <c r="K425" s="121"/>
      <c r="L425" s="120"/>
      <c r="M425" s="206"/>
      <c r="N425" s="131"/>
      <c r="O425" s="131"/>
      <c r="P425" s="123"/>
      <c r="Q425" s="124"/>
      <c r="R425" s="206"/>
      <c r="S425" s="206"/>
      <c r="T425" s="123"/>
      <c r="U425" s="131"/>
      <c r="V425" s="284">
        <f>Table626893456[[#This Row],[PO Value]]-Table626893456[[#This Row],[Offer Value]]</f>
        <v>0</v>
      </c>
      <c r="W425" s="123"/>
      <c r="X425" s="120"/>
      <c r="Y425" s="663"/>
      <c r="Z425" s="7"/>
      <c r="AA425" s="7"/>
    </row>
    <row r="426" spans="1:27" ht="18">
      <c r="A426" s="118"/>
      <c r="B426" s="126"/>
      <c r="C426" s="120"/>
      <c r="D426" s="120"/>
      <c r="E426" s="120"/>
      <c r="F426" s="120"/>
      <c r="G426" s="120"/>
      <c r="H426" s="547"/>
      <c r="I426" s="120"/>
      <c r="J426" s="545"/>
      <c r="K426" s="121"/>
      <c r="L426" s="120"/>
      <c r="M426" s="206"/>
      <c r="N426" s="131"/>
      <c r="O426" s="131"/>
      <c r="P426" s="123"/>
      <c r="Q426" s="124"/>
      <c r="R426" s="206"/>
      <c r="S426" s="206"/>
      <c r="T426" s="131"/>
      <c r="U426" s="131"/>
      <c r="V426" s="284">
        <f>Table626893456[[#This Row],[PO Value]]-Table626893456[[#This Row],[Offer Value]]</f>
        <v>0</v>
      </c>
      <c r="W426" s="123"/>
      <c r="X426" s="120"/>
      <c r="Y426" s="663"/>
      <c r="Z426" s="7"/>
      <c r="AA426" s="7"/>
    </row>
    <row r="427" spans="1:27" ht="18">
      <c r="A427" s="118"/>
      <c r="B427" s="119"/>
      <c r="C427" s="120"/>
      <c r="D427" s="120"/>
      <c r="E427" s="120"/>
      <c r="F427" s="120"/>
      <c r="G427" s="120"/>
      <c r="H427" s="547"/>
      <c r="I427" s="120"/>
      <c r="J427" s="545"/>
      <c r="K427" s="121"/>
      <c r="L427" s="120"/>
      <c r="M427" s="206"/>
      <c r="N427" s="131"/>
      <c r="O427" s="131"/>
      <c r="P427" s="123"/>
      <c r="Q427" s="124"/>
      <c r="R427" s="206"/>
      <c r="S427" s="206"/>
      <c r="T427" s="123"/>
      <c r="U427" s="131"/>
      <c r="V427" s="284">
        <f>Table626893456[[#This Row],[PO Value]]-Table626893456[[#This Row],[Offer Value]]</f>
        <v>0</v>
      </c>
      <c r="W427" s="123"/>
      <c r="X427" s="120"/>
      <c r="Y427" s="663"/>
      <c r="Z427" s="7"/>
      <c r="AA427" s="7"/>
    </row>
    <row r="428" spans="1:27" ht="18">
      <c r="A428" s="33"/>
      <c r="B428" s="34"/>
      <c r="C428" s="35"/>
      <c r="D428" s="35"/>
      <c r="E428" s="35"/>
      <c r="F428" s="35"/>
      <c r="G428" s="35"/>
      <c r="H428" s="548"/>
      <c r="I428" s="35"/>
      <c r="J428" s="545"/>
      <c r="K428" s="36"/>
      <c r="L428" s="35"/>
      <c r="M428" s="288"/>
      <c r="N428" s="38"/>
      <c r="O428" s="38"/>
      <c r="P428" s="39"/>
      <c r="Q428" s="98"/>
      <c r="R428" s="288"/>
      <c r="S428" s="288"/>
      <c r="T428" s="39"/>
      <c r="U428" s="41"/>
      <c r="V428" s="284">
        <f>Table626893456[[#This Row],[PO Value]]-Table626893456[[#This Row],[Offer Value]]</f>
        <v>0</v>
      </c>
      <c r="W428" s="39"/>
      <c r="X428" s="35"/>
      <c r="Y428" s="664"/>
      <c r="Z428" s="7"/>
      <c r="AA428" s="7"/>
    </row>
    <row r="429" spans="1:27" ht="18">
      <c r="A429" s="33"/>
      <c r="B429" s="34"/>
      <c r="C429" s="35"/>
      <c r="D429" s="35"/>
      <c r="E429" s="35"/>
      <c r="F429" s="35"/>
      <c r="G429" s="35"/>
      <c r="H429" s="548"/>
      <c r="I429" s="35"/>
      <c r="J429" s="545"/>
      <c r="K429" s="36"/>
      <c r="L429" s="35"/>
      <c r="M429" s="288"/>
      <c r="N429" s="38"/>
      <c r="O429" s="38"/>
      <c r="P429" s="39"/>
      <c r="Q429" s="98"/>
      <c r="R429" s="288"/>
      <c r="S429" s="288"/>
      <c r="T429" s="39"/>
      <c r="U429" s="41"/>
      <c r="V429" s="284">
        <f>Table626893456[[#This Row],[PO Value]]-Table626893456[[#This Row],[Offer Value]]</f>
        <v>0</v>
      </c>
      <c r="W429" s="39"/>
      <c r="X429" s="35"/>
      <c r="Y429" s="664"/>
      <c r="Z429" s="7"/>
      <c r="AA429" s="7"/>
    </row>
    <row r="430" spans="1:27" ht="18">
      <c r="A430" s="33"/>
      <c r="B430" s="34"/>
      <c r="C430" s="35"/>
      <c r="D430" s="35"/>
      <c r="E430" s="35"/>
      <c r="F430" s="35"/>
      <c r="G430" s="35"/>
      <c r="H430" s="548"/>
      <c r="I430" s="35"/>
      <c r="J430" s="545"/>
      <c r="K430" s="36"/>
      <c r="L430" s="35"/>
      <c r="M430" s="288"/>
      <c r="N430" s="38"/>
      <c r="O430" s="38"/>
      <c r="P430" s="39"/>
      <c r="Q430" s="98"/>
      <c r="R430" s="288"/>
      <c r="S430" s="288"/>
      <c r="T430" s="39"/>
      <c r="U430" s="41"/>
      <c r="V430" s="284">
        <f>Table626893456[[#This Row],[PO Value]]-Table626893456[[#This Row],[Offer Value]]</f>
        <v>0</v>
      </c>
      <c r="W430" s="39"/>
      <c r="X430" s="35"/>
      <c r="Y430" s="664"/>
      <c r="Z430" s="7"/>
      <c r="AA430" s="7"/>
    </row>
    <row r="431" spans="1:27" ht="18">
      <c r="A431" s="33"/>
      <c r="B431" s="34"/>
      <c r="C431" s="35"/>
      <c r="D431" s="35"/>
      <c r="E431" s="35"/>
      <c r="F431" s="35"/>
      <c r="G431" s="35"/>
      <c r="H431" s="548"/>
      <c r="I431" s="35"/>
      <c r="J431" s="545"/>
      <c r="K431" s="36"/>
      <c r="L431" s="35"/>
      <c r="M431" s="288"/>
      <c r="N431" s="38"/>
      <c r="O431" s="38"/>
      <c r="P431" s="39"/>
      <c r="Q431" s="98"/>
      <c r="R431" s="288"/>
      <c r="S431" s="288"/>
      <c r="T431" s="39"/>
      <c r="U431" s="41"/>
      <c r="V431" s="284">
        <f>Table626893456[[#This Row],[PO Value]]-Table626893456[[#This Row],[Offer Value]]</f>
        <v>0</v>
      </c>
      <c r="W431" s="39"/>
      <c r="X431" s="35"/>
      <c r="Y431" s="664"/>
      <c r="Z431" s="7"/>
      <c r="AA431" s="7"/>
    </row>
    <row r="432" spans="1:27" ht="18">
      <c r="A432" s="33"/>
      <c r="B432" s="34"/>
      <c r="C432" s="35"/>
      <c r="D432" s="35"/>
      <c r="E432" s="35"/>
      <c r="F432" s="35"/>
      <c r="G432" s="35"/>
      <c r="H432" s="548"/>
      <c r="I432" s="35"/>
      <c r="J432" s="545"/>
      <c r="K432" s="36"/>
      <c r="L432" s="35"/>
      <c r="M432" s="288"/>
      <c r="N432" s="38"/>
      <c r="O432" s="38"/>
      <c r="P432" s="39"/>
      <c r="Q432" s="98"/>
      <c r="R432" s="288"/>
      <c r="S432" s="288"/>
      <c r="T432" s="39"/>
      <c r="U432" s="41"/>
      <c r="V432" s="284">
        <f>Table626893456[[#This Row],[PO Value]]-Table626893456[[#This Row],[Offer Value]]</f>
        <v>0</v>
      </c>
      <c r="W432" s="39"/>
      <c r="X432" s="35"/>
      <c r="Y432" s="664"/>
      <c r="Z432" s="7"/>
      <c r="AA432" s="7"/>
    </row>
    <row r="433" spans="1:27" ht="18">
      <c r="A433" s="33"/>
      <c r="B433" s="34"/>
      <c r="C433" s="35"/>
      <c r="D433" s="35"/>
      <c r="E433" s="35"/>
      <c r="F433" s="35"/>
      <c r="G433" s="35"/>
      <c r="H433" s="548"/>
      <c r="I433" s="35"/>
      <c r="J433" s="545"/>
      <c r="K433" s="36"/>
      <c r="L433" s="35"/>
      <c r="M433" s="288"/>
      <c r="N433" s="38"/>
      <c r="O433" s="38"/>
      <c r="P433" s="39"/>
      <c r="Q433" s="98"/>
      <c r="R433" s="288"/>
      <c r="S433" s="288"/>
      <c r="T433" s="39"/>
      <c r="U433" s="41"/>
      <c r="V433" s="284">
        <f>Table626893456[[#This Row],[PO Value]]-Table626893456[[#This Row],[Offer Value]]</f>
        <v>0</v>
      </c>
      <c r="W433" s="39"/>
      <c r="X433" s="35"/>
      <c r="Y433" s="664"/>
      <c r="Z433" s="7"/>
      <c r="AA433" s="7"/>
    </row>
    <row r="434" spans="1:27" ht="18">
      <c r="A434" s="33"/>
      <c r="B434" s="34"/>
      <c r="C434" s="35"/>
      <c r="D434" s="35"/>
      <c r="E434" s="35"/>
      <c r="F434" s="35"/>
      <c r="G434" s="35"/>
      <c r="H434" s="548"/>
      <c r="I434" s="35"/>
      <c r="J434" s="545"/>
      <c r="K434" s="36"/>
      <c r="L434" s="35"/>
      <c r="M434" s="288"/>
      <c r="N434" s="38"/>
      <c r="O434" s="38"/>
      <c r="P434" s="39"/>
      <c r="Q434" s="98"/>
      <c r="R434" s="288"/>
      <c r="S434" s="288"/>
      <c r="T434" s="39"/>
      <c r="U434" s="41"/>
      <c r="V434" s="284">
        <f>Table626893456[[#This Row],[PO Value]]-Table626893456[[#This Row],[Offer Value]]</f>
        <v>0</v>
      </c>
      <c r="W434" s="39"/>
      <c r="X434" s="35"/>
      <c r="Y434" s="664"/>
      <c r="Z434" s="7"/>
      <c r="AA434" s="7"/>
    </row>
    <row r="435" spans="1:27" ht="18">
      <c r="A435" s="33"/>
      <c r="B435" s="34"/>
      <c r="C435" s="35"/>
      <c r="D435" s="35"/>
      <c r="E435" s="35"/>
      <c r="F435" s="35"/>
      <c r="G435" s="35"/>
      <c r="H435" s="548"/>
      <c r="I435" s="35"/>
      <c r="J435" s="545"/>
      <c r="K435" s="36"/>
      <c r="L435" s="35"/>
      <c r="M435" s="288"/>
      <c r="N435" s="38"/>
      <c r="O435" s="38"/>
      <c r="P435" s="39"/>
      <c r="Q435" s="98"/>
      <c r="R435" s="288"/>
      <c r="S435" s="288"/>
      <c r="T435" s="39"/>
      <c r="U435" s="41"/>
      <c r="V435" s="284">
        <f>Table626893456[[#This Row],[PO Value]]-Table626893456[[#This Row],[Offer Value]]</f>
        <v>0</v>
      </c>
      <c r="W435" s="39"/>
      <c r="X435" s="35"/>
      <c r="Y435" s="664"/>
      <c r="Z435" s="7"/>
      <c r="AA435" s="7"/>
    </row>
    <row r="436" spans="1:27" ht="18">
      <c r="A436" s="33"/>
      <c r="B436" s="34"/>
      <c r="C436" s="35"/>
      <c r="D436" s="35"/>
      <c r="E436" s="35"/>
      <c r="F436" s="35"/>
      <c r="G436" s="35"/>
      <c r="H436" s="548"/>
      <c r="I436" s="35"/>
      <c r="J436" s="545"/>
      <c r="K436" s="36"/>
      <c r="L436" s="35"/>
      <c r="M436" s="288"/>
      <c r="N436" s="38"/>
      <c r="O436" s="38"/>
      <c r="P436" s="39"/>
      <c r="Q436" s="98"/>
      <c r="R436" s="288"/>
      <c r="S436" s="288"/>
      <c r="T436" s="39"/>
      <c r="U436" s="41"/>
      <c r="V436" s="284">
        <f>Table626893456[[#This Row],[PO Value]]-Table626893456[[#This Row],[Offer Value]]</f>
        <v>0</v>
      </c>
      <c r="W436" s="39"/>
      <c r="X436" s="35"/>
      <c r="Y436" s="664"/>
      <c r="Z436" s="7"/>
      <c r="AA436" s="7"/>
    </row>
    <row r="437" spans="1:27" ht="18">
      <c r="A437" s="42"/>
      <c r="B437" s="43"/>
      <c r="C437" s="44"/>
      <c r="D437" s="44"/>
      <c r="E437" s="44"/>
      <c r="F437" s="44"/>
      <c r="G437" s="44"/>
      <c r="H437" s="205"/>
      <c r="I437" s="44"/>
      <c r="J437" s="545"/>
      <c r="K437" s="44"/>
      <c r="L437" s="44"/>
      <c r="M437" s="277"/>
      <c r="N437" s="38"/>
      <c r="O437" s="38"/>
      <c r="P437" s="7"/>
      <c r="Q437" s="99"/>
      <c r="R437" s="290"/>
      <c r="S437" s="290"/>
      <c r="T437" s="7"/>
      <c r="U437" s="47"/>
      <c r="V437" s="284">
        <f>Table626893456[[#This Row],[PO Value]]-Table626893456[[#This Row],[Offer Value]]</f>
        <v>0</v>
      </c>
      <c r="W437" s="7"/>
      <c r="X437" s="44"/>
      <c r="Y437" s="665"/>
      <c r="Z437" s="7"/>
      <c r="AA437" s="7"/>
    </row>
    <row r="438" spans="1:27" ht="18">
      <c r="A438" s="184"/>
      <c r="B438" s="185"/>
      <c r="C438" s="186"/>
      <c r="D438" s="186"/>
      <c r="E438" s="186"/>
      <c r="F438" s="186"/>
      <c r="G438" s="186"/>
      <c r="H438" s="310"/>
      <c r="I438" s="186"/>
      <c r="J438" s="545"/>
      <c r="K438" s="187"/>
      <c r="L438" s="186"/>
      <c r="M438" s="291"/>
      <c r="N438" s="189"/>
      <c r="O438" s="189"/>
      <c r="P438" s="190"/>
      <c r="Q438" s="191"/>
      <c r="R438" s="291"/>
      <c r="S438" s="291"/>
      <c r="T438" s="192"/>
      <c r="U438" s="190"/>
      <c r="V438" s="284">
        <f>Table626893456[[#This Row],[PO Value]]-Table626893456[[#This Row],[Offer Value]]</f>
        <v>0</v>
      </c>
      <c r="W438" s="194"/>
      <c r="X438" s="186"/>
      <c r="Y438" s="666"/>
      <c r="Z438" s="7"/>
      <c r="AA438" s="7"/>
    </row>
    <row r="439" spans="1:27" ht="18">
      <c r="A439" s="184"/>
      <c r="B439" s="185"/>
      <c r="C439" s="186"/>
      <c r="D439" s="186"/>
      <c r="E439" s="186"/>
      <c r="F439" s="186"/>
      <c r="G439" s="186"/>
      <c r="H439" s="310"/>
      <c r="I439" s="186"/>
      <c r="J439" s="545"/>
      <c r="K439" s="187"/>
      <c r="L439" s="186"/>
      <c r="M439" s="291"/>
      <c r="N439" s="189"/>
      <c r="O439" s="189"/>
      <c r="P439" s="190"/>
      <c r="Q439" s="191"/>
      <c r="R439" s="291"/>
      <c r="S439" s="291"/>
      <c r="T439" s="192"/>
      <c r="U439" s="190"/>
      <c r="V439" s="284">
        <f>Table626893456[[#This Row],[PO Value]]-Table626893456[[#This Row],[Offer Value]]</f>
        <v>0</v>
      </c>
      <c r="W439" s="194"/>
      <c r="X439" s="186"/>
      <c r="Y439" s="666"/>
      <c r="Z439" s="7"/>
      <c r="AA439" s="7"/>
    </row>
    <row r="440" spans="1:27" ht="18">
      <c r="A440" s="549"/>
      <c r="B440" s="550"/>
      <c r="C440" s="551"/>
      <c r="D440" s="551"/>
      <c r="E440" s="551"/>
      <c r="F440" s="551"/>
      <c r="G440" s="551"/>
      <c r="H440" s="552"/>
      <c r="I440" s="551"/>
      <c r="J440" s="545"/>
      <c r="K440" s="553"/>
      <c r="L440" s="687"/>
      <c r="M440" s="554"/>
      <c r="N440" s="555"/>
      <c r="O440" s="556"/>
      <c r="P440" s="556"/>
      <c r="Q440" s="226"/>
      <c r="R440" s="557"/>
      <c r="S440" s="557"/>
      <c r="T440" s="558"/>
      <c r="U440" s="556"/>
      <c r="V440" s="284">
        <f>Table626893456[[#This Row],[PO Value]]-Table626893456[[#This Row],[Offer Value]]</f>
        <v>0</v>
      </c>
      <c r="W440" s="559"/>
      <c r="X440" s="985"/>
      <c r="Y440" s="667"/>
      <c r="Z440" s="7"/>
      <c r="AA440" s="7"/>
    </row>
    <row r="441" spans="1:27" ht="18">
      <c r="A441" s="560"/>
      <c r="B441" s="34"/>
      <c r="C441" s="35"/>
      <c r="D441" s="35"/>
      <c r="E441" s="35"/>
      <c r="F441" s="35"/>
      <c r="G441" s="35"/>
      <c r="H441" s="548"/>
      <c r="I441" s="35"/>
      <c r="J441" s="545"/>
      <c r="K441" s="36"/>
      <c r="L441" s="688"/>
      <c r="M441" s="288"/>
      <c r="N441" s="38"/>
      <c r="O441" s="38"/>
      <c r="P441" s="41"/>
      <c r="Q441" s="98"/>
      <c r="R441" s="288"/>
      <c r="S441" s="288"/>
      <c r="T441" s="40"/>
      <c r="U441" s="41"/>
      <c r="V441" s="284">
        <f>Table626893456[[#This Row],[PO Value]]-Table626893456[[#This Row],[Offer Value]]</f>
        <v>0</v>
      </c>
      <c r="W441" s="208"/>
      <c r="X441" s="35"/>
      <c r="Y441" s="664"/>
      <c r="Z441" s="7"/>
      <c r="AA441" s="7"/>
    </row>
    <row r="442" spans="1:27" ht="18">
      <c r="A442" s="33"/>
      <c r="B442" s="34"/>
      <c r="C442" s="35"/>
      <c r="D442" s="35"/>
      <c r="E442" s="35"/>
      <c r="F442" s="35"/>
      <c r="G442" s="35"/>
      <c r="H442" s="548"/>
      <c r="I442" s="35"/>
      <c r="J442" s="545"/>
      <c r="K442" s="36"/>
      <c r="L442" s="35"/>
      <c r="M442" s="288"/>
      <c r="N442" s="38"/>
      <c r="O442" s="38"/>
      <c r="P442" s="41"/>
      <c r="Q442" s="98"/>
      <c r="R442" s="288"/>
      <c r="S442" s="288"/>
      <c r="T442" s="40"/>
      <c r="U442" s="41"/>
      <c r="V442" s="284">
        <f>Table626893456[[#This Row],[PO Value]]-Table626893456[[#This Row],[Offer Value]]</f>
        <v>0</v>
      </c>
      <c r="W442" s="208"/>
      <c r="X442" s="35"/>
      <c r="Y442" s="664"/>
      <c r="Z442" s="7"/>
      <c r="AA442" s="7"/>
    </row>
    <row r="443" spans="1:27" ht="18">
      <c r="A443" s="33"/>
      <c r="B443" s="34"/>
      <c r="C443" s="35"/>
      <c r="D443" s="35"/>
      <c r="E443" s="35"/>
      <c r="F443" s="35"/>
      <c r="G443" s="35"/>
      <c r="H443" s="548"/>
      <c r="I443" s="35"/>
      <c r="J443" s="545"/>
      <c r="K443" s="36"/>
      <c r="L443" s="35"/>
      <c r="M443" s="288"/>
      <c r="N443" s="38"/>
      <c r="O443" s="38"/>
      <c r="P443" s="41"/>
      <c r="Q443" s="98"/>
      <c r="R443" s="288"/>
      <c r="S443" s="288"/>
      <c r="T443" s="40"/>
      <c r="U443" s="41"/>
      <c r="V443" s="284">
        <f>Table626893456[[#This Row],[PO Value]]-Table626893456[[#This Row],[Offer Value]]</f>
        <v>0</v>
      </c>
      <c r="W443" s="208"/>
      <c r="X443" s="35"/>
      <c r="Y443" s="664"/>
      <c r="Z443" s="7"/>
      <c r="AA443" s="7"/>
    </row>
    <row r="444" spans="1:27" ht="18">
      <c r="A444" s="33"/>
      <c r="B444" s="34"/>
      <c r="C444" s="35"/>
      <c r="D444" s="35"/>
      <c r="E444" s="35"/>
      <c r="F444" s="35"/>
      <c r="G444" s="35"/>
      <c r="H444" s="548"/>
      <c r="I444" s="35"/>
      <c r="J444" s="545"/>
      <c r="K444" s="36"/>
      <c r="L444" s="35"/>
      <c r="M444" s="288"/>
      <c r="N444" s="38"/>
      <c r="O444" s="38"/>
      <c r="P444" s="41"/>
      <c r="Q444" s="98"/>
      <c r="R444" s="288"/>
      <c r="S444" s="288"/>
      <c r="T444" s="40"/>
      <c r="U444" s="41"/>
      <c r="V444" s="284">
        <f>Table626893456[[#This Row],[PO Value]]-Table626893456[[#This Row],[Offer Value]]</f>
        <v>0</v>
      </c>
      <c r="W444" s="208"/>
      <c r="X444" s="35"/>
      <c r="Y444" s="664"/>
      <c r="Z444" s="7"/>
      <c r="AA444" s="7"/>
    </row>
    <row r="445" spans="1:27" ht="18">
      <c r="A445" s="33"/>
      <c r="B445" s="34"/>
      <c r="C445" s="35"/>
      <c r="D445" s="35"/>
      <c r="E445" s="35"/>
      <c r="F445" s="35"/>
      <c r="G445" s="35"/>
      <c r="H445" s="548"/>
      <c r="I445" s="35"/>
      <c r="J445" s="545"/>
      <c r="K445" s="36"/>
      <c r="L445" s="35"/>
      <c r="M445" s="288"/>
      <c r="N445" s="38"/>
      <c r="O445" s="38"/>
      <c r="P445" s="41"/>
      <c r="Q445" s="98"/>
      <c r="R445" s="288"/>
      <c r="S445" s="288"/>
      <c r="T445" s="40"/>
      <c r="U445" s="41"/>
      <c r="V445" s="284">
        <f>Table626893456[[#This Row],[PO Value]]-Table626893456[[#This Row],[Offer Value]]</f>
        <v>0</v>
      </c>
      <c r="W445" s="208"/>
      <c r="X445" s="35"/>
      <c r="Y445" s="664"/>
      <c r="Z445" s="7"/>
      <c r="AA445" s="7"/>
    </row>
    <row r="446" spans="1:27" ht="18">
      <c r="A446" s="33"/>
      <c r="B446" s="34"/>
      <c r="C446" s="35"/>
      <c r="D446" s="35"/>
      <c r="E446" s="35"/>
      <c r="F446" s="35"/>
      <c r="G446" s="35"/>
      <c r="H446" s="548"/>
      <c r="I446" s="35"/>
      <c r="J446" s="545"/>
      <c r="K446" s="36"/>
      <c r="L446" s="35"/>
      <c r="M446" s="288"/>
      <c r="N446" s="38"/>
      <c r="O446" s="38"/>
      <c r="P446" s="41"/>
      <c r="Q446" s="98"/>
      <c r="R446" s="288"/>
      <c r="S446" s="288"/>
      <c r="T446" s="40"/>
      <c r="U446" s="41"/>
      <c r="V446" s="284">
        <f>Table626893456[[#This Row],[PO Value]]-Table626893456[[#This Row],[Offer Value]]</f>
        <v>0</v>
      </c>
      <c r="W446" s="208"/>
      <c r="X446" s="35"/>
      <c r="Y446" s="664"/>
      <c r="Z446" s="7"/>
      <c r="AA446" s="7"/>
    </row>
    <row r="447" spans="1:27" ht="18">
      <c r="A447" s="33"/>
      <c r="B447" s="34"/>
      <c r="C447" s="35"/>
      <c r="D447" s="35"/>
      <c r="E447" s="35"/>
      <c r="F447" s="35"/>
      <c r="G447" s="35"/>
      <c r="H447" s="548"/>
      <c r="I447" s="35"/>
      <c r="J447" s="545"/>
      <c r="K447" s="36"/>
      <c r="L447" s="35"/>
      <c r="M447" s="288"/>
      <c r="N447" s="38"/>
      <c r="O447" s="38"/>
      <c r="P447" s="41"/>
      <c r="Q447" s="98"/>
      <c r="R447" s="288"/>
      <c r="S447" s="288"/>
      <c r="T447" s="40"/>
      <c r="U447" s="41"/>
      <c r="V447" s="284">
        <f>Table626893456[[#This Row],[PO Value]]-Table626893456[[#This Row],[Offer Value]]</f>
        <v>0</v>
      </c>
      <c r="W447" s="208"/>
      <c r="X447" s="35"/>
      <c r="Y447" s="664"/>
      <c r="Z447" s="7"/>
      <c r="AA447" s="7"/>
    </row>
    <row r="448" spans="1:27" ht="18">
      <c r="A448" s="33"/>
      <c r="B448" s="34"/>
      <c r="C448" s="35"/>
      <c r="D448" s="35"/>
      <c r="E448" s="35"/>
      <c r="F448" s="35"/>
      <c r="G448" s="35"/>
      <c r="H448" s="548"/>
      <c r="I448" s="35"/>
      <c r="J448" s="545"/>
      <c r="K448" s="36"/>
      <c r="L448" s="35"/>
      <c r="M448" s="288"/>
      <c r="N448" s="38"/>
      <c r="O448" s="38"/>
      <c r="P448" s="41"/>
      <c r="Q448" s="98"/>
      <c r="R448" s="288"/>
      <c r="S448" s="288"/>
      <c r="T448" s="40"/>
      <c r="U448" s="41"/>
      <c r="V448" s="284">
        <f>Table626893456[[#This Row],[PO Value]]-Table626893456[[#This Row],[Offer Value]]</f>
        <v>0</v>
      </c>
      <c r="W448" s="208"/>
      <c r="X448" s="35"/>
      <c r="Y448" s="664"/>
      <c r="Z448" s="7"/>
      <c r="AA448" s="7"/>
    </row>
    <row r="449" spans="1:27" ht="18">
      <c r="A449" s="33"/>
      <c r="B449" s="34"/>
      <c r="C449" s="35"/>
      <c r="D449" s="35"/>
      <c r="E449" s="35"/>
      <c r="F449" s="35"/>
      <c r="G449" s="35"/>
      <c r="H449" s="548"/>
      <c r="I449" s="35"/>
      <c r="J449" s="545"/>
      <c r="K449" s="36"/>
      <c r="L449" s="35"/>
      <c r="M449" s="288"/>
      <c r="N449" s="38"/>
      <c r="O449" s="38"/>
      <c r="P449" s="41"/>
      <c r="Q449" s="98"/>
      <c r="R449" s="288"/>
      <c r="S449" s="288"/>
      <c r="T449" s="40"/>
      <c r="U449" s="41"/>
      <c r="V449" s="284">
        <f>Table626893456[[#This Row],[PO Value]]-Table626893456[[#This Row],[Offer Value]]</f>
        <v>0</v>
      </c>
      <c r="W449" s="208"/>
      <c r="X449" s="35"/>
      <c r="Y449" s="664"/>
      <c r="Z449" s="7"/>
      <c r="AA449" s="7"/>
    </row>
    <row r="450" spans="1:27" ht="18">
      <c r="A450" s="33"/>
      <c r="B450" s="34"/>
      <c r="C450" s="35"/>
      <c r="D450" s="35"/>
      <c r="E450" s="35"/>
      <c r="F450" s="35"/>
      <c r="G450" s="35"/>
      <c r="H450" s="548"/>
      <c r="I450" s="35"/>
      <c r="J450" s="545"/>
      <c r="K450" s="36"/>
      <c r="L450" s="35"/>
      <c r="M450" s="288"/>
      <c r="N450" s="38"/>
      <c r="O450" s="38"/>
      <c r="P450" s="41"/>
      <c r="Q450" s="98"/>
      <c r="R450" s="288"/>
      <c r="S450" s="288"/>
      <c r="T450" s="40"/>
      <c r="U450" s="41"/>
      <c r="V450" s="284">
        <f>Table626893456[[#This Row],[PO Value]]-Table626893456[[#This Row],[Offer Value]]</f>
        <v>0</v>
      </c>
      <c r="W450" s="208"/>
      <c r="X450" s="35"/>
      <c r="Y450" s="664"/>
      <c r="Z450" s="7"/>
      <c r="AA450" s="7"/>
    </row>
    <row r="451" spans="1:27" ht="18">
      <c r="A451" s="33"/>
      <c r="B451" s="34"/>
      <c r="C451" s="35"/>
      <c r="D451" s="35"/>
      <c r="E451" s="35"/>
      <c r="F451" s="35"/>
      <c r="G451" s="35"/>
      <c r="H451" s="548"/>
      <c r="I451" s="35"/>
      <c r="J451" s="545"/>
      <c r="K451" s="36"/>
      <c r="L451" s="35"/>
      <c r="M451" s="288"/>
      <c r="N451" s="38"/>
      <c r="O451" s="38"/>
      <c r="P451" s="41"/>
      <c r="Q451" s="98"/>
      <c r="R451" s="288"/>
      <c r="S451" s="288"/>
      <c r="T451" s="40"/>
      <c r="U451" s="41"/>
      <c r="V451" s="284">
        <f>Table626893456[[#This Row],[PO Value]]-Table626893456[[#This Row],[Offer Value]]</f>
        <v>0</v>
      </c>
      <c r="W451" s="208"/>
      <c r="X451" s="35"/>
      <c r="Y451" s="664"/>
      <c r="Z451" s="7"/>
      <c r="AA451" s="7"/>
    </row>
    <row r="452" spans="1:27" ht="18">
      <c r="A452" s="33"/>
      <c r="B452" s="34"/>
      <c r="C452" s="35"/>
      <c r="D452" s="35"/>
      <c r="E452" s="35"/>
      <c r="F452" s="35"/>
      <c r="G452" s="35"/>
      <c r="H452" s="548"/>
      <c r="I452" s="35"/>
      <c r="J452" s="545"/>
      <c r="K452" s="36"/>
      <c r="L452" s="35"/>
      <c r="M452" s="288"/>
      <c r="N452" s="38"/>
      <c r="O452" s="38"/>
      <c r="P452" s="41"/>
      <c r="Q452" s="98"/>
      <c r="R452" s="288"/>
      <c r="S452" s="288"/>
      <c r="T452" s="40"/>
      <c r="U452" s="41"/>
      <c r="V452" s="284">
        <f>Table626893456[[#This Row],[PO Value]]-Table626893456[[#This Row],[Offer Value]]</f>
        <v>0</v>
      </c>
      <c r="W452" s="208"/>
      <c r="X452" s="35"/>
      <c r="Y452" s="664"/>
      <c r="Z452" s="7"/>
      <c r="AA452" s="7"/>
    </row>
    <row r="453" spans="1:27" ht="18">
      <c r="A453" s="33"/>
      <c r="B453" s="34"/>
      <c r="C453" s="35"/>
      <c r="D453" s="35"/>
      <c r="E453" s="35"/>
      <c r="F453" s="35"/>
      <c r="G453" s="35"/>
      <c r="H453" s="548"/>
      <c r="I453" s="35"/>
      <c r="J453" s="545"/>
      <c r="K453" s="36"/>
      <c r="L453" s="35"/>
      <c r="M453" s="288"/>
      <c r="N453" s="38"/>
      <c r="O453" s="38"/>
      <c r="P453" s="41"/>
      <c r="Q453" s="98"/>
      <c r="R453" s="288"/>
      <c r="S453" s="288"/>
      <c r="T453" s="40"/>
      <c r="U453" s="41"/>
      <c r="V453" s="284">
        <f>Table626893456[[#This Row],[PO Value]]-Table626893456[[#This Row],[Offer Value]]</f>
        <v>0</v>
      </c>
      <c r="W453" s="208"/>
      <c r="X453" s="35"/>
      <c r="Y453" s="664"/>
      <c r="Z453" s="7"/>
      <c r="AA453" s="7"/>
    </row>
    <row r="454" spans="1:27" ht="18">
      <c r="A454" s="33"/>
      <c r="B454" s="34"/>
      <c r="C454" s="35"/>
      <c r="D454" s="35"/>
      <c r="E454" s="35"/>
      <c r="F454" s="35"/>
      <c r="G454" s="35"/>
      <c r="H454" s="548"/>
      <c r="I454" s="35"/>
      <c r="J454" s="545"/>
      <c r="K454" s="36"/>
      <c r="L454" s="35"/>
      <c r="M454" s="288"/>
      <c r="N454" s="38"/>
      <c r="O454" s="38"/>
      <c r="P454" s="41"/>
      <c r="Q454" s="98"/>
      <c r="R454" s="288"/>
      <c r="S454" s="288"/>
      <c r="T454" s="40"/>
      <c r="U454" s="41"/>
      <c r="V454" s="284">
        <f>Table626893456[[#This Row],[PO Value]]-Table626893456[[#This Row],[Offer Value]]</f>
        <v>0</v>
      </c>
      <c r="W454" s="208"/>
      <c r="X454" s="35"/>
      <c r="Y454" s="664"/>
      <c r="Z454" s="7"/>
      <c r="AA454" s="7"/>
    </row>
    <row r="455" spans="1:27" s="210" customFormat="1" ht="18">
      <c r="A455" s="561"/>
      <c r="B455" s="562"/>
      <c r="C455" s="563"/>
      <c r="D455" s="563"/>
      <c r="E455" s="563"/>
      <c r="F455" s="563"/>
      <c r="G455" s="563"/>
      <c r="H455" s="311"/>
      <c r="I455" s="563"/>
      <c r="J455" s="545"/>
      <c r="K455" s="564"/>
      <c r="L455" s="563"/>
      <c r="M455" s="565"/>
      <c r="N455" s="566"/>
      <c r="O455" s="567"/>
      <c r="P455" s="568"/>
      <c r="Q455" s="225"/>
      <c r="R455" s="565"/>
      <c r="S455" s="565"/>
      <c r="T455" s="569"/>
      <c r="U455" s="568"/>
      <c r="V455" s="284">
        <f>Table626893456[[#This Row],[PO Value]]-Table626893456[[#This Row],[Offer Value]]</f>
        <v>0</v>
      </c>
      <c r="W455" s="563"/>
      <c r="X455" s="986"/>
      <c r="Y455" s="668"/>
      <c r="Z455" s="670"/>
      <c r="AA455" s="670"/>
    </row>
    <row r="456" spans="1:27" ht="18">
      <c r="A456" s="33"/>
      <c r="B456" s="34"/>
      <c r="C456" s="35"/>
      <c r="D456" s="35"/>
      <c r="E456" s="35"/>
      <c r="F456" s="35"/>
      <c r="G456" s="35"/>
      <c r="H456" s="312"/>
      <c r="I456" s="35"/>
      <c r="J456" s="545"/>
      <c r="K456" s="36"/>
      <c r="L456" s="35"/>
      <c r="M456" s="288"/>
      <c r="N456" s="570"/>
      <c r="O456" s="38"/>
      <c r="P456" s="41"/>
      <c r="Q456" s="98"/>
      <c r="R456" s="288"/>
      <c r="S456" s="288"/>
      <c r="T456" s="40"/>
      <c r="U456" s="41"/>
      <c r="V456" s="284">
        <f>Table626893456[[#This Row],[PO Value]]-Table626893456[[#This Row],[Offer Value]]</f>
        <v>0</v>
      </c>
      <c r="W456" s="208"/>
      <c r="X456" s="35"/>
      <c r="Y456" s="664"/>
      <c r="Z456" s="7"/>
      <c r="AA456" s="7"/>
    </row>
    <row r="457" spans="1:27" s="212" customFormat="1" ht="18">
      <c r="A457" s="571"/>
      <c r="B457" s="572"/>
      <c r="C457" s="572"/>
      <c r="D457" s="572"/>
      <c r="E457" s="572"/>
      <c r="F457" s="572"/>
      <c r="G457" s="572"/>
      <c r="H457" s="313"/>
      <c r="I457" s="572"/>
      <c r="J457" s="545"/>
      <c r="K457" s="573"/>
      <c r="L457" s="572"/>
      <c r="M457" s="574"/>
      <c r="N457" s="575"/>
      <c r="O457" s="575"/>
      <c r="P457" s="575"/>
      <c r="Q457" s="211"/>
      <c r="R457" s="576"/>
      <c r="S457" s="577"/>
      <c r="T457" s="578"/>
      <c r="U457" s="575"/>
      <c r="V457" s="284">
        <f>Table626893456[[#This Row],[PO Value]]-Table626893456[[#This Row],[Offer Value]]</f>
        <v>0</v>
      </c>
      <c r="W457" s="572"/>
      <c r="X457" s="987"/>
      <c r="Y457" s="669"/>
      <c r="Z457" s="671"/>
      <c r="AA457" s="671"/>
    </row>
    <row r="458" spans="1:27" ht="18">
      <c r="A458" s="184"/>
      <c r="B458" s="185"/>
      <c r="C458" s="186"/>
      <c r="D458" s="186"/>
      <c r="E458" s="186"/>
      <c r="F458" s="186"/>
      <c r="G458" s="186"/>
      <c r="H458" s="310"/>
      <c r="I458" s="186"/>
      <c r="J458" s="545"/>
      <c r="K458" s="187"/>
      <c r="L458" s="186"/>
      <c r="M458" s="291"/>
      <c r="N458" s="222"/>
      <c r="O458" s="189"/>
      <c r="P458" s="190"/>
      <c r="Q458" s="191"/>
      <c r="R458" s="291"/>
      <c r="S458" s="291"/>
      <c r="T458" s="192"/>
      <c r="U458" s="190"/>
      <c r="V458" s="284">
        <f>Table626893456[[#This Row],[PO Value]]-Table626893456[[#This Row],[Offer Value]]</f>
        <v>0</v>
      </c>
      <c r="W458" s="194"/>
      <c r="X458" s="988"/>
      <c r="Y458" s="666"/>
      <c r="Z458" s="7"/>
      <c r="AA458" s="7"/>
    </row>
    <row r="459" spans="1:27" ht="18">
      <c r="A459" s="184"/>
      <c r="B459" s="185"/>
      <c r="C459" s="186"/>
      <c r="D459" s="186"/>
      <c r="E459" s="186"/>
      <c r="F459" s="186"/>
      <c r="G459" s="186"/>
      <c r="H459" s="310"/>
      <c r="I459" s="186"/>
      <c r="J459" s="545"/>
      <c r="K459" s="187"/>
      <c r="L459" s="186"/>
      <c r="M459" s="291"/>
      <c r="N459" s="222"/>
      <c r="O459" s="189"/>
      <c r="P459" s="190"/>
      <c r="Q459" s="191"/>
      <c r="R459" s="291"/>
      <c r="S459" s="291"/>
      <c r="T459" s="192"/>
      <c r="U459" s="190"/>
      <c r="V459" s="284">
        <f>Table626893456[[#This Row],[PO Value]]-Table626893456[[#This Row],[Offer Value]]</f>
        <v>0</v>
      </c>
      <c r="W459" s="194"/>
      <c r="X459" s="988"/>
      <c r="Y459" s="666"/>
      <c r="Z459" s="7"/>
      <c r="AA459" s="7"/>
    </row>
    <row r="460" spans="1:27" ht="18">
      <c r="A460" s="184"/>
      <c r="B460" s="185"/>
      <c r="C460" s="186"/>
      <c r="D460" s="186"/>
      <c r="E460" s="186"/>
      <c r="F460" s="186"/>
      <c r="G460" s="186"/>
      <c r="H460" s="314"/>
      <c r="I460" s="186"/>
      <c r="J460" s="545"/>
      <c r="K460" s="187"/>
      <c r="L460" s="186"/>
      <c r="M460" s="291"/>
      <c r="N460" s="579"/>
      <c r="O460" s="579"/>
      <c r="P460" s="580"/>
      <c r="Q460" s="227"/>
      <c r="R460" s="581"/>
      <c r="S460" s="581"/>
      <c r="T460" s="582"/>
      <c r="U460" s="583"/>
      <c r="V460" s="284">
        <f>Table626893456[[#This Row],[PO Value]]-Table626893456[[#This Row],[Offer Value]]</f>
        <v>0</v>
      </c>
      <c r="W460" s="194"/>
      <c r="X460" s="988"/>
      <c r="Y460" s="666"/>
      <c r="Z460" s="7"/>
      <c r="AA460" s="7"/>
    </row>
    <row r="461" spans="1:27" ht="18">
      <c r="A461" s="184"/>
      <c r="B461" s="185"/>
      <c r="C461" s="186"/>
      <c r="D461" s="186"/>
      <c r="E461" s="186"/>
      <c r="F461" s="186"/>
      <c r="G461" s="186"/>
      <c r="H461" s="314"/>
      <c r="I461" s="186"/>
      <c r="J461" s="545"/>
      <c r="K461" s="187"/>
      <c r="L461" s="186"/>
      <c r="M461" s="291"/>
      <c r="N461" s="579"/>
      <c r="O461" s="579"/>
      <c r="P461" s="580"/>
      <c r="Q461" s="191"/>
      <c r="R461" s="291"/>
      <c r="S461" s="291"/>
      <c r="T461" s="192"/>
      <c r="U461" s="190"/>
      <c r="V461" s="284">
        <f>Table626893456[[#This Row],[PO Value]]-Table626893456[[#This Row],[Offer Value]]</f>
        <v>0</v>
      </c>
      <c r="W461" s="194"/>
      <c r="X461" s="988"/>
      <c r="Y461" s="666"/>
      <c r="Z461" s="7"/>
      <c r="AA461" s="7"/>
    </row>
    <row r="462" spans="1:27" ht="18">
      <c r="A462" s="184"/>
      <c r="B462" s="185"/>
      <c r="C462" s="186"/>
      <c r="D462" s="186"/>
      <c r="E462" s="186"/>
      <c r="F462" s="186"/>
      <c r="G462" s="186"/>
      <c r="H462" s="310"/>
      <c r="I462" s="186"/>
      <c r="J462" s="545"/>
      <c r="K462" s="187"/>
      <c r="L462" s="186"/>
      <c r="M462" s="291"/>
      <c r="N462" s="222"/>
      <c r="O462" s="189"/>
      <c r="P462" s="190"/>
      <c r="Q462" s="191"/>
      <c r="R462" s="291"/>
      <c r="S462" s="291"/>
      <c r="T462" s="192"/>
      <c r="U462" s="190"/>
      <c r="V462" s="284">
        <f>Table626893456[[#This Row],[PO Value]]-Table626893456[[#This Row],[Offer Value]]</f>
        <v>0</v>
      </c>
      <c r="W462" s="194"/>
      <c r="X462" s="988"/>
      <c r="Y462" s="666"/>
      <c r="Z462" s="7"/>
      <c r="AA462" s="7"/>
    </row>
    <row r="463" spans="1:27" ht="18">
      <c r="A463" s="184"/>
      <c r="B463" s="584"/>
      <c r="C463" s="585"/>
      <c r="D463" s="585"/>
      <c r="E463" s="585"/>
      <c r="F463" s="585"/>
      <c r="G463" s="585"/>
      <c r="H463" s="544"/>
      <c r="I463" s="585"/>
      <c r="J463" s="545"/>
      <c r="K463" s="585"/>
      <c r="L463" s="585"/>
      <c r="M463" s="585"/>
      <c r="N463" s="509"/>
      <c r="O463" s="509"/>
      <c r="P463" s="509"/>
      <c r="Q463" s="247"/>
      <c r="R463" s="511"/>
      <c r="S463" s="512"/>
      <c r="T463" s="509"/>
      <c r="U463" s="509"/>
      <c r="V463" s="284">
        <f>Table626893456[[#This Row],[PO Value]]-Table626893456[[#This Row],[Offer Value]]</f>
        <v>0</v>
      </c>
      <c r="W463" s="194"/>
      <c r="X463" s="988"/>
      <c r="Y463" s="666"/>
      <c r="Z463" s="7"/>
      <c r="AA463" s="7"/>
    </row>
    <row r="464" spans="1:27" ht="18">
      <c r="A464" s="33"/>
      <c r="B464" s="34"/>
      <c r="C464" s="35"/>
      <c r="D464" s="35"/>
      <c r="E464" s="35"/>
      <c r="F464" s="35"/>
      <c r="G464" s="35"/>
      <c r="H464" s="312"/>
      <c r="I464" s="35"/>
      <c r="J464" s="545"/>
      <c r="K464" s="36"/>
      <c r="L464" s="35"/>
      <c r="M464" s="288"/>
      <c r="N464" s="586"/>
      <c r="O464" s="586"/>
      <c r="P464" s="174"/>
      <c r="Q464" s="175"/>
      <c r="R464" s="176"/>
      <c r="S464" s="176"/>
      <c r="T464" s="587"/>
      <c r="U464" s="174"/>
      <c r="V464" s="284">
        <f>Table626893456[[#This Row],[PO Value]]-Table626893456[[#This Row],[Offer Value]]</f>
        <v>0</v>
      </c>
      <c r="W464" s="208"/>
      <c r="X464" s="988"/>
      <c r="Y464" s="664"/>
      <c r="Z464" s="7"/>
      <c r="AA464" s="7"/>
    </row>
    <row r="465" spans="1:27" ht="18">
      <c r="A465" s="33"/>
      <c r="B465" s="34"/>
      <c r="C465" s="35"/>
      <c r="D465" s="35"/>
      <c r="E465" s="35"/>
      <c r="F465" s="35"/>
      <c r="G465" s="35"/>
      <c r="H465" s="312"/>
      <c r="I465" s="35"/>
      <c r="J465" s="545"/>
      <c r="K465" s="36"/>
      <c r="L465" s="35"/>
      <c r="M465" s="288"/>
      <c r="N465" s="586"/>
      <c r="O465" s="586"/>
      <c r="P465" s="174"/>
      <c r="Q465" s="175"/>
      <c r="R465" s="176"/>
      <c r="S465" s="176"/>
      <c r="T465" s="587"/>
      <c r="U465" s="174"/>
      <c r="V465" s="284">
        <f>Table626893456[[#This Row],[PO Value]]-Table626893456[[#This Row],[Offer Value]]</f>
        <v>0</v>
      </c>
      <c r="W465" s="208"/>
      <c r="X465" s="988"/>
      <c r="Y465" s="664"/>
      <c r="Z465" s="7"/>
      <c r="AA465" s="7"/>
    </row>
    <row r="466" spans="1:27" ht="18">
      <c r="A466" s="33"/>
      <c r="B466" s="34"/>
      <c r="C466" s="35"/>
      <c r="D466" s="35"/>
      <c r="E466" s="35"/>
      <c r="F466" s="35"/>
      <c r="G466" s="35"/>
      <c r="H466" s="312"/>
      <c r="I466" s="35"/>
      <c r="J466" s="545"/>
      <c r="K466" s="36"/>
      <c r="L466" s="35"/>
      <c r="M466" s="288"/>
      <c r="N466" s="586"/>
      <c r="O466" s="586"/>
      <c r="P466" s="174"/>
      <c r="Q466" s="175"/>
      <c r="R466" s="176"/>
      <c r="S466" s="176"/>
      <c r="T466" s="587"/>
      <c r="U466" s="174"/>
      <c r="V466" s="284">
        <f>Table626893456[[#This Row],[PO Value]]-Table626893456[[#This Row],[Offer Value]]</f>
        <v>0</v>
      </c>
      <c r="W466" s="208"/>
      <c r="X466" s="988"/>
      <c r="Y466" s="664"/>
      <c r="Z466" s="7"/>
      <c r="AA466" s="7"/>
    </row>
    <row r="467" spans="1:27" ht="18">
      <c r="A467" s="184"/>
      <c r="B467" s="185"/>
      <c r="C467" s="186"/>
      <c r="D467" s="186"/>
      <c r="E467" s="186"/>
      <c r="F467" s="186"/>
      <c r="G467" s="186"/>
      <c r="H467" s="314"/>
      <c r="I467" s="186"/>
      <c r="J467" s="545"/>
      <c r="K467" s="187"/>
      <c r="L467" s="186"/>
      <c r="M467" s="291"/>
      <c r="N467" s="588"/>
      <c r="O467" s="588"/>
      <c r="P467" s="589"/>
      <c r="Q467" s="307"/>
      <c r="R467" s="590"/>
      <c r="S467" s="590"/>
      <c r="T467" s="591"/>
      <c r="U467" s="589"/>
      <c r="V467" s="284">
        <f>Table626893456[[#This Row],[PO Value]]-Table626893456[[#This Row],[Offer Value]]</f>
        <v>0</v>
      </c>
      <c r="W467" s="510"/>
      <c r="X467" s="592"/>
      <c r="Y467" s="666"/>
      <c r="Z467" s="7"/>
      <c r="AA467" s="7"/>
    </row>
    <row r="468" spans="1:27" ht="18">
      <c r="A468" s="184"/>
      <c r="B468" s="185"/>
      <c r="C468" s="186"/>
      <c r="D468" s="186"/>
      <c r="E468" s="186"/>
      <c r="F468" s="186"/>
      <c r="G468" s="186"/>
      <c r="H468" s="314"/>
      <c r="I468" s="186"/>
      <c r="J468" s="545"/>
      <c r="K468" s="187"/>
      <c r="L468" s="186"/>
      <c r="M468" s="291"/>
      <c r="N468" s="588"/>
      <c r="O468" s="588"/>
      <c r="P468" s="589"/>
      <c r="Q468" s="307"/>
      <c r="R468" s="590"/>
      <c r="S468" s="590"/>
      <c r="T468" s="591"/>
      <c r="U468" s="589"/>
      <c r="V468" s="284">
        <f>Table626893456[[#This Row],[PO Value]]-Table626893456[[#This Row],[Offer Value]]</f>
        <v>0</v>
      </c>
      <c r="W468" s="194"/>
      <c r="X468" s="988"/>
      <c r="Y468" s="666"/>
      <c r="Z468" s="7"/>
      <c r="AA468" s="7"/>
    </row>
    <row r="469" spans="1:27" ht="14.4">
      <c r="A469" s="184"/>
      <c r="B469" s="185"/>
      <c r="C469" s="186"/>
      <c r="D469" s="186"/>
      <c r="E469" s="186"/>
      <c r="F469" s="186"/>
      <c r="G469" s="186"/>
      <c r="H469" s="361"/>
      <c r="I469" s="186"/>
      <c r="J469" s="545"/>
      <c r="K469" s="187"/>
      <c r="L469" s="186"/>
      <c r="M469" s="291"/>
      <c r="N469" s="222"/>
      <c r="O469" s="189"/>
      <c r="P469" s="190"/>
      <c r="Q469" s="191"/>
      <c r="R469" s="291"/>
      <c r="S469" s="291"/>
      <c r="T469" s="192"/>
      <c r="U469" s="190"/>
      <c r="V469" s="284">
        <f>Table626893456[[#This Row],[PO Value]]-Table626893456[[#This Row],[Offer Value]]</f>
        <v>0</v>
      </c>
      <c r="W469" s="194"/>
      <c r="X469" s="988"/>
      <c r="Y469" s="666"/>
      <c r="Z469" s="7"/>
      <c r="AA469" s="7"/>
    </row>
    <row r="470" spans="1:27" ht="18">
      <c r="A470" s="33"/>
      <c r="B470" s="34"/>
      <c r="C470" s="35"/>
      <c r="D470" s="35"/>
      <c r="E470" s="35"/>
      <c r="F470" s="35"/>
      <c r="G470" s="35"/>
      <c r="H470" s="548"/>
      <c r="I470" s="35"/>
      <c r="J470" s="36"/>
      <c r="K470" s="36"/>
      <c r="L470" s="35"/>
      <c r="M470" s="288"/>
      <c r="N470" s="38"/>
      <c r="O470" s="38"/>
      <c r="P470" s="41"/>
      <c r="Q470" s="98"/>
      <c r="R470" s="288"/>
      <c r="S470" s="288"/>
      <c r="T470" s="40"/>
      <c r="U470" s="41"/>
      <c r="V470" s="284">
        <f>Table626893456[[#This Row],[PO Value]]-Table626893456[[#This Row],[Offer Value]]</f>
        <v>0</v>
      </c>
      <c r="W470" s="208"/>
      <c r="X470" s="545"/>
      <c r="Y470" s="664"/>
      <c r="Z470" s="7"/>
      <c r="AA470" s="7"/>
    </row>
    <row r="471" spans="1:27" ht="18">
      <c r="A471" s="33"/>
      <c r="B471" s="34"/>
      <c r="C471" s="35"/>
      <c r="D471" s="35"/>
      <c r="E471" s="35"/>
      <c r="F471" s="35"/>
      <c r="G471" s="35"/>
      <c r="H471" s="548"/>
      <c r="I471" s="35"/>
      <c r="J471" s="36"/>
      <c r="K471" s="36"/>
      <c r="L471" s="35"/>
      <c r="M471" s="288"/>
      <c r="N471" s="38"/>
      <c r="O471" s="38"/>
      <c r="P471" s="41"/>
      <c r="Q471" s="98"/>
      <c r="R471" s="288"/>
      <c r="S471" s="288"/>
      <c r="T471" s="40"/>
      <c r="U471" s="41"/>
      <c r="V471" s="284">
        <f>Table626893456[[#This Row],[PO Value]]-Table626893456[[#This Row],[Offer Value]]</f>
        <v>0</v>
      </c>
      <c r="W471" s="208"/>
      <c r="X471" s="545"/>
      <c r="Y471" s="664"/>
      <c r="Z471" s="7"/>
      <c r="AA471" s="7"/>
    </row>
    <row r="472" spans="1:27" ht="18">
      <c r="A472" s="33"/>
      <c r="B472" s="34"/>
      <c r="C472" s="35"/>
      <c r="D472" s="35"/>
      <c r="E472" s="35"/>
      <c r="F472" s="35"/>
      <c r="G472" s="35"/>
      <c r="H472" s="548"/>
      <c r="I472" s="35"/>
      <c r="J472" s="36"/>
      <c r="K472" s="36"/>
      <c r="L472" s="35"/>
      <c r="M472" s="288"/>
      <c r="N472" s="38"/>
      <c r="O472" s="38"/>
      <c r="P472" s="41"/>
      <c r="Q472" s="98"/>
      <c r="R472" s="288"/>
      <c r="S472" s="288"/>
      <c r="T472" s="40"/>
      <c r="U472" s="41"/>
      <c r="V472" s="284">
        <f>Table626893456[[#This Row],[PO Value]]-Table626893456[[#This Row],[Offer Value]]</f>
        <v>0</v>
      </c>
      <c r="W472" s="208"/>
      <c r="X472" s="545"/>
      <c r="Y472" s="664"/>
      <c r="Z472" s="7"/>
      <c r="AA472" s="7"/>
    </row>
    <row r="473" spans="1:27" ht="18">
      <c r="A473" s="33"/>
      <c r="B473" s="34"/>
      <c r="C473" s="35"/>
      <c r="D473" s="35"/>
      <c r="E473" s="35"/>
      <c r="F473" s="35"/>
      <c r="G473" s="35"/>
      <c r="H473" s="548"/>
      <c r="I473" s="35"/>
      <c r="J473" s="36"/>
      <c r="K473" s="36"/>
      <c r="L473" s="35"/>
      <c r="M473" s="288"/>
      <c r="N473" s="38"/>
      <c r="O473" s="38"/>
      <c r="P473" s="41"/>
      <c r="Q473" s="98"/>
      <c r="R473" s="288"/>
      <c r="S473" s="288"/>
      <c r="T473" s="40"/>
      <c r="U473" s="41"/>
      <c r="V473" s="284">
        <f>Table626893456[[#This Row],[PO Value]]-Table626893456[[#This Row],[Offer Value]]</f>
        <v>0</v>
      </c>
      <c r="W473" s="208"/>
      <c r="X473" s="545"/>
      <c r="Y473" s="664"/>
      <c r="Z473" s="7"/>
      <c r="AA473" s="7"/>
    </row>
    <row r="474" spans="1:27" ht="18">
      <c r="A474" s="33"/>
      <c r="B474" s="34"/>
      <c r="C474" s="35"/>
      <c r="D474" s="35"/>
      <c r="E474" s="35"/>
      <c r="F474" s="35"/>
      <c r="G474" s="35"/>
      <c r="H474" s="548"/>
      <c r="I474" s="35"/>
      <c r="J474" s="36"/>
      <c r="K474" s="36"/>
      <c r="L474" s="35"/>
      <c r="M474" s="288"/>
      <c r="N474" s="38"/>
      <c r="O474" s="38"/>
      <c r="P474" s="41"/>
      <c r="Q474" s="98"/>
      <c r="R474" s="288"/>
      <c r="S474" s="288"/>
      <c r="T474" s="40"/>
      <c r="U474" s="41"/>
      <c r="V474" s="284">
        <f>Table626893456[[#This Row],[PO Value]]-Table626893456[[#This Row],[Offer Value]]</f>
        <v>0</v>
      </c>
      <c r="W474" s="208"/>
      <c r="X474" s="545"/>
      <c r="Y474" s="664"/>
      <c r="Z474" s="7"/>
      <c r="AA474" s="7"/>
    </row>
    <row r="475" spans="1:27" ht="18">
      <c r="A475" s="184"/>
      <c r="B475" s="185"/>
      <c r="C475" s="186"/>
      <c r="D475" s="186"/>
      <c r="E475" s="186"/>
      <c r="F475" s="186"/>
      <c r="G475" s="186"/>
      <c r="H475" s="310"/>
      <c r="I475" s="186"/>
      <c r="J475" s="187"/>
      <c r="K475" s="187"/>
      <c r="L475" s="186"/>
      <c r="M475" s="291"/>
      <c r="N475" s="189"/>
      <c r="O475" s="189"/>
      <c r="P475" s="190"/>
      <c r="Q475" s="191"/>
      <c r="R475" s="291"/>
      <c r="S475" s="291"/>
      <c r="T475" s="192"/>
      <c r="U475" s="190"/>
      <c r="V475" s="284">
        <f>Table626893456[[#This Row],[PO Value]]-Table626893456[[#This Row],[Offer Value]]</f>
        <v>0</v>
      </c>
      <c r="W475" s="194"/>
      <c r="X475" s="988"/>
      <c r="Y475" s="666"/>
      <c r="Z475" s="7"/>
      <c r="AA475" s="7"/>
    </row>
    <row r="476" spans="1:27" ht="18">
      <c r="A476" s="184"/>
      <c r="B476" s="416"/>
      <c r="C476" s="186"/>
      <c r="D476" s="186"/>
      <c r="E476" s="186"/>
      <c r="F476" s="186"/>
      <c r="G476" s="186"/>
      <c r="H476" s="310"/>
      <c r="I476" s="186"/>
      <c r="J476" s="187"/>
      <c r="K476" s="187"/>
      <c r="L476" s="186"/>
      <c r="M476" s="291"/>
      <c r="N476" s="222"/>
      <c r="O476" s="189"/>
      <c r="P476" s="190"/>
      <c r="Q476" s="191"/>
      <c r="R476" s="291"/>
      <c r="S476" s="291"/>
      <c r="T476" s="192"/>
      <c r="U476" s="190"/>
      <c r="V476" s="284">
        <f>Table626893456[[#This Row],[PO Value]]-Table626893456[[#This Row],[Offer Value]]</f>
        <v>0</v>
      </c>
      <c r="W476" s="194"/>
      <c r="X476" s="988"/>
      <c r="Y476" s="666"/>
      <c r="Z476" s="7"/>
      <c r="AA476" s="7"/>
    </row>
    <row r="477" spans="1:27" ht="18">
      <c r="A477" s="184"/>
      <c r="B477" s="416"/>
      <c r="C477" s="186"/>
      <c r="D477" s="186"/>
      <c r="E477" s="186"/>
      <c r="F477" s="186"/>
      <c r="G477" s="186"/>
      <c r="H477" s="310"/>
      <c r="I477" s="186"/>
      <c r="J477" s="187"/>
      <c r="K477" s="187"/>
      <c r="L477" s="186"/>
      <c r="M477" s="291"/>
      <c r="N477" s="222"/>
      <c r="O477" s="189"/>
      <c r="P477" s="190"/>
      <c r="Q477" s="418"/>
      <c r="R477" s="291"/>
      <c r="S477" s="291"/>
      <c r="T477" s="192"/>
      <c r="U477" s="190"/>
      <c r="V477" s="284">
        <f>Table626893456[[#This Row],[PO Value]]-Table626893456[[#This Row],[Offer Value]]</f>
        <v>0</v>
      </c>
      <c r="W477" s="194"/>
      <c r="X477" s="988"/>
      <c r="Y477" s="666"/>
      <c r="Z477" s="7"/>
      <c r="AA477" s="7"/>
    </row>
    <row r="478" spans="1:27" ht="15.6">
      <c r="A478" s="184"/>
      <c r="B478" s="185"/>
      <c r="C478" s="283"/>
      <c r="D478" s="283"/>
      <c r="E478" s="283"/>
      <c r="F478" s="374"/>
      <c r="G478" s="374"/>
      <c r="H478" s="375"/>
      <c r="I478" s="434"/>
      <c r="J478" s="435"/>
      <c r="K478" s="374"/>
      <c r="L478" s="194"/>
      <c r="M478" s="384"/>
      <c r="N478" s="376"/>
      <c r="O478" s="189"/>
      <c r="P478" s="190"/>
      <c r="Q478" s="220"/>
      <c r="R478" s="291"/>
      <c r="S478" s="291"/>
      <c r="T478" s="192"/>
      <c r="U478" s="190"/>
      <c r="V478" s="284">
        <f>Table626893456[[#This Row],[PO Value]]-Table626893456[[#This Row],[Offer Value]]</f>
        <v>0</v>
      </c>
      <c r="W478" s="194"/>
      <c r="X478" s="988"/>
      <c r="Y478" s="666"/>
      <c r="Z478" s="7"/>
      <c r="AA478" s="7"/>
    </row>
    <row r="479" spans="1:27" ht="15.6">
      <c r="A479" s="184"/>
      <c r="B479" s="185"/>
      <c r="C479" s="283"/>
      <c r="D479" s="283"/>
      <c r="E479" s="283"/>
      <c r="F479" s="374"/>
      <c r="G479" s="374"/>
      <c r="H479" s="375"/>
      <c r="I479" s="433"/>
      <c r="J479" s="435"/>
      <c r="K479" s="374"/>
      <c r="L479" s="194"/>
      <c r="M479" s="384"/>
      <c r="N479" s="376"/>
      <c r="O479" s="189"/>
      <c r="P479" s="190"/>
      <c r="Q479" s="220"/>
      <c r="R479" s="291"/>
      <c r="S479" s="291"/>
      <c r="T479" s="192"/>
      <c r="U479" s="190"/>
      <c r="V479" s="284">
        <f>Table626893456[[#This Row],[PO Value]]-Table626893456[[#This Row],[Offer Value]]</f>
        <v>0</v>
      </c>
      <c r="W479" s="194"/>
      <c r="X479" s="988"/>
      <c r="Y479" s="666"/>
      <c r="Z479" s="7"/>
      <c r="AA479" s="7"/>
    </row>
    <row r="480" spans="1:27" ht="18">
      <c r="A480" s="184"/>
      <c r="B480" s="185"/>
      <c r="C480" s="186"/>
      <c r="D480" s="186"/>
      <c r="E480" s="186"/>
      <c r="F480" s="186"/>
      <c r="G480" s="186"/>
      <c r="H480" s="310"/>
      <c r="I480" s="186"/>
      <c r="J480" s="187"/>
      <c r="K480" s="187"/>
      <c r="L480" s="186"/>
      <c r="M480" s="291"/>
      <c r="N480" s="222"/>
      <c r="O480" s="189"/>
      <c r="P480" s="190" t="s">
        <v>62</v>
      </c>
      <c r="Q480" s="191"/>
      <c r="R480" s="291"/>
      <c r="S480" s="291"/>
      <c r="T480" s="192"/>
      <c r="U480" s="190"/>
      <c r="V480" s="193">
        <f>Table626893456[[#This Row],[Offer Value]]-Table626893456[[#This Row],[PO Value]]</f>
        <v>0</v>
      </c>
      <c r="W480" s="194"/>
      <c r="X480" s="988"/>
      <c r="Y480" s="666"/>
      <c r="Z480" s="7"/>
      <c r="AA480" s="7"/>
    </row>
    <row r="481" spans="1:25" ht="18">
      <c r="A481" s="184"/>
      <c r="B481" s="185"/>
      <c r="C481" s="35"/>
      <c r="D481" s="35"/>
      <c r="E481" s="35"/>
      <c r="F481" s="35"/>
      <c r="G481" s="35"/>
      <c r="H481" s="548"/>
      <c r="I481" s="35"/>
      <c r="J481" s="36"/>
      <c r="K481" s="36"/>
      <c r="L481" s="35"/>
      <c r="M481" s="288"/>
      <c r="N481" s="38"/>
      <c r="O481" s="38"/>
      <c r="P481" s="41"/>
      <c r="Q481" s="98"/>
      <c r="R481" s="288"/>
      <c r="S481" s="288"/>
      <c r="T481" s="40"/>
      <c r="U481" s="41"/>
      <c r="V481" s="1691"/>
      <c r="W481" s="208"/>
      <c r="Y481" s="40"/>
    </row>
    <row r="482" spans="1:25" ht="18">
      <c r="A482" s="184"/>
      <c r="B482" s="185"/>
      <c r="C482" s="35"/>
      <c r="D482" s="35"/>
      <c r="E482" s="35"/>
      <c r="F482" s="35"/>
      <c r="G482" s="35"/>
      <c r="H482" s="548"/>
      <c r="I482" s="35"/>
      <c r="J482" s="36"/>
      <c r="K482" s="36"/>
      <c r="L482" s="35"/>
      <c r="M482" s="288"/>
      <c r="N482" s="38"/>
      <c r="O482" s="38"/>
      <c r="P482" s="41"/>
      <c r="Q482" s="98"/>
      <c r="R482" s="288"/>
      <c r="S482" s="288"/>
      <c r="T482" s="40"/>
      <c r="U482" s="41"/>
      <c r="V482" s="1691"/>
      <c r="W482" s="208"/>
      <c r="Y482" s="40"/>
    </row>
    <row r="483" spans="1:25" ht="18">
      <c r="A483" s="184"/>
      <c r="B483" s="185"/>
      <c r="C483" s="35"/>
      <c r="D483" s="35"/>
      <c r="E483" s="35"/>
      <c r="F483" s="35"/>
      <c r="G483" s="35"/>
      <c r="H483" s="548"/>
      <c r="I483" s="35"/>
      <c r="J483" s="36"/>
      <c r="K483" s="36"/>
      <c r="L483" s="35"/>
      <c r="M483" s="288"/>
      <c r="N483" s="38"/>
      <c r="O483" s="38"/>
      <c r="P483" s="41"/>
      <c r="Q483" s="98"/>
      <c r="R483" s="288"/>
      <c r="S483" s="288"/>
      <c r="T483" s="40"/>
      <c r="U483" s="41"/>
      <c r="V483" s="1691"/>
      <c r="W483" s="208"/>
      <c r="Y483" s="40"/>
    </row>
    <row r="484" spans="1:25" ht="18">
      <c r="A484" s="184"/>
      <c r="B484" s="185"/>
      <c r="C484" s="35"/>
      <c r="D484" s="35"/>
      <c r="E484" s="35"/>
      <c r="F484" s="35"/>
      <c r="G484" s="35"/>
      <c r="H484" s="548"/>
      <c r="I484" s="35"/>
      <c r="J484" s="36"/>
      <c r="K484" s="36"/>
      <c r="L484" s="35"/>
      <c r="M484" s="288"/>
      <c r="N484" s="38"/>
      <c r="O484" s="38"/>
      <c r="P484" s="41"/>
      <c r="Q484" s="98"/>
      <c r="R484" s="288"/>
      <c r="S484" s="288"/>
      <c r="T484" s="40"/>
      <c r="U484" s="41"/>
      <c r="V484" s="1691"/>
      <c r="W484" s="208"/>
      <c r="Y484" s="40"/>
    </row>
    <row r="485" spans="1:25" ht="18">
      <c r="A485" s="184"/>
      <c r="B485" s="185"/>
      <c r="C485" s="35"/>
      <c r="D485" s="35"/>
      <c r="E485" s="35"/>
      <c r="F485" s="35"/>
      <c r="G485" s="35"/>
      <c r="H485" s="548"/>
      <c r="I485" s="35"/>
      <c r="J485" s="36"/>
      <c r="K485" s="36"/>
      <c r="L485" s="35"/>
      <c r="M485" s="288"/>
      <c r="N485" s="38"/>
      <c r="O485" s="38"/>
      <c r="P485" s="41"/>
      <c r="Q485" s="98"/>
      <c r="R485" s="288"/>
      <c r="S485" s="288"/>
      <c r="T485" s="40"/>
      <c r="U485" s="41"/>
      <c r="V485" s="1691"/>
      <c r="W485" s="208"/>
      <c r="Y485" s="40"/>
    </row>
    <row r="486" spans="1:25" ht="18">
      <c r="A486" s="184"/>
      <c r="B486" s="185"/>
      <c r="C486" s="35"/>
      <c r="D486" s="35"/>
      <c r="E486" s="35"/>
      <c r="F486" s="35"/>
      <c r="G486" s="35"/>
      <c r="H486" s="548"/>
      <c r="I486" s="35"/>
      <c r="J486" s="36"/>
      <c r="K486" s="36"/>
      <c r="L486" s="35"/>
      <c r="M486" s="288"/>
      <c r="N486" s="38"/>
      <c r="O486" s="38"/>
      <c r="P486" s="41"/>
      <c r="Q486" s="98"/>
      <c r="R486" s="288"/>
      <c r="S486" s="288"/>
      <c r="T486" s="40"/>
      <c r="U486" s="41"/>
      <c r="V486" s="1691"/>
      <c r="W486" s="208"/>
      <c r="Y486" s="40"/>
    </row>
    <row r="487" spans="1:25" ht="18">
      <c r="A487" s="184"/>
      <c r="B487" s="185"/>
      <c r="C487" s="35"/>
      <c r="D487" s="35"/>
      <c r="E487" s="35"/>
      <c r="F487" s="35"/>
      <c r="G487" s="35"/>
      <c r="H487" s="548"/>
      <c r="I487" s="35"/>
      <c r="J487" s="36"/>
      <c r="K487" s="36"/>
      <c r="L487" s="35"/>
      <c r="M487" s="288"/>
      <c r="N487" s="38"/>
      <c r="O487" s="38"/>
      <c r="P487" s="41"/>
      <c r="Q487" s="98"/>
      <c r="R487" s="288"/>
      <c r="S487" s="288"/>
      <c r="T487" s="40"/>
      <c r="U487" s="41"/>
      <c r="V487" s="1691"/>
      <c r="W487" s="208"/>
      <c r="Y487" s="40"/>
    </row>
    <row r="488" spans="1:25" ht="18">
      <c r="A488" s="184"/>
      <c r="B488" s="185"/>
      <c r="C488" s="35"/>
      <c r="D488" s="35"/>
      <c r="E488" s="35"/>
      <c r="F488" s="35"/>
      <c r="G488" s="35"/>
      <c r="H488" s="548"/>
      <c r="I488" s="35"/>
      <c r="J488" s="36"/>
      <c r="K488" s="36"/>
      <c r="L488" s="35"/>
      <c r="M488" s="288"/>
      <c r="N488" s="38"/>
      <c r="O488" s="38"/>
      <c r="P488" s="41"/>
      <c r="Q488" s="98"/>
      <c r="R488" s="288"/>
      <c r="S488" s="288"/>
      <c r="T488" s="40"/>
      <c r="U488" s="41"/>
      <c r="V488" s="1691"/>
      <c r="W488" s="208"/>
      <c r="Y488" s="40"/>
    </row>
    <row r="489" spans="1:25" ht="18">
      <c r="A489" s="184"/>
      <c r="B489" s="185"/>
      <c r="C489" s="35"/>
      <c r="D489" s="35"/>
      <c r="E489" s="35"/>
      <c r="F489" s="35"/>
      <c r="G489" s="35"/>
      <c r="H489" s="548"/>
      <c r="I489" s="35"/>
      <c r="J489" s="36"/>
      <c r="K489" s="36"/>
      <c r="L489" s="35"/>
      <c r="M489" s="288"/>
      <c r="N489" s="38"/>
      <c r="O489" s="38"/>
      <c r="P489" s="41"/>
      <c r="Q489" s="98"/>
      <c r="R489" s="288"/>
      <c r="S489" s="288"/>
      <c r="T489" s="40"/>
      <c r="U489" s="41"/>
      <c r="V489" s="1691"/>
      <c r="W489" s="208"/>
      <c r="Y489" s="40"/>
    </row>
    <row r="490" spans="1:25" ht="18">
      <c r="A490" s="184"/>
      <c r="B490" s="185"/>
      <c r="C490" s="35"/>
      <c r="D490" s="35"/>
      <c r="E490" s="35"/>
      <c r="F490" s="35"/>
      <c r="G490" s="35"/>
      <c r="H490" s="548"/>
      <c r="I490" s="35"/>
      <c r="J490" s="36"/>
      <c r="K490" s="36"/>
      <c r="L490" s="35"/>
      <c r="M490" s="288"/>
      <c r="N490" s="38"/>
      <c r="O490" s="38"/>
      <c r="P490" s="41"/>
      <c r="Q490" s="98"/>
      <c r="R490" s="288"/>
      <c r="S490" s="288"/>
      <c r="T490" s="40"/>
      <c r="U490" s="41"/>
      <c r="V490" s="1691"/>
      <c r="W490" s="208"/>
      <c r="Y490" s="40"/>
    </row>
    <row r="491" spans="1:25" ht="18">
      <c r="A491" s="184"/>
      <c r="B491" s="185"/>
      <c r="C491" s="35"/>
      <c r="D491" s="35"/>
      <c r="E491" s="35"/>
      <c r="F491" s="35"/>
      <c r="G491" s="35"/>
      <c r="H491" s="548"/>
      <c r="I491" s="35"/>
      <c r="J491" s="36"/>
      <c r="K491" s="36"/>
      <c r="L491" s="35"/>
      <c r="M491" s="288"/>
      <c r="N491" s="38"/>
      <c r="O491" s="38"/>
      <c r="P491" s="41"/>
      <c r="Q491" s="98"/>
      <c r="R491" s="288"/>
      <c r="S491" s="288"/>
      <c r="T491" s="40"/>
      <c r="U491" s="41"/>
      <c r="V491" s="1691"/>
      <c r="W491" s="208"/>
      <c r="Y491" s="40"/>
    </row>
    <row r="492" spans="1:25" ht="18">
      <c r="A492" s="184"/>
      <c r="B492" s="185"/>
      <c r="C492" s="35"/>
      <c r="D492" s="35"/>
      <c r="E492" s="35"/>
      <c r="F492" s="35"/>
      <c r="G492" s="35"/>
      <c r="H492" s="548"/>
      <c r="I492" s="35"/>
      <c r="J492" s="36"/>
      <c r="K492" s="36"/>
      <c r="L492" s="35"/>
      <c r="M492" s="288"/>
      <c r="N492" s="38"/>
      <c r="O492" s="38"/>
      <c r="P492" s="41"/>
      <c r="Q492" s="98"/>
      <c r="R492" s="288"/>
      <c r="S492" s="288"/>
      <c r="T492" s="40"/>
      <c r="U492" s="41"/>
      <c r="V492" s="1691"/>
      <c r="W492" s="208"/>
      <c r="Y492" s="40"/>
    </row>
    <row r="493" spans="1:25" ht="18">
      <c r="A493" s="184"/>
      <c r="B493" s="185"/>
      <c r="C493" s="35"/>
      <c r="D493" s="35"/>
      <c r="E493" s="35"/>
      <c r="F493" s="35"/>
      <c r="G493" s="35"/>
      <c r="H493" s="548"/>
      <c r="I493" s="35"/>
      <c r="J493" s="36"/>
      <c r="K493" s="36"/>
      <c r="L493" s="35"/>
      <c r="M493" s="288"/>
      <c r="N493" s="38"/>
      <c r="O493" s="38"/>
      <c r="P493" s="41"/>
      <c r="Q493" s="98"/>
      <c r="R493" s="288"/>
      <c r="S493" s="288"/>
      <c r="T493" s="40"/>
      <c r="U493" s="41"/>
      <c r="V493" s="1691"/>
      <c r="W493" s="208"/>
      <c r="Y493" s="40"/>
    </row>
    <row r="494" spans="1:25" ht="18">
      <c r="A494" s="184"/>
      <c r="B494" s="185"/>
      <c r="C494" s="35"/>
      <c r="D494" s="35"/>
      <c r="E494" s="35"/>
      <c r="F494" s="35"/>
      <c r="G494" s="35"/>
      <c r="H494" s="548"/>
      <c r="I494" s="35"/>
      <c r="J494" s="36"/>
      <c r="K494" s="36"/>
      <c r="L494" s="35"/>
      <c r="M494" s="288"/>
      <c r="N494" s="38"/>
      <c r="O494" s="38"/>
      <c r="P494" s="41"/>
      <c r="Q494" s="98"/>
      <c r="R494" s="288"/>
      <c r="S494" s="288"/>
      <c r="T494" s="40"/>
      <c r="U494" s="41"/>
      <c r="V494" s="1691"/>
      <c r="W494" s="208"/>
      <c r="Y494" s="40"/>
    </row>
    <row r="495" spans="1:25" ht="18">
      <c r="A495" s="184"/>
      <c r="B495" s="185"/>
      <c r="C495" s="186"/>
      <c r="D495" s="186"/>
      <c r="E495" s="186"/>
      <c r="F495" s="186"/>
      <c r="G495" s="186"/>
      <c r="H495" s="310"/>
      <c r="I495" s="186"/>
      <c r="J495" s="187"/>
      <c r="K495" s="187"/>
      <c r="L495" s="186"/>
      <c r="M495" s="291"/>
      <c r="N495" s="189"/>
      <c r="O495" s="189"/>
      <c r="P495" s="190"/>
      <c r="Q495" s="191"/>
      <c r="R495" s="291"/>
      <c r="S495" s="291"/>
      <c r="T495" s="192"/>
      <c r="U495" s="190"/>
      <c r="V495" s="193"/>
      <c r="W495" s="194"/>
      <c r="Y495" s="192"/>
    </row>
  </sheetData>
  <sheetProtection formatCells="0" formatColumns="0" formatRows="0" insertColumns="0" insertRows="0" insertHyperlinks="0" deleteColumns="0" deleteRows="0" sort="0" autoFilter="0" pivotTables="0"/>
  <autoFilter ref="Z7:AA77" xr:uid="{A6833F35-0469-4216-BAF5-0A6BACB47CB1}"/>
  <mergeCells count="1">
    <mergeCell ref="Z6:AA6"/>
  </mergeCells>
  <phoneticPr fontId="43" type="noConversion"/>
  <conditionalFormatting sqref="L8">
    <cfRule type="duplicateValues" dxfId="127" priority="17"/>
  </conditionalFormatting>
  <conditionalFormatting sqref="L9">
    <cfRule type="duplicateValues" dxfId="126" priority="16"/>
  </conditionalFormatting>
  <conditionalFormatting sqref="L10">
    <cfRule type="duplicateValues" dxfId="125" priority="15"/>
  </conditionalFormatting>
  <conditionalFormatting sqref="L11">
    <cfRule type="duplicateValues" dxfId="124" priority="14"/>
  </conditionalFormatting>
  <conditionalFormatting sqref="L12:L14">
    <cfRule type="duplicateValues" dxfId="123" priority="13"/>
  </conditionalFormatting>
  <conditionalFormatting sqref="L15">
    <cfRule type="duplicateValues" dxfId="122" priority="12"/>
  </conditionalFormatting>
  <conditionalFormatting sqref="L16:L18">
    <cfRule type="duplicateValues" dxfId="121" priority="11"/>
  </conditionalFormatting>
  <conditionalFormatting sqref="L19">
    <cfRule type="duplicateValues" dxfId="120" priority="10"/>
  </conditionalFormatting>
  <conditionalFormatting sqref="L20:L26">
    <cfRule type="duplicateValues" dxfId="119" priority="9"/>
  </conditionalFormatting>
  <conditionalFormatting sqref="L27:L30">
    <cfRule type="duplicateValues" dxfId="118" priority="8"/>
  </conditionalFormatting>
  <conditionalFormatting sqref="L31:L33">
    <cfRule type="duplicateValues" dxfId="117" priority="7"/>
  </conditionalFormatting>
  <conditionalFormatting sqref="L34:L36">
    <cfRule type="duplicateValues" dxfId="116" priority="6"/>
  </conditionalFormatting>
  <conditionalFormatting sqref="L37:L40">
    <cfRule type="duplicateValues" dxfId="115" priority="5"/>
  </conditionalFormatting>
  <conditionalFormatting sqref="L60">
    <cfRule type="duplicateValues" dxfId="114" priority="4"/>
  </conditionalFormatting>
  <conditionalFormatting sqref="L225">
    <cfRule type="duplicateValues" dxfId="113" priority="1"/>
  </conditionalFormatting>
  <conditionalFormatting sqref="L274:L276">
    <cfRule type="duplicateValues" dxfId="112" priority="19"/>
  </conditionalFormatting>
  <conditionalFormatting sqref="L277:L480 L2:L7 L41:L59 L61:L113 L496:L1048576 L115:L224 L226:L259">
    <cfRule type="duplicateValues" dxfId="111" priority="20"/>
  </conditionalFormatting>
  <conditionalFormatting sqref="R16">
    <cfRule type="expression" dxfId="110" priority="2">
      <formula>$Q$4&gt;=$R$16</formula>
    </cfRule>
  </conditionalFormatting>
  <dataValidations count="5">
    <dataValidation type="list" allowBlank="1" showInputMessage="1" showErrorMessage="1" error="Do not Enter any other text except Month" sqref="T424:T425 T427:T436 Q428:Q436" xr:uid="{4FC13C94-A172-4023-9016-DC0C2DB2EC76}">
      <formula1>#REF!</formula1>
    </dataValidation>
    <dataValidation type="list" allowBlank="1" showInputMessage="1" showErrorMessage="1" error="Do not enter any oteh products" sqref="K428:K436" xr:uid="{2B3F1739-ADBB-4964-AEB3-12349115F6F7}">
      <formula1>#REF!</formula1>
    </dataValidation>
    <dataValidation type="custom" allowBlank="1" showInputMessage="1" showErrorMessage="1" errorTitle="Error" error="Entered data format is wrong" promptTitle="Enter Date format : 01/10/2021 " sqref="B424:B439 B441:B454 B457:B459 B462 B467:B693" xr:uid="{2F146763-82BE-4F26-9A15-DC8C17B4D4A3}">
      <formula1>AND(ISNUMBER(B424),LEFT(CELL("format",B424),1)="D")</formula1>
    </dataValidation>
    <dataValidation type="list" allowBlank="1" showInputMessage="1" showErrorMessage="1" sqref="D476:D480 D496:D1048576 D15:D69 D2:D11 D86:D136 D138:D469" xr:uid="{25CB7AC6-205A-4D2D-A05B-DDDE8CDC6E96}">
      <formula1>$D$8:$D$503</formula1>
    </dataValidation>
    <dataValidation type="list" allowBlank="1" showInputMessage="1" showErrorMessage="1" sqref="D70:D85 D137" xr:uid="{BD07DD39-7CA0-48E5-A928-8890D655DC1C}">
      <formula1>$D$7:$D$501</formula1>
    </dataValidation>
  </dataValidations>
  <hyperlinks>
    <hyperlink ref="H8" r:id="rId1" xr:uid="{2F5277B4-38E6-4FF1-968E-4457E0F5852A}"/>
    <hyperlink ref="H9" r:id="rId2" xr:uid="{5EB68207-08F3-40AB-84E4-21B3D4B9B99B}"/>
    <hyperlink ref="H10" r:id="rId3" xr:uid="{D2427C39-9AC4-40C4-9AE2-7B6CF0515201}"/>
    <hyperlink ref="H11" r:id="rId4" xr:uid="{C256F08F-ADD3-4218-9E3B-CB042F68BB69}"/>
    <hyperlink ref="H12" r:id="rId5" xr:uid="{BDBB3577-B4E4-439F-836F-7EEDEFE1B4D5}"/>
    <hyperlink ref="H13" r:id="rId6" xr:uid="{D8D98F6A-220D-4A7C-9043-2DB7D2032A35}"/>
    <hyperlink ref="H14" r:id="rId7" xr:uid="{4C77DD28-3519-42B3-B47D-A24AEFCB9EAD}"/>
    <hyperlink ref="H15" r:id="rId8" xr:uid="{879E6EF1-8E23-43CD-A8C8-507FD523C797}"/>
    <hyperlink ref="H16" r:id="rId9" xr:uid="{89CAF025-64E1-4F2C-A330-1BEE3C527735}"/>
    <hyperlink ref="H17" r:id="rId10" xr:uid="{7AA4A10D-EED5-4C3D-9C60-17FA3E5C07EB}"/>
    <hyperlink ref="H18" r:id="rId11" xr:uid="{D8BAC6BA-5D27-42E0-8425-E6AB11BD2D00}"/>
    <hyperlink ref="H20" r:id="rId12" xr:uid="{2A422009-8752-4484-AD9F-42431D5C3C1B}"/>
    <hyperlink ref="H22" r:id="rId13" xr:uid="{3D383163-A785-4705-B3A4-2A310EB0295C}"/>
    <hyperlink ref="H23" r:id="rId14" xr:uid="{43B525F0-3155-44D2-861B-355E389475DB}"/>
    <hyperlink ref="H24" r:id="rId15" xr:uid="{FE9A8474-9676-48FD-951C-C524D4B332A3}"/>
    <hyperlink ref="H25" r:id="rId16" xr:uid="{D54AA393-2C5E-4E48-BE95-9870BB6FB21F}"/>
    <hyperlink ref="H26" r:id="rId17" xr:uid="{6222552A-3D1A-41C3-AFCE-FD737D2010D9}"/>
    <hyperlink ref="H21" r:id="rId18" xr:uid="{6B98BD5E-97B9-4623-B465-4FFA6488ED4C}"/>
    <hyperlink ref="H27" r:id="rId19" xr:uid="{EF6F4769-4FC3-4ADB-9663-4BB233337AD9}"/>
    <hyperlink ref="H29" r:id="rId20" xr:uid="{08D13A16-1B58-4188-B515-6CB88C473A79}"/>
    <hyperlink ref="H30" r:id="rId21" xr:uid="{62014A94-0A36-407A-9CBE-9C61F50CB5F8}"/>
    <hyperlink ref="H28" r:id="rId22" xr:uid="{EE202F0C-1CF4-4599-B2D9-082C22B5F62A}"/>
    <hyperlink ref="H31" r:id="rId23" xr:uid="{EB3F29D2-2093-4340-BE44-74DA6718DE8D}"/>
    <hyperlink ref="H32" r:id="rId24" xr:uid="{8DB19606-8D64-46B0-B093-E3A924F8105E}"/>
    <hyperlink ref="H39" r:id="rId25" xr:uid="{B0DE0BB0-FCCF-44BC-BD44-F6C98EB2639B}"/>
    <hyperlink ref="H40" r:id="rId26" xr:uid="{08C89E7A-100C-4DCE-91C7-DC3F24B80192}"/>
    <hyperlink ref="H43" r:id="rId27" xr:uid="{965A5656-4DEF-432A-B417-85EFA39C20C3}"/>
    <hyperlink ref="H44" r:id="rId28" xr:uid="{C51E835D-3EDB-4CBA-A785-28BE07596E24}"/>
    <hyperlink ref="H45" r:id="rId29" xr:uid="{0196AB14-12A0-4336-93E9-404006308DD5}"/>
    <hyperlink ref="H46" r:id="rId30" xr:uid="{E231DAAD-5EE0-4BCE-A780-6C12539CA310}"/>
    <hyperlink ref="H47" r:id="rId31" xr:uid="{E3FE1DEE-A481-42F0-B663-0B28E9077D70}"/>
    <hyperlink ref="H48" r:id="rId32" xr:uid="{37DD8804-5C6A-493F-8721-80771DD7ED9F}"/>
    <hyperlink ref="H49" r:id="rId33" xr:uid="{F8266BE2-C946-436B-B4D9-C647A8CABE2E}"/>
    <hyperlink ref="H50" r:id="rId34" xr:uid="{FA90CC03-BBFD-44BB-8B91-6B6A9049C4A8}"/>
    <hyperlink ref="H51" r:id="rId35" xr:uid="{41F10AD7-DA01-417A-83EF-148F064E42B7}"/>
    <hyperlink ref="H52" r:id="rId36" xr:uid="{8A337B38-BEC3-4DEE-A0D4-B0A9A6566A03}"/>
    <hyperlink ref="H53" r:id="rId37" xr:uid="{78C713F5-19D4-46AC-B403-40201098828C}"/>
    <hyperlink ref="H54" r:id="rId38" xr:uid="{B5578F4C-4A7F-4076-A9C7-193BA224759C}"/>
    <hyperlink ref="H55" r:id="rId39" xr:uid="{AE8F083F-5E6A-4BC0-BF41-9984773573FF}"/>
    <hyperlink ref="H56" r:id="rId40" xr:uid="{AEC49565-5B1D-4026-A253-5272AFEF4D19}"/>
    <hyperlink ref="H57" r:id="rId41" xr:uid="{6CCBE16E-E5F7-4159-B982-2C920711049F}"/>
    <hyperlink ref="H59" r:id="rId42" xr:uid="{86294C82-5ACB-41E3-978F-73B6452C5E6B}"/>
    <hyperlink ref="H58" r:id="rId43" xr:uid="{A53DE34F-7F96-4ACB-8D4D-001A2A8AE8C8}"/>
    <hyperlink ref="H61" r:id="rId44" xr:uid="{A3EF9666-6FD3-4DF1-BF94-AD912866C578}"/>
    <hyperlink ref="H62" r:id="rId45" xr:uid="{C985117B-DCB6-4880-A0E8-A30C71DE69AB}"/>
    <hyperlink ref="H64" r:id="rId46" xr:uid="{15F1D13F-DF83-4AAE-A7D3-7E3B5D7FF7A7}"/>
    <hyperlink ref="H65" r:id="rId47" xr:uid="{4E9454E0-8253-4142-B4E1-F7C43E7E7F49}"/>
    <hyperlink ref="H66" r:id="rId48" xr:uid="{8FE6B709-6AC1-41DB-B8A0-0728DD7A9CA7}"/>
    <hyperlink ref="H33" r:id="rId49" xr:uid="{CD831C3A-366D-437D-B472-AFCC68F59A8E}"/>
    <hyperlink ref="H70" r:id="rId50" xr:uid="{E31B337E-6F3E-4F43-945C-23117B6925EF}"/>
    <hyperlink ref="H71" r:id="rId51" xr:uid="{654C39BF-5710-48CE-995A-82EF32079524}"/>
    <hyperlink ref="H72" r:id="rId52" xr:uid="{109EF4A4-58E4-4CAB-BB1D-C74D5BC76CCA}"/>
    <hyperlink ref="H73" r:id="rId53" xr:uid="{65F83ED2-EB07-4819-802A-F6B9AA6E59A2}"/>
    <hyperlink ref="H74" r:id="rId54" xr:uid="{719D85C1-7FDE-4AE7-BD54-904A23391E49}"/>
    <hyperlink ref="H75" r:id="rId55" xr:uid="{84B407AC-E1DA-4D31-8316-D8717BAC2836}"/>
    <hyperlink ref="H76" r:id="rId56" xr:uid="{D9D529A0-35CE-491E-957D-B5CBE1989FB9}"/>
    <hyperlink ref="H77" r:id="rId57" xr:uid="{8F033683-185F-424E-83B6-BF63B643542A}"/>
    <hyperlink ref="H78" r:id="rId58" xr:uid="{1C78C4A1-E506-4567-86F7-CD555CC56BD2}"/>
    <hyperlink ref="H79" r:id="rId59" xr:uid="{A8A898C5-D433-40C4-87B2-4D8ABAF4E061}"/>
    <hyperlink ref="H80" r:id="rId60" xr:uid="{A5B84690-8764-43A0-B78D-FE875C1323C8}"/>
    <hyperlink ref="H81" r:id="rId61" xr:uid="{69C96333-0E51-4308-AC9B-59FC689BF95B}"/>
    <hyperlink ref="H82" r:id="rId62" xr:uid="{BE2C4D16-5196-424F-B7BC-2A802B517B5E}"/>
    <hyperlink ref="H83" r:id="rId63" xr:uid="{6FC16D76-1310-4949-8885-E5CB2327C1F6}"/>
    <hyperlink ref="H84" r:id="rId64" xr:uid="{B52518AA-92AE-435B-AFA1-637311AAD222}"/>
    <hyperlink ref="H91" r:id="rId65" xr:uid="{53C2C0DA-72BC-4824-9A52-739FEB3861F2}"/>
    <hyperlink ref="H92" r:id="rId66" xr:uid="{FDA938C5-FC6F-4AF1-972F-5548D54C4179}"/>
    <hyperlink ref="H85" r:id="rId67" xr:uid="{460EB3FD-107F-441A-897B-4657E2E9652F}"/>
    <hyperlink ref="H93" r:id="rId68" xr:uid="{92BA1342-A92F-4009-A980-4A8922A4610B}"/>
    <hyperlink ref="H94" r:id="rId69" xr:uid="{3FB084AD-E4B1-47E9-8143-4D7C324E3080}"/>
    <hyperlink ref="H95" r:id="rId70" xr:uid="{2CFF042A-B36B-4555-8402-5F675B08E612}"/>
    <hyperlink ref="H96" r:id="rId71" xr:uid="{CE47F570-993F-49A2-AEFB-09FA142407D7}"/>
    <hyperlink ref="H97" r:id="rId72" xr:uid="{988B313E-D08D-4F63-A9AD-5EE8C912A6A3}"/>
    <hyperlink ref="H98" r:id="rId73" xr:uid="{3448AE08-024F-474E-8601-2BC5B11772D7}"/>
    <hyperlink ref="H99" r:id="rId74" xr:uid="{1AF2CEFF-CBCF-4C3C-AB92-2DA779BBEE7A}"/>
    <hyperlink ref="H100" r:id="rId75" xr:uid="{4A841E49-5397-4F32-898A-A73B4E6442FC}"/>
    <hyperlink ref="H104" r:id="rId76" xr:uid="{C78850CE-3525-44AD-B467-876DDE3B577B}"/>
    <hyperlink ref="H105" r:id="rId77" xr:uid="{CAE9253F-1D54-40F3-9CB6-CEF23D879F46}"/>
    <hyperlink ref="H106" r:id="rId78" xr:uid="{9B83BB8F-9198-4698-9534-813C7B99CFC3}"/>
    <hyperlink ref="H107" r:id="rId79" xr:uid="{B9216A10-9ABF-457B-9D57-338CBFC6D377}"/>
    <hyperlink ref="H110" r:id="rId80" xr:uid="{23579ADB-F247-4E04-ADF2-34D80BD2ED32}"/>
    <hyperlink ref="H113" r:id="rId81" xr:uid="{A2FCA2E0-1F4A-412E-844A-1604EB5584AE}"/>
    <hyperlink ref="H115" r:id="rId82" xr:uid="{8822B011-1EAE-440A-AE4B-73E29C974084}"/>
    <hyperlink ref="H116" r:id="rId83" xr:uid="{6FAE0750-1F65-4BA7-9487-ED2F9C6BA202}"/>
    <hyperlink ref="H118" r:id="rId84" xr:uid="{0B8315AE-942A-4114-A36D-39C890299D4B}"/>
    <hyperlink ref="H117" r:id="rId85" xr:uid="{DD99B5AA-0287-495E-BD6A-2382F206C3B9}"/>
    <hyperlink ref="H125" r:id="rId86" xr:uid="{70457EE7-7025-4E0B-96C0-45B061E5FBA7}"/>
    <hyperlink ref="H126" r:id="rId87" xr:uid="{6876340B-0CED-474C-9690-481B05ACAB7B}"/>
    <hyperlink ref="H127" r:id="rId88" xr:uid="{6890D2F7-10C5-400E-8D53-94B44001BD41}"/>
    <hyperlink ref="H128" r:id="rId89" xr:uid="{43E72106-8831-46E6-892E-17C37F04884B}"/>
    <hyperlink ref="H129" r:id="rId90" xr:uid="{1606DEF5-8710-4944-84A5-8F3695F4680F}"/>
    <hyperlink ref="H130" r:id="rId91" xr:uid="{E0BD8C96-344E-415A-8066-FE1D099437C3}"/>
    <hyperlink ref="H131" r:id="rId92" xr:uid="{CBD87B42-D1AC-4C71-83E7-1624F262C5B5}"/>
    <hyperlink ref="H132" r:id="rId93" xr:uid="{FDB67917-2C48-4E96-B7E8-933ED5EC0DB1}"/>
    <hyperlink ref="H133" r:id="rId94" xr:uid="{EC3B89A0-D1C7-4480-8C86-348DE7088016}"/>
    <hyperlink ref="H134" r:id="rId95" xr:uid="{783272FB-2C6F-4067-887D-80FDA5A3321B}"/>
    <hyperlink ref="H135" r:id="rId96" xr:uid="{2A8AF741-4A11-4D19-A157-1581E17349F9}"/>
    <hyperlink ref="H136" r:id="rId97" xr:uid="{CD1A7984-39FC-4739-A196-A4B6DDD2DEB4}"/>
    <hyperlink ref="H137" r:id="rId98" xr:uid="{1545BE54-AEB2-48B4-BB2E-11BB9648F79C}"/>
    <hyperlink ref="H155" r:id="rId99" xr:uid="{BE096AD2-C352-4CA8-897B-7819B274E23C}"/>
    <hyperlink ref="H156" r:id="rId100" xr:uid="{96C2A74C-AC76-4D7A-9FBB-331599D639A8}"/>
    <hyperlink ref="H157" r:id="rId101" xr:uid="{D3F44893-69C5-4B66-872E-E5667CAC56DE}"/>
    <hyperlink ref="H158" r:id="rId102" xr:uid="{1F50652B-D031-475F-8E32-63D99FE9474D}"/>
    <hyperlink ref="H159" r:id="rId103" xr:uid="{664AD1BF-DBAA-4B70-AE61-675475F54360}"/>
    <hyperlink ref="H221" r:id="rId104" xr:uid="{E5F04B21-2F54-439C-A97A-A8D0AF265EEC}"/>
    <hyperlink ref="H160" r:id="rId105" xr:uid="{3640ADC4-05CA-48A4-9A1E-37F4613BFF0E}"/>
    <hyperlink ref="H167" r:id="rId106" xr:uid="{1DDD7994-73BD-49AF-9DA8-B97864652693}"/>
    <hyperlink ref="H168" r:id="rId107" xr:uid="{D870BEA3-4B5F-451D-8156-499B937C267B}"/>
    <hyperlink ref="H169" r:id="rId108" xr:uid="{280DB265-51D7-4874-93B8-0A761375ECDB}"/>
    <hyperlink ref="H170" r:id="rId109" xr:uid="{927FF600-B7D6-4545-8A28-3469C44FB6E3}"/>
    <hyperlink ref="H183" r:id="rId110" xr:uid="{77392C13-2380-4DF4-8872-29E05C9B5FCF}"/>
    <hyperlink ref="H184" r:id="rId111" xr:uid="{91FECDB3-4AD5-47D9-B636-E6DD0737A10E}"/>
    <hyperlink ref="H185" r:id="rId112" xr:uid="{C459C77C-E667-4B12-959C-82B71BABD953}"/>
    <hyperlink ref="H186" r:id="rId113" xr:uid="{EAC94849-0C08-4135-9227-EF7ECC4C6442}"/>
    <hyperlink ref="H187" r:id="rId114" xr:uid="{C8F7E93D-FF50-4DD8-BD1D-247559F93E3A}"/>
    <hyperlink ref="H34" r:id="rId115" xr:uid="{912B7433-9970-4F15-AE0D-55C8A0DA00AC}"/>
    <hyperlink ref="H188" r:id="rId116" xr:uid="{013B6824-6EEE-49CA-936B-252FDCF73570}"/>
    <hyperlink ref="H189" r:id="rId117" xr:uid="{D060C640-C167-472D-9D57-434D20BF5780}"/>
    <hyperlink ref="H190" r:id="rId118" xr:uid="{55BB31AE-F839-49A6-A731-DCD4A2F7C45D}"/>
    <hyperlink ref="H191" r:id="rId119" xr:uid="{140090CC-4BFD-4EF0-941B-09239A70D468}"/>
    <hyperlink ref="H192" r:id="rId120" xr:uid="{CB1BF638-4E41-4EF1-A26D-8FDC328FA295}"/>
    <hyperlink ref="H193" r:id="rId121" xr:uid="{C9E87320-CD08-49C3-A48F-CEB24C6FA970}"/>
    <hyperlink ref="H194" r:id="rId122" xr:uid="{96784CF3-AAAE-4908-B155-9A45F671EB07}"/>
    <hyperlink ref="H195" r:id="rId123" xr:uid="{3A531C65-AF5E-4C19-9F9A-E4E5B06AB9BD}"/>
    <hyperlink ref="H196" r:id="rId124" xr:uid="{726C72F6-7368-4746-973F-F38E857E9455}"/>
    <hyperlink ref="H199" r:id="rId125" xr:uid="{96D1D031-5E14-475A-BFF7-B185121E121C}"/>
    <hyperlink ref="H200" r:id="rId126" xr:uid="{3B5B38EE-9E1A-4F84-8E9A-57112F315747}"/>
    <hyperlink ref="H201" r:id="rId127" xr:uid="{F1F095D2-0FFE-4254-B123-ADA4F6A900B9}"/>
    <hyperlink ref="H202" r:id="rId128" xr:uid="{42B367FE-9F9E-44B2-BE4B-A40D665B91DC}"/>
    <hyperlink ref="H203" r:id="rId129" xr:uid="{EE9DFA14-E0B9-4A32-8AA3-8A028B54F771}"/>
    <hyperlink ref="H204" r:id="rId130" xr:uid="{5EAE67A0-8CF5-438F-8974-97DC7FE6105C}"/>
    <hyperlink ref="H205" r:id="rId131" xr:uid="{F1A7F685-16CF-4FF3-9D9D-33E0DE4F89F3}"/>
    <hyperlink ref="H206" r:id="rId132" xr:uid="{C1C3AD92-9072-427A-B507-395D9BD06F89}"/>
    <hyperlink ref="H207" r:id="rId133" xr:uid="{E37A6F58-890F-4E8C-8A75-3F292281F843}"/>
    <hyperlink ref="H208" r:id="rId134" xr:uid="{D35FA32A-A2C0-4454-96D1-C35F50444C5E}"/>
    <hyperlink ref="H209" r:id="rId135" xr:uid="{8FCF6E70-6887-4A98-9092-E7A2D09E2411}"/>
    <hyperlink ref="H172" r:id="rId136" xr:uid="{F15BA517-B336-4FBF-809E-EB0EADFD74D2}"/>
    <hyperlink ref="H171" r:id="rId137" xr:uid="{DF3F5937-2153-437A-91C2-91628F30BC1E}"/>
    <hyperlink ref="H210" r:id="rId138" xr:uid="{4E24ACA5-F0CF-4A9F-BD8F-CEEA85265A56}"/>
    <hyperlink ref="H211" r:id="rId139" xr:uid="{F8964AC6-9DDE-43A9-B67F-0A21BE3B8BAB}"/>
    <hyperlink ref="H212" r:id="rId140" xr:uid="{00DDD9EA-4E4E-4D13-824E-F9A86B9ADAE2}"/>
    <hyperlink ref="H213" r:id="rId141" xr:uid="{B9DD0097-09F8-44CE-BF1B-A0E796F341D1}"/>
    <hyperlink ref="H214" r:id="rId142" xr:uid="{9A59C9C1-D883-4EFA-A17A-45134AF7E9CC}"/>
    <hyperlink ref="H215" r:id="rId143" xr:uid="{EB6B776B-13A8-4743-B9BB-1F4AE971A4A3}"/>
    <hyperlink ref="H216" r:id="rId144" xr:uid="{27633A16-5538-420E-994C-CCA547B3A969}"/>
    <hyperlink ref="H217" r:id="rId145" xr:uid="{39A31A68-F61E-4FEE-82B3-436479B18B40}"/>
    <hyperlink ref="H220" r:id="rId146" xr:uid="{F13CE988-F868-4858-8002-7155DA33713D}"/>
    <hyperlink ref="H222" r:id="rId147" xr:uid="{BA372268-50FA-483F-9731-3DDD287DDCE4}"/>
    <hyperlink ref="H223" r:id="rId148" xr:uid="{86919FAD-DC77-405E-85D2-875F35C67B30}"/>
    <hyperlink ref="H224" r:id="rId149" xr:uid="{66EB3EE7-802C-4026-9D8B-A8CD54A128FE}"/>
    <hyperlink ref="H225" r:id="rId150" xr:uid="{13C9EAC6-D8CD-44C7-8521-1B1DECECE987}"/>
    <hyperlink ref="H226" r:id="rId151" xr:uid="{8CAF468D-2DBB-4ED7-968F-A38B413B9CD8}"/>
    <hyperlink ref="H227" r:id="rId152" xr:uid="{CDDDF296-7532-4190-BC77-735BD2A4EED7}"/>
    <hyperlink ref="H228" r:id="rId153" xr:uid="{172F11D4-0E03-4618-8E64-67446AFA95FC}"/>
    <hyperlink ref="H230" r:id="rId154" xr:uid="{36E31189-0F43-4D50-A523-1A1D637239C7}"/>
    <hyperlink ref="H231" r:id="rId155" xr:uid="{0E41D272-3910-4D6C-A7AE-47A8651F2C27}"/>
    <hyperlink ref="H232" r:id="rId156" xr:uid="{6F2F5552-DE74-45C3-B2F0-7E14D1ED203D}"/>
    <hyperlink ref="H233" r:id="rId157" xr:uid="{58E7138A-4002-488C-9528-96F5B77E8B2F}"/>
  </hyperlinks>
  <pageMargins left="0.7" right="0.7" top="0.75" bottom="0.75" header="0.3" footer="0.3"/>
  <pageSetup orientation="portrait" r:id="rId158"/>
  <legacyDrawing r:id="rId159"/>
  <tableParts count="1">
    <tablePart r:id="rId160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="Select From Drop Down" xr:uid="{911CB6C6-F4DA-41CA-904F-8066246F6DAC}">
          <x14:formula1>
            <xm:f>'Month Prod Names'!$K$4:$K$13</xm:f>
          </x14:formula1>
          <xm:sqref>Q463:Q468 Q457 Q460 Q277:Q427 Q478:Q479 Q229:Q273 Q171:Q191 Q193:Q197 Q199:Q224 Q226</xm:sqref>
        </x14:dataValidation>
        <x14:dataValidation type="list" allowBlank="1" showInputMessage="1" showErrorMessage="1" error="Select from drop down" xr:uid="{2AC48454-520D-4B42-A5EB-1CBB21B0A611}">
          <x14:formula1>
            <xm:f>'Month Prod Names'!$J$4:$J$5</xm:f>
          </x14:formula1>
          <xm:sqref>K463:K468 K457 K460:K461 K171:K173 K280:K427 K175 K211:K223 K235 K252:K273 K277 K182 K184:K190 K192:K199 K226</xm:sqref>
        </x14:dataValidation>
        <x14:dataValidation type="list" allowBlank="1" showInputMessage="1" showErrorMessage="1" error="Select From Drop Down" xr:uid="{22B117D2-04D2-4F45-9AB5-90F53F62565B}">
          <x14:formula1>
            <xm:f>'Machine Serial Numbers'!$A$2:$A$1502</xm:f>
          </x14:formula1>
          <xm:sqref>I2:I7 I139:I153 I496:I1048576</xm:sqref>
        </x14:dataValidation>
        <x14:dataValidation type="list" allowBlank="1" showInputMessage="1" showErrorMessage="1" error="Select From Drop Down" xr:uid="{09277E81-E7AC-4858-B339-421B2E4DEB8A}">
          <x14:formula1>
            <xm:f>'Machine Serial Numbers'!$A$2:$A$1465</xm:f>
          </x14:formula1>
          <xm:sqref>I8:I65 I67:I69 I86:I136 I138:I168 I170:I224 I226:I480</xm:sqref>
        </x14:dataValidation>
        <x14:dataValidation type="list" allowBlank="1" showInputMessage="1" showErrorMessage="1" xr:uid="{00DD5468-CF63-4CF6-9322-F29E1E715E1A}">
          <x14:formula1>
            <xm:f>'Month Prod Names'!$D$4:$D$53</xm:f>
          </x14:formula1>
          <xm:sqref>J496:J1048576 J1:J224 J226:J480</xm:sqref>
        </x14:dataValidation>
        <x14:dataValidation type="list" allowBlank="1" showInputMessage="1" showErrorMessage="1" xr:uid="{1547C8FE-7219-4B10-A32E-ABDEC6F83943}">
          <x14:formula1>
            <xm:f>'Month Prod Names'!$B$4:$B$15</xm:f>
          </x14:formula1>
          <xm:sqref>U8:U480 O8:P224 O226:P480</xm:sqref>
        </x14:dataValidation>
        <x14:dataValidation type="list" allowBlank="1" showInputMessage="1" showErrorMessage="1" error="Select From Drop Down" xr:uid="{10DC0991-8253-4F95-A73F-EC92EAFD88E0}">
          <x14:formula1>
            <xm:f>Customer!$B$2:$B$264</xm:f>
          </x14:formula1>
          <xm:sqref>C8:C224 C226:C480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8853-3D09-4C8F-AF24-90D514AB81C8}">
  <dimension ref="A1:HF409"/>
  <sheetViews>
    <sheetView topLeftCell="A99" zoomScale="80" zoomScaleNormal="80" workbookViewId="0">
      <selection activeCell="F22" sqref="F22"/>
    </sheetView>
  </sheetViews>
  <sheetFormatPr defaultColWidth="8.5546875" defaultRowHeight="15.6"/>
  <cols>
    <col min="1" max="1" width="7.88671875" style="322" customWidth="1"/>
    <col min="2" max="2" width="12.44140625" style="370" bestFit="1" customWidth="1"/>
    <col min="3" max="3" width="38.109375" style="322" customWidth="1"/>
    <col min="4" max="4" width="13.109375" style="243" bestFit="1" customWidth="1"/>
    <col min="5" max="5" width="16.6640625" style="322" customWidth="1"/>
    <col min="6" max="6" width="26.109375" style="243" customWidth="1"/>
    <col min="7" max="7" width="13.5546875" style="322" bestFit="1" customWidth="1"/>
    <col min="8" max="8" width="36.6640625" style="243" customWidth="1"/>
    <col min="9" max="9" width="15.109375" style="243" bestFit="1" customWidth="1"/>
    <col min="10" max="10" width="18.6640625" style="243" customWidth="1"/>
    <col min="11" max="11" width="8.5546875" style="243" customWidth="1"/>
    <col min="12" max="12" width="29.88671875" style="243" customWidth="1"/>
    <col min="13" max="13" width="12.44140625" style="243" customWidth="1"/>
    <col min="14" max="14" width="10.88671875" style="371" customWidth="1"/>
    <col min="15" max="15" width="11.109375" style="371" customWidth="1"/>
    <col min="16" max="16" width="12" style="243" customWidth="1"/>
    <col min="17" max="17" width="10.5546875" style="373" customWidth="1"/>
    <col min="18" max="18" width="15.44140625" style="243" customWidth="1"/>
    <col min="19" max="19" width="12.44140625" style="971" bestFit="1" customWidth="1"/>
    <col min="20" max="20" width="12.44140625" style="243" bestFit="1" customWidth="1"/>
    <col min="21" max="21" width="12.5546875" style="243" customWidth="1"/>
    <col min="22" max="22" width="19" style="372" customWidth="1"/>
    <col min="23" max="23" width="29.33203125" style="322" customWidth="1"/>
    <col min="24" max="24" width="22.33203125" style="322" customWidth="1"/>
    <col min="25" max="25" width="19.5546875" style="243" bestFit="1" customWidth="1"/>
    <col min="26" max="26" width="15.5546875" style="322" customWidth="1"/>
    <col min="27" max="27" width="15.5546875" style="368" customWidth="1"/>
    <col min="28" max="28" width="11.44140625" style="369" bestFit="1" customWidth="1"/>
    <col min="29" max="30" width="15.44140625" style="369" bestFit="1" customWidth="1"/>
    <col min="31" max="31" width="17" style="369" customWidth="1"/>
    <col min="32" max="32" width="20.44140625" style="369" bestFit="1" customWidth="1"/>
    <col min="33" max="214" width="8.5546875" style="369"/>
    <col min="215" max="16384" width="8.5546875" style="322"/>
  </cols>
  <sheetData>
    <row r="1" spans="1:214" s="369" customFormat="1">
      <c r="A1" s="3048"/>
      <c r="B1" s="3049"/>
      <c r="C1" s="3048"/>
      <c r="D1" s="3051"/>
      <c r="E1" s="3048"/>
      <c r="F1" s="3051"/>
      <c r="H1" s="445">
        <v>2062108</v>
      </c>
      <c r="I1" s="3051"/>
      <c r="J1" s="3051"/>
      <c r="K1" s="3051"/>
      <c r="L1" s="3051"/>
      <c r="M1" s="3051"/>
      <c r="N1" s="3052"/>
      <c r="O1" s="3052"/>
      <c r="P1" s="3051"/>
      <c r="Q1" s="3053"/>
      <c r="R1" s="3051"/>
      <c r="S1" s="3054"/>
      <c r="T1" s="3051"/>
      <c r="U1" s="3055"/>
      <c r="V1" s="3055"/>
      <c r="W1" s="3048"/>
      <c r="X1" s="3048"/>
      <c r="Y1" s="3051"/>
      <c r="Z1" s="3048"/>
      <c r="AA1" s="3048"/>
      <c r="AB1" s="3056" t="s">
        <v>99</v>
      </c>
      <c r="AC1" s="3056"/>
      <c r="AD1" s="3057"/>
      <c r="AE1" s="3048"/>
      <c r="AF1" s="3048"/>
      <c r="AG1" s="3048"/>
      <c r="AH1" s="3048"/>
      <c r="AI1" s="3048"/>
      <c r="AJ1" s="3048"/>
      <c r="AK1" s="3048"/>
      <c r="AL1" s="3048"/>
      <c r="AM1" s="3048"/>
      <c r="AN1" s="3048"/>
      <c r="AO1" s="3048"/>
      <c r="AP1" s="3048"/>
      <c r="AQ1" s="3048"/>
      <c r="AR1" s="3048"/>
      <c r="AS1" s="3048"/>
      <c r="AT1" s="3048"/>
      <c r="AU1" s="3048"/>
    </row>
    <row r="2" spans="1:214" s="369" customFormat="1">
      <c r="A2" s="3058" t="s">
        <v>1156</v>
      </c>
      <c r="B2" s="3059"/>
      <c r="C2" s="3058"/>
      <c r="D2" s="3059"/>
      <c r="E2" s="3058"/>
      <c r="F2" s="3059"/>
      <c r="G2" s="3115"/>
      <c r="H2" s="3112"/>
      <c r="I2" s="3059"/>
      <c r="J2" s="3059"/>
      <c r="K2" s="3059"/>
      <c r="L2" s="3059"/>
      <c r="M2" s="3059"/>
      <c r="N2" s="3059"/>
      <c r="O2" s="3059"/>
      <c r="P2" s="3059"/>
      <c r="Q2" s="3059"/>
      <c r="R2" s="3059"/>
      <c r="S2" s="3060"/>
      <c r="T2" s="3059"/>
      <c r="U2" s="3059"/>
      <c r="V2" s="3059"/>
      <c r="W2" s="3058"/>
      <c r="X2" s="3058"/>
      <c r="Y2" s="3059"/>
      <c r="Z2" s="3061"/>
      <c r="AA2" s="3048"/>
      <c r="AB2" s="3062" t="s">
        <v>22</v>
      </c>
      <c r="AC2" s="3062" t="s">
        <v>101</v>
      </c>
      <c r="AD2" s="3063" t="s">
        <v>102</v>
      </c>
      <c r="AE2" s="3064" t="s">
        <v>2</v>
      </c>
      <c r="AF2" s="3065" t="s">
        <v>103</v>
      </c>
      <c r="AG2" s="3048"/>
      <c r="AH2" s="3048"/>
      <c r="AI2" s="3048"/>
      <c r="AJ2" s="3048"/>
      <c r="AK2" s="3048"/>
      <c r="AL2" s="3048"/>
      <c r="AM2" s="3048"/>
      <c r="AN2" s="3048"/>
      <c r="AO2" s="3048"/>
      <c r="AP2" s="3048"/>
      <c r="AQ2" s="3048"/>
      <c r="AR2" s="3048"/>
      <c r="AS2" s="3048"/>
      <c r="AT2" s="3048"/>
      <c r="AU2" s="3048"/>
    </row>
    <row r="3" spans="1:214" s="369" customFormat="1">
      <c r="A3" s="3076"/>
      <c r="B3" s="3087"/>
      <c r="C3" s="3076"/>
      <c r="D3" s="3076"/>
      <c r="E3" s="3076"/>
      <c r="F3" s="3076"/>
      <c r="I3" s="3076"/>
      <c r="J3" s="3078"/>
      <c r="K3" s="3078"/>
      <c r="L3" s="3078"/>
      <c r="M3" s="3078"/>
      <c r="N3" s="3078"/>
      <c r="O3" s="3078"/>
      <c r="P3" s="3078"/>
      <c r="Q3" s="3088"/>
      <c r="R3" s="3078"/>
      <c r="S3" s="3089"/>
      <c r="T3" s="3078"/>
      <c r="U3" s="3090" t="s">
        <v>104</v>
      </c>
      <c r="V3" s="3091">
        <f>SUM(N7:N397)</f>
        <v>56159754</v>
      </c>
      <c r="W3" s="3077"/>
      <c r="X3" s="3077"/>
      <c r="Y3" s="3077"/>
      <c r="Z3" s="3077"/>
      <c r="AA3" s="3076"/>
      <c r="AB3" s="3066" t="s">
        <v>7</v>
      </c>
      <c r="AC3" s="3067">
        <f>SUMIF($O$7:$O$397,"January",$N$7:$N$397)</f>
        <v>18381668</v>
      </c>
      <c r="AD3" s="3068">
        <f>SUMIF($U$7:$U$397,"January",$T$7:$T$397)</f>
        <v>5747102</v>
      </c>
      <c r="AE3" s="3069">
        <f>SUMIF($P$7:$P$427,"January",$N$7:$N$427)</f>
        <v>6160514</v>
      </c>
      <c r="AF3" s="3070">
        <f t="shared" ref="AF3:AF14" si="0">AE3-AD3</f>
        <v>413412</v>
      </c>
      <c r="AG3" s="3048"/>
      <c r="AH3" s="3048"/>
      <c r="AI3" s="3048"/>
      <c r="AJ3" s="3048"/>
      <c r="AK3" s="3048"/>
      <c r="AL3" s="3048"/>
      <c r="AM3" s="3048"/>
      <c r="AN3" s="3048"/>
      <c r="AO3" s="3048"/>
      <c r="AP3" s="3048"/>
      <c r="AQ3" s="3048"/>
      <c r="AR3" s="3048"/>
      <c r="AS3" s="3048"/>
      <c r="AT3" s="3048"/>
      <c r="AU3" s="3048"/>
    </row>
    <row r="4" spans="1:214" s="369" customFormat="1">
      <c r="A4" s="3078" t="s">
        <v>105</v>
      </c>
      <c r="B4" s="3092">
        <f>COUNTA(B7:B1419)</f>
        <v>208</v>
      </c>
      <c r="C4" s="3078"/>
      <c r="D4" s="3078"/>
      <c r="E4" s="3078"/>
      <c r="F4" s="3078"/>
      <c r="G4" s="3113"/>
      <c r="H4" s="3113"/>
      <c r="I4" s="3078"/>
      <c r="J4" s="3093"/>
      <c r="K4" s="3093"/>
      <c r="L4" s="3093"/>
      <c r="M4" s="3093"/>
      <c r="N4" s="3093"/>
      <c r="O4" s="3093"/>
      <c r="P4" s="3093"/>
      <c r="Q4" s="3088"/>
      <c r="R4" s="3078"/>
      <c r="S4" s="3089"/>
      <c r="T4" s="3093"/>
      <c r="U4" s="3094" t="s">
        <v>54</v>
      </c>
      <c r="V4" s="3091">
        <f>SUM(T7:T397)</f>
        <v>30514486</v>
      </c>
      <c r="W4" s="3079"/>
      <c r="X4" s="3079"/>
      <c r="Y4" s="3077"/>
      <c r="Z4" s="3079"/>
      <c r="AA4" s="3076"/>
      <c r="AB4" s="3066" t="s">
        <v>18</v>
      </c>
      <c r="AC4" s="3067">
        <f>SUMIF($O$7:$O$397,"February",$N$7:$N$397)</f>
        <v>6168252</v>
      </c>
      <c r="AD4" s="3068">
        <f>SUMIF($U$7:$U$397,"February",$T$7:$T$397)</f>
        <v>539332</v>
      </c>
      <c r="AE4" s="3069">
        <f>SUMIF($P$7:$P$427,"February",$N$7:$N$427)</f>
        <v>4146986</v>
      </c>
      <c r="AF4" s="3070">
        <f t="shared" si="0"/>
        <v>3607654</v>
      </c>
      <c r="AG4" s="3048"/>
      <c r="AH4" s="3048"/>
      <c r="AI4" s="3048"/>
      <c r="AJ4" s="3048"/>
      <c r="AK4" s="3048"/>
      <c r="AL4" s="3048"/>
      <c r="AM4" s="3048"/>
      <c r="AN4" s="3048"/>
      <c r="AO4" s="3048"/>
      <c r="AP4" s="3048"/>
      <c r="AQ4" s="3048"/>
      <c r="AR4" s="3048"/>
      <c r="AS4" s="3048"/>
      <c r="AT4" s="3048"/>
      <c r="AU4" s="3048"/>
    </row>
    <row r="5" spans="1:214" s="369" customFormat="1">
      <c r="A5" s="3078"/>
      <c r="B5" s="3095"/>
      <c r="C5" s="3078"/>
      <c r="D5" s="3078"/>
      <c r="E5" s="3078"/>
      <c r="F5" s="3078"/>
      <c r="G5" s="3113"/>
      <c r="H5" s="3113"/>
      <c r="I5" s="3078"/>
      <c r="J5" s="3093"/>
      <c r="K5" s="3093"/>
      <c r="L5" s="3093"/>
      <c r="M5" s="3093"/>
      <c r="N5" s="3093"/>
      <c r="O5" s="3093"/>
      <c r="P5" s="3093"/>
      <c r="Q5" s="3088"/>
      <c r="R5" s="3078"/>
      <c r="S5" s="3089"/>
      <c r="T5" s="3093"/>
      <c r="U5" s="3094" t="s">
        <v>13</v>
      </c>
      <c r="V5" s="3091">
        <f>SUM(V7:V398)</f>
        <v>15274441</v>
      </c>
      <c r="W5" s="3080"/>
      <c r="X5" s="3080"/>
      <c r="Y5" s="3081" t="s">
        <v>106</v>
      </c>
      <c r="Z5" s="3484"/>
      <c r="AA5" s="3484"/>
      <c r="AB5" s="3066" t="s">
        <v>25</v>
      </c>
      <c r="AC5" s="3067">
        <f>SUMIF($O$7:$O$397,"March",$N$7:$N$397)</f>
        <v>3329622</v>
      </c>
      <c r="AD5" s="3068">
        <f>SUMIF($U$7:$U$397,"March",$T$7:$T$397)</f>
        <v>7502698</v>
      </c>
      <c r="AE5" s="3069">
        <f>SUMIF($P$7:$P$427,"March",$N$7:$N$427)</f>
        <v>4630660</v>
      </c>
      <c r="AF5" s="3070">
        <f t="shared" si="0"/>
        <v>-2872038</v>
      </c>
      <c r="AG5" s="3048"/>
      <c r="AH5" s="3048"/>
      <c r="AI5" s="3048"/>
      <c r="AJ5" s="3048"/>
      <c r="AK5" s="3048"/>
      <c r="AL5" s="3048"/>
      <c r="AM5" s="3048"/>
      <c r="AN5" s="3048"/>
      <c r="AO5" s="3048"/>
      <c r="AP5" s="3048"/>
      <c r="AQ5" s="3048"/>
      <c r="AR5" s="3048"/>
      <c r="AS5" s="3048"/>
      <c r="AT5" s="3048"/>
      <c r="AU5" s="3048"/>
    </row>
    <row r="6" spans="1:214" s="444" customFormat="1" ht="41.4">
      <c r="A6" s="3082" t="s">
        <v>107</v>
      </c>
      <c r="B6" s="3082" t="s">
        <v>108</v>
      </c>
      <c r="C6" s="3082" t="s">
        <v>109</v>
      </c>
      <c r="D6" s="3082" t="s">
        <v>110</v>
      </c>
      <c r="E6" s="3096" t="s">
        <v>111</v>
      </c>
      <c r="F6" s="3082" t="s">
        <v>112</v>
      </c>
      <c r="G6" s="3114" t="s">
        <v>113</v>
      </c>
      <c r="H6" s="3114" t="s">
        <v>114</v>
      </c>
      <c r="I6" s="3082" t="s">
        <v>115</v>
      </c>
      <c r="J6" s="3082" t="s">
        <v>116</v>
      </c>
      <c r="K6" s="3082" t="s">
        <v>117</v>
      </c>
      <c r="L6" s="3097" t="s">
        <v>118</v>
      </c>
      <c r="M6" s="3083" t="s">
        <v>44</v>
      </c>
      <c r="N6" s="3082" t="s">
        <v>120</v>
      </c>
      <c r="O6" s="3082" t="s">
        <v>121</v>
      </c>
      <c r="P6" s="3082" t="s">
        <v>93</v>
      </c>
      <c r="Q6" s="3082" t="s">
        <v>122</v>
      </c>
      <c r="R6" s="3082" t="s">
        <v>123</v>
      </c>
      <c r="S6" s="3098" t="s">
        <v>124</v>
      </c>
      <c r="T6" s="3082" t="s">
        <v>125</v>
      </c>
      <c r="U6" s="3082" t="s">
        <v>126</v>
      </c>
      <c r="V6" s="3082" t="s">
        <v>13</v>
      </c>
      <c r="W6" s="3082" t="s">
        <v>127</v>
      </c>
      <c r="X6" s="3082" t="s">
        <v>128</v>
      </c>
      <c r="Y6" s="3082" t="s">
        <v>129</v>
      </c>
      <c r="Z6" s="3099" t="s">
        <v>130</v>
      </c>
      <c r="AA6" s="3100" t="s">
        <v>131</v>
      </c>
      <c r="AB6" s="3066" t="s">
        <v>28</v>
      </c>
      <c r="AC6" s="3067">
        <f>SUMIF($O$7:$O$397,"April",$N$7:$N$397)</f>
        <v>2227333</v>
      </c>
      <c r="AD6" s="3068">
        <f>SUMIF($U$7:$U$397,"April",$T$7:$T$397)</f>
        <v>1946444</v>
      </c>
      <c r="AE6" s="3069">
        <f>SUMIF($P$7:$P$427,"April",$N$7:$N$427)</f>
        <v>3799298</v>
      </c>
      <c r="AF6" s="3070">
        <f t="shared" si="0"/>
        <v>1852854</v>
      </c>
      <c r="AG6" s="3050"/>
      <c r="AH6" s="3050"/>
      <c r="AI6" s="3050"/>
      <c r="AJ6" s="3050"/>
      <c r="AK6" s="3050"/>
      <c r="AL6" s="3050"/>
      <c r="AM6" s="3050"/>
      <c r="AN6" s="3050"/>
      <c r="AO6" s="3050"/>
      <c r="AP6" s="3050"/>
      <c r="AQ6" s="3050"/>
      <c r="AR6" s="3050"/>
      <c r="AS6" s="3050"/>
      <c r="AT6" s="3050"/>
      <c r="AU6" s="3050"/>
      <c r="AV6" s="367"/>
      <c r="AW6" s="367"/>
      <c r="AX6" s="367"/>
      <c r="AY6" s="367"/>
      <c r="AZ6" s="367"/>
      <c r="BA6" s="367"/>
      <c r="BB6" s="367"/>
      <c r="BC6" s="367"/>
      <c r="BD6" s="367"/>
      <c r="BE6" s="367"/>
      <c r="BF6" s="367"/>
      <c r="BG6" s="367"/>
      <c r="BH6" s="367"/>
      <c r="BI6" s="367"/>
      <c r="BJ6" s="367"/>
      <c r="BK6" s="367"/>
      <c r="BL6" s="367"/>
      <c r="BM6" s="367"/>
      <c r="BN6" s="367"/>
      <c r="BO6" s="367"/>
      <c r="BP6" s="367"/>
      <c r="BQ6" s="367"/>
      <c r="BR6" s="367"/>
      <c r="BS6" s="367"/>
      <c r="BT6" s="367"/>
      <c r="BU6" s="367"/>
      <c r="BV6" s="367"/>
      <c r="BW6" s="367"/>
      <c r="BX6" s="367"/>
      <c r="BY6" s="367"/>
      <c r="BZ6" s="367"/>
      <c r="CA6" s="367"/>
      <c r="CB6" s="367"/>
      <c r="CC6" s="367"/>
      <c r="CD6" s="367"/>
      <c r="CE6" s="367"/>
      <c r="CF6" s="367"/>
      <c r="CG6" s="367"/>
      <c r="CH6" s="367"/>
      <c r="CI6" s="367"/>
      <c r="CJ6" s="367"/>
      <c r="CK6" s="367"/>
      <c r="CL6" s="367"/>
      <c r="CM6" s="367"/>
      <c r="CN6" s="367"/>
      <c r="CO6" s="367"/>
      <c r="CP6" s="367"/>
      <c r="CQ6" s="367"/>
      <c r="CR6" s="367"/>
      <c r="CS6" s="367"/>
      <c r="CT6" s="367"/>
      <c r="CU6" s="367"/>
      <c r="CV6" s="367"/>
      <c r="CW6" s="367"/>
      <c r="CX6" s="367"/>
      <c r="CY6" s="367"/>
      <c r="CZ6" s="367"/>
      <c r="DA6" s="367"/>
      <c r="DB6" s="367"/>
      <c r="DC6" s="367"/>
      <c r="DD6" s="367"/>
      <c r="DE6" s="367"/>
      <c r="DF6" s="367"/>
      <c r="DG6" s="367"/>
      <c r="DH6" s="367"/>
      <c r="DI6" s="367"/>
      <c r="DJ6" s="367"/>
      <c r="DK6" s="367"/>
      <c r="DL6" s="367"/>
      <c r="DM6" s="367"/>
      <c r="DN6" s="367"/>
      <c r="DO6" s="367"/>
      <c r="DP6" s="367"/>
      <c r="DQ6" s="367"/>
      <c r="DR6" s="367"/>
      <c r="DS6" s="367"/>
      <c r="DT6" s="367"/>
      <c r="DU6" s="367"/>
      <c r="DV6" s="367"/>
      <c r="DW6" s="367"/>
      <c r="DX6" s="367"/>
      <c r="DY6" s="367"/>
      <c r="DZ6" s="367"/>
      <c r="EA6" s="367"/>
      <c r="EB6" s="367"/>
      <c r="EC6" s="367"/>
      <c r="ED6" s="367"/>
      <c r="EE6" s="367"/>
      <c r="EF6" s="367"/>
      <c r="EG6" s="367"/>
      <c r="EH6" s="367"/>
      <c r="EI6" s="367"/>
      <c r="EJ6" s="367"/>
      <c r="EK6" s="367"/>
      <c r="EL6" s="367"/>
      <c r="EM6" s="367"/>
      <c r="EN6" s="367"/>
      <c r="EO6" s="367"/>
      <c r="EP6" s="367"/>
      <c r="EQ6" s="367"/>
      <c r="ER6" s="367"/>
      <c r="ES6" s="367"/>
      <c r="ET6" s="367"/>
      <c r="EU6" s="367"/>
      <c r="EV6" s="367"/>
      <c r="EW6" s="367"/>
      <c r="EX6" s="367"/>
      <c r="EY6" s="367"/>
      <c r="EZ6" s="367"/>
      <c r="FA6" s="367"/>
      <c r="FB6" s="367"/>
      <c r="FC6" s="367"/>
      <c r="FD6" s="367"/>
      <c r="FE6" s="367"/>
      <c r="FF6" s="367"/>
      <c r="FG6" s="367"/>
      <c r="FH6" s="367"/>
      <c r="FI6" s="367"/>
      <c r="FJ6" s="367"/>
      <c r="FK6" s="367"/>
      <c r="FL6" s="367"/>
      <c r="FM6" s="367"/>
      <c r="FN6" s="367"/>
      <c r="FO6" s="367"/>
      <c r="FP6" s="367"/>
      <c r="FQ6" s="367"/>
      <c r="FR6" s="367"/>
      <c r="FS6" s="367"/>
      <c r="FT6" s="367"/>
      <c r="FU6" s="367"/>
      <c r="FV6" s="367"/>
      <c r="FW6" s="367"/>
      <c r="FX6" s="367"/>
      <c r="FY6" s="367"/>
      <c r="FZ6" s="367"/>
      <c r="GA6" s="367"/>
      <c r="GB6" s="367"/>
      <c r="GC6" s="367"/>
      <c r="GD6" s="367"/>
      <c r="GE6" s="367"/>
      <c r="GF6" s="367"/>
      <c r="GG6" s="367"/>
      <c r="GH6" s="367"/>
      <c r="GI6" s="367"/>
      <c r="GJ6" s="367"/>
      <c r="GK6" s="367"/>
      <c r="GL6" s="367"/>
      <c r="GM6" s="367"/>
      <c r="GN6" s="367"/>
      <c r="GO6" s="367"/>
      <c r="GP6" s="367"/>
      <c r="GQ6" s="367"/>
      <c r="GR6" s="367"/>
      <c r="GS6" s="367"/>
      <c r="GT6" s="367"/>
      <c r="GU6" s="367"/>
      <c r="GV6" s="367"/>
      <c r="GW6" s="367"/>
      <c r="GX6" s="367"/>
      <c r="GY6" s="367"/>
      <c r="GZ6" s="367"/>
      <c r="HA6" s="367"/>
      <c r="HB6" s="367"/>
      <c r="HC6" s="367"/>
      <c r="HD6" s="367"/>
      <c r="HE6" s="367"/>
      <c r="HF6" s="367"/>
    </row>
    <row r="7" spans="1:214">
      <c r="A7" s="3265">
        <v>1</v>
      </c>
      <c r="B7" s="3266">
        <v>45658</v>
      </c>
      <c r="C7" s="3441" t="s">
        <v>1157</v>
      </c>
      <c r="D7" s="3268" t="s">
        <v>1158</v>
      </c>
      <c r="E7" s="3268" t="s">
        <v>1159</v>
      </c>
      <c r="F7" s="3269" t="s">
        <v>1160</v>
      </c>
      <c r="G7" s="3270">
        <v>251674799</v>
      </c>
      <c r="H7" s="3271" t="s">
        <v>1161</v>
      </c>
      <c r="I7" s="3268" t="s">
        <v>1162</v>
      </c>
      <c r="J7" s="3268" t="s">
        <v>73</v>
      </c>
      <c r="K7" s="3268" t="s">
        <v>138</v>
      </c>
      <c r="L7" s="3272" t="s">
        <v>1163</v>
      </c>
      <c r="M7" s="3273">
        <v>45658</v>
      </c>
      <c r="N7" s="3265">
        <v>118335</v>
      </c>
      <c r="O7" s="3265" t="s">
        <v>7</v>
      </c>
      <c r="P7" s="3265" t="s">
        <v>18</v>
      </c>
      <c r="Q7" s="3274">
        <v>1</v>
      </c>
      <c r="R7" s="3275">
        <v>5700166357</v>
      </c>
      <c r="S7" s="3275" t="s">
        <v>1164</v>
      </c>
      <c r="T7" s="3265">
        <v>118335</v>
      </c>
      <c r="U7" s="3265" t="s">
        <v>7</v>
      </c>
      <c r="V7" s="3276">
        <v>0</v>
      </c>
      <c r="W7" s="3265" t="s">
        <v>663</v>
      </c>
      <c r="X7" s="3277" t="s">
        <v>1165</v>
      </c>
      <c r="Y7" s="3278" t="s">
        <v>1166</v>
      </c>
      <c r="Z7" s="3101" t="s">
        <v>208</v>
      </c>
      <c r="AA7" s="3102" t="s">
        <v>208</v>
      </c>
      <c r="AB7" s="3066" t="s">
        <v>30</v>
      </c>
      <c r="AC7" s="3067">
        <f>SUMIF($O$7:$O$397,"May",$N$7:$N$397)</f>
        <v>9418264</v>
      </c>
      <c r="AD7" s="3068">
        <f>SUMIF($U$7:$U$397,"May",$T$7:$T$397)</f>
        <v>2023542</v>
      </c>
      <c r="AE7" s="3069">
        <f>SUMIF($P$7:$P$427,"May",$N$7:$N$427)</f>
        <v>5936472</v>
      </c>
      <c r="AF7" s="3070">
        <f t="shared" si="0"/>
        <v>3912930</v>
      </c>
      <c r="AG7" s="3048"/>
      <c r="AH7" s="3048"/>
      <c r="AI7" s="3048"/>
      <c r="AJ7" s="3048"/>
      <c r="AK7" s="3048"/>
      <c r="AL7" s="3048"/>
      <c r="AM7" s="3048"/>
      <c r="AN7" s="3048"/>
      <c r="AO7" s="3048"/>
      <c r="AP7" s="3048"/>
      <c r="AQ7" s="3048"/>
      <c r="AR7" s="3048"/>
      <c r="AS7" s="3048"/>
      <c r="AT7" s="3048"/>
      <c r="AU7" s="3048"/>
    </row>
    <row r="8" spans="1:214">
      <c r="A8" s="3279">
        <v>2</v>
      </c>
      <c r="B8" s="3279" t="s">
        <v>1166</v>
      </c>
      <c r="C8" s="3442" t="s">
        <v>1157</v>
      </c>
      <c r="D8" s="3280" t="s">
        <v>1158</v>
      </c>
      <c r="E8" s="3280" t="s">
        <v>1159</v>
      </c>
      <c r="F8" s="3280" t="s">
        <v>1160</v>
      </c>
      <c r="G8" s="3281">
        <v>251674799</v>
      </c>
      <c r="H8" s="3282" t="s">
        <v>1161</v>
      </c>
      <c r="I8" s="3268" t="s">
        <v>1167</v>
      </c>
      <c r="J8" s="3280" t="s">
        <v>73</v>
      </c>
      <c r="K8" s="3268" t="s">
        <v>138</v>
      </c>
      <c r="L8" s="3268" t="s">
        <v>1163</v>
      </c>
      <c r="M8" s="3273">
        <v>45658</v>
      </c>
      <c r="N8" s="3265">
        <v>118335</v>
      </c>
      <c r="O8" s="3265" t="s">
        <v>7</v>
      </c>
      <c r="P8" s="3265" t="s">
        <v>18</v>
      </c>
      <c r="Q8" s="3274">
        <v>1</v>
      </c>
      <c r="R8" s="3275">
        <v>5700166357</v>
      </c>
      <c r="S8" s="3275" t="s">
        <v>1164</v>
      </c>
      <c r="T8" s="3265">
        <v>118335</v>
      </c>
      <c r="U8" s="3265" t="s">
        <v>7</v>
      </c>
      <c r="V8" s="3276">
        <v>0</v>
      </c>
      <c r="W8" s="3265" t="s">
        <v>663</v>
      </c>
      <c r="X8" s="3279" t="s">
        <v>1166</v>
      </c>
      <c r="Y8" s="3283" t="s">
        <v>1166</v>
      </c>
      <c r="Z8" s="3103" t="s">
        <v>1166</v>
      </c>
      <c r="AA8" s="3104" t="s">
        <v>1166</v>
      </c>
      <c r="AB8" s="3066" t="s">
        <v>34</v>
      </c>
      <c r="AC8" s="3067">
        <f>SUMIF($O$7:$O$397,"June",$N$7:$N$397)</f>
        <v>1697290</v>
      </c>
      <c r="AD8" s="3068">
        <f>SUMIF($U$7:$U$397,"June",$T$7:$T$397)</f>
        <v>2252051</v>
      </c>
      <c r="AE8" s="3069">
        <f>SUMIF($P$7:$P$427,"June",$N$7:$N$427)</f>
        <v>6140548</v>
      </c>
      <c r="AF8" s="3070">
        <f t="shared" si="0"/>
        <v>3888497</v>
      </c>
      <c r="AG8" s="3048"/>
      <c r="AH8" s="3048"/>
      <c r="AI8" s="3048"/>
      <c r="AJ8" s="3048"/>
      <c r="AK8" s="3048"/>
      <c r="AL8" s="3048"/>
      <c r="AM8" s="3048"/>
      <c r="AN8" s="3048"/>
      <c r="AO8" s="3048"/>
      <c r="AP8" s="3048"/>
      <c r="AQ8" s="3048"/>
      <c r="AR8" s="3048"/>
      <c r="AS8" s="3048"/>
      <c r="AT8" s="3048"/>
      <c r="AU8" s="3048"/>
    </row>
    <row r="9" spans="1:214">
      <c r="A9" s="3279">
        <v>3</v>
      </c>
      <c r="B9" s="3279" t="s">
        <v>1166</v>
      </c>
      <c r="C9" s="3443" t="s">
        <v>1157</v>
      </c>
      <c r="D9" s="3284" t="s">
        <v>1158</v>
      </c>
      <c r="E9" s="3284" t="s">
        <v>1159</v>
      </c>
      <c r="F9" s="3269" t="s">
        <v>1160</v>
      </c>
      <c r="G9" s="3270">
        <v>251674799</v>
      </c>
      <c r="H9" s="3271" t="s">
        <v>1161</v>
      </c>
      <c r="I9" s="3268" t="s">
        <v>1168</v>
      </c>
      <c r="J9" s="3285" t="s">
        <v>73</v>
      </c>
      <c r="K9" s="3268" t="s">
        <v>138</v>
      </c>
      <c r="L9" s="3272" t="s">
        <v>1163</v>
      </c>
      <c r="M9" s="3273">
        <v>45658</v>
      </c>
      <c r="N9" s="3265">
        <v>118335</v>
      </c>
      <c r="O9" s="3265" t="s">
        <v>7</v>
      </c>
      <c r="P9" s="3265" t="s">
        <v>18</v>
      </c>
      <c r="Q9" s="3274">
        <v>1</v>
      </c>
      <c r="R9" s="3275">
        <v>5700166357</v>
      </c>
      <c r="S9" s="3275" t="s">
        <v>1164</v>
      </c>
      <c r="T9" s="3265">
        <v>118335</v>
      </c>
      <c r="U9" s="3265" t="s">
        <v>7</v>
      </c>
      <c r="V9" s="3276">
        <v>0</v>
      </c>
      <c r="W9" s="3265" t="s">
        <v>663</v>
      </c>
      <c r="X9" s="3279" t="s">
        <v>1166</v>
      </c>
      <c r="Y9" s="3283" t="s">
        <v>1166</v>
      </c>
      <c r="Z9" s="3103" t="s">
        <v>1166</v>
      </c>
      <c r="AA9" s="3104" t="s">
        <v>1166</v>
      </c>
      <c r="AB9" s="3066" t="s">
        <v>37</v>
      </c>
      <c r="AC9" s="3067">
        <f>SUMIF($O$7:$O$397,"July",$N$7:$N$397)</f>
        <v>877510</v>
      </c>
      <c r="AD9" s="3068">
        <f>SUMIF($U$7:$U$397,"July",$T$7:$T$397)</f>
        <v>2954131</v>
      </c>
      <c r="AE9" s="3069">
        <f>SUMIF($P$7:$P$427,"July",$N$7:$N$427)</f>
        <v>4247261</v>
      </c>
      <c r="AF9" s="3070">
        <f t="shared" si="0"/>
        <v>1293130</v>
      </c>
      <c r="AG9" s="3048"/>
      <c r="AH9" s="3048"/>
      <c r="AI9" s="3048"/>
      <c r="AJ9" s="3048"/>
      <c r="AK9" s="3048"/>
      <c r="AL9" s="3048"/>
      <c r="AM9" s="3048"/>
      <c r="AN9" s="3048"/>
      <c r="AO9" s="3048"/>
      <c r="AP9" s="3048"/>
      <c r="AQ9" s="3048"/>
      <c r="AR9" s="3048"/>
      <c r="AS9" s="3048"/>
      <c r="AT9" s="3048"/>
      <c r="AU9" s="3048"/>
    </row>
    <row r="10" spans="1:214">
      <c r="A10" s="3279">
        <v>4</v>
      </c>
      <c r="B10" s="3279" t="s">
        <v>1166</v>
      </c>
      <c r="C10" s="3443" t="s">
        <v>1157</v>
      </c>
      <c r="D10" s="3284" t="s">
        <v>1158</v>
      </c>
      <c r="E10" s="3284" t="s">
        <v>1159</v>
      </c>
      <c r="F10" s="3280" t="s">
        <v>1160</v>
      </c>
      <c r="G10" s="3281">
        <v>251674799</v>
      </c>
      <c r="H10" s="3282" t="s">
        <v>1161</v>
      </c>
      <c r="I10" s="3268" t="s">
        <v>1169</v>
      </c>
      <c r="J10" s="3285" t="s">
        <v>73</v>
      </c>
      <c r="K10" s="3268" t="s">
        <v>138</v>
      </c>
      <c r="L10" s="3268" t="s">
        <v>1163</v>
      </c>
      <c r="M10" s="3273">
        <v>45658</v>
      </c>
      <c r="N10" s="3265">
        <v>118335</v>
      </c>
      <c r="O10" s="3265" t="s">
        <v>7</v>
      </c>
      <c r="P10" s="3265" t="s">
        <v>18</v>
      </c>
      <c r="Q10" s="3274">
        <v>1</v>
      </c>
      <c r="R10" s="3275">
        <v>5700166357</v>
      </c>
      <c r="S10" s="3275" t="s">
        <v>1164</v>
      </c>
      <c r="T10" s="3265">
        <v>118335</v>
      </c>
      <c r="U10" s="3265" t="s">
        <v>7</v>
      </c>
      <c r="V10" s="3276">
        <v>0</v>
      </c>
      <c r="W10" s="3265" t="s">
        <v>663</v>
      </c>
      <c r="X10" s="3279" t="s">
        <v>1166</v>
      </c>
      <c r="Y10" s="3283" t="s">
        <v>1166</v>
      </c>
      <c r="Z10" s="3103" t="s">
        <v>1166</v>
      </c>
      <c r="AA10" s="3104" t="s">
        <v>1166</v>
      </c>
      <c r="AB10" s="3066" t="s">
        <v>39</v>
      </c>
      <c r="AC10" s="3067">
        <f>SUMIF($O$7:$O$397,"August",$N$7:$N$397)</f>
        <v>2373197</v>
      </c>
      <c r="AD10" s="3068">
        <f>SUMIF($U$7:$U$397,"August",$T$7:$T$397)</f>
        <v>1905084</v>
      </c>
      <c r="AE10" s="3069">
        <f>SUMIF($P$7:$P$427,"August",$N$7:$N$427)</f>
        <v>1809730</v>
      </c>
      <c r="AF10" s="3070">
        <f t="shared" si="0"/>
        <v>-95354</v>
      </c>
      <c r="AG10" s="3048"/>
      <c r="AH10" s="3048"/>
      <c r="AI10" s="3048"/>
      <c r="AJ10" s="3048"/>
      <c r="AK10" s="3048"/>
      <c r="AL10" s="3048"/>
      <c r="AM10" s="3048"/>
      <c r="AN10" s="3048"/>
      <c r="AO10" s="3048"/>
      <c r="AP10" s="3048"/>
      <c r="AQ10" s="3048"/>
      <c r="AR10" s="3048"/>
      <c r="AS10" s="3048"/>
      <c r="AT10" s="3048"/>
      <c r="AU10" s="3048"/>
    </row>
    <row r="11" spans="1:214">
      <c r="A11" s="3265">
        <v>5</v>
      </c>
      <c r="B11" s="3279" t="s">
        <v>1166</v>
      </c>
      <c r="C11" s="3443" t="s">
        <v>1157</v>
      </c>
      <c r="D11" s="3284" t="s">
        <v>1158</v>
      </c>
      <c r="E11" s="3284" t="s">
        <v>1159</v>
      </c>
      <c r="F11" s="3269" t="s">
        <v>1160</v>
      </c>
      <c r="G11" s="3270">
        <v>251674799</v>
      </c>
      <c r="H11" s="3271" t="s">
        <v>1161</v>
      </c>
      <c r="I11" s="3268" t="s">
        <v>1170</v>
      </c>
      <c r="J11" s="3285" t="s">
        <v>73</v>
      </c>
      <c r="K11" s="3268" t="s">
        <v>138</v>
      </c>
      <c r="L11" s="3272" t="s">
        <v>1163</v>
      </c>
      <c r="M11" s="3273">
        <v>45658</v>
      </c>
      <c r="N11" s="3265">
        <v>118335</v>
      </c>
      <c r="O11" s="3265" t="s">
        <v>7</v>
      </c>
      <c r="P11" s="3265" t="s">
        <v>18</v>
      </c>
      <c r="Q11" s="3274">
        <v>1</v>
      </c>
      <c r="R11" s="3275">
        <v>5700166357</v>
      </c>
      <c r="S11" s="3275" t="s">
        <v>1164</v>
      </c>
      <c r="T11" s="3265">
        <v>118335</v>
      </c>
      <c r="U11" s="3265" t="s">
        <v>7</v>
      </c>
      <c r="V11" s="3276">
        <v>0</v>
      </c>
      <c r="W11" s="3265" t="s">
        <v>663</v>
      </c>
      <c r="X11" s="3279" t="s">
        <v>1166</v>
      </c>
      <c r="Y11" s="3283" t="s">
        <v>1166</v>
      </c>
      <c r="Z11" s="3103" t="s">
        <v>1166</v>
      </c>
      <c r="AA11" s="3104" t="s">
        <v>1166</v>
      </c>
      <c r="AB11" s="3071" t="s">
        <v>44</v>
      </c>
      <c r="AC11" s="3072">
        <f>SUMIF($O$7:$O$397,"September",$N$7:$N$397)</f>
        <v>824820</v>
      </c>
      <c r="AD11" s="3073">
        <f>SUMIF($U$7:$U$397,"September",$T$7:$T$397)</f>
        <v>779050</v>
      </c>
      <c r="AE11" s="3069">
        <f>SUMIF($P$7:$P$427,"September",$N$7:$N$427)</f>
        <v>1523678</v>
      </c>
      <c r="AF11" s="3070">
        <f t="shared" si="0"/>
        <v>744628</v>
      </c>
      <c r="AG11" s="3048"/>
      <c r="AH11" s="3048"/>
      <c r="AI11" s="3048"/>
      <c r="AJ11" s="3048"/>
      <c r="AK11" s="3048"/>
      <c r="AL11" s="3048"/>
      <c r="AM11" s="3048"/>
      <c r="AN11" s="3048"/>
      <c r="AO11" s="3048"/>
      <c r="AP11" s="3048"/>
      <c r="AQ11" s="3048"/>
      <c r="AR11" s="3048"/>
      <c r="AS11" s="3048"/>
      <c r="AT11" s="3048"/>
      <c r="AU11" s="3048"/>
    </row>
    <row r="12" spans="1:214">
      <c r="A12" s="3279">
        <v>6</v>
      </c>
      <c r="B12" s="3279" t="s">
        <v>1166</v>
      </c>
      <c r="C12" s="3443" t="s">
        <v>1157</v>
      </c>
      <c r="D12" s="3284" t="s">
        <v>1158</v>
      </c>
      <c r="E12" s="3284" t="s">
        <v>1159</v>
      </c>
      <c r="F12" s="3280" t="s">
        <v>1160</v>
      </c>
      <c r="G12" s="3281">
        <v>251674799</v>
      </c>
      <c r="H12" s="3282" t="s">
        <v>1161</v>
      </c>
      <c r="I12" s="3268" t="s">
        <v>1171</v>
      </c>
      <c r="J12" s="3285" t="s">
        <v>73</v>
      </c>
      <c r="K12" s="3268" t="s">
        <v>138</v>
      </c>
      <c r="L12" s="3268" t="s">
        <v>1163</v>
      </c>
      <c r="M12" s="3273">
        <v>45658</v>
      </c>
      <c r="N12" s="3265">
        <v>118335</v>
      </c>
      <c r="O12" s="3265" t="s">
        <v>7</v>
      </c>
      <c r="P12" s="3265" t="s">
        <v>18</v>
      </c>
      <c r="Q12" s="3274">
        <v>1</v>
      </c>
      <c r="R12" s="3275">
        <v>5700166357</v>
      </c>
      <c r="S12" s="3275" t="s">
        <v>1164</v>
      </c>
      <c r="T12" s="3265">
        <v>118335</v>
      </c>
      <c r="U12" s="3265" t="s">
        <v>7</v>
      </c>
      <c r="V12" s="3276">
        <v>0</v>
      </c>
      <c r="W12" s="3265" t="s">
        <v>663</v>
      </c>
      <c r="X12" s="3279" t="s">
        <v>1166</v>
      </c>
      <c r="Y12" s="3283" t="s">
        <v>1166</v>
      </c>
      <c r="Z12" s="3103" t="s">
        <v>1166</v>
      </c>
      <c r="AA12" s="3104" t="s">
        <v>1166</v>
      </c>
      <c r="AB12" s="3071" t="s">
        <v>47</v>
      </c>
      <c r="AC12" s="3072">
        <f>SUMIF($O$7:$O$397,"October",$N$7:$N$397)</f>
        <v>2241390</v>
      </c>
      <c r="AD12" s="3073">
        <f>SUMIF($U$7:$U$397,"October",$T$7:$T$397)</f>
        <v>697320</v>
      </c>
      <c r="AE12" s="3069">
        <f>SUMIF($P$7:$P$427,"October",$N$7:$N$427)</f>
        <v>2049077</v>
      </c>
      <c r="AF12" s="3070">
        <f t="shared" si="0"/>
        <v>1351757</v>
      </c>
      <c r="AG12" s="3048"/>
      <c r="AH12" s="3048"/>
      <c r="AI12" s="3048"/>
      <c r="AJ12" s="3048"/>
      <c r="AK12" s="3048"/>
      <c r="AL12" s="3048"/>
      <c r="AM12" s="3048"/>
      <c r="AN12" s="3048"/>
      <c r="AO12" s="3048"/>
      <c r="AP12" s="3048"/>
      <c r="AQ12" s="3048"/>
      <c r="AR12" s="3048"/>
      <c r="AS12" s="3048"/>
      <c r="AT12" s="3048"/>
      <c r="AU12" s="3048"/>
    </row>
    <row r="13" spans="1:214">
      <c r="A13" s="3279">
        <v>7</v>
      </c>
      <c r="B13" s="3279" t="s">
        <v>1166</v>
      </c>
      <c r="C13" s="3443" t="s">
        <v>1157</v>
      </c>
      <c r="D13" s="3284" t="s">
        <v>1158</v>
      </c>
      <c r="E13" s="3284" t="s">
        <v>1159</v>
      </c>
      <c r="F13" s="3269" t="s">
        <v>1160</v>
      </c>
      <c r="G13" s="3270">
        <v>251674799</v>
      </c>
      <c r="H13" s="3271" t="s">
        <v>1161</v>
      </c>
      <c r="I13" s="3268" t="s">
        <v>1172</v>
      </c>
      <c r="J13" s="3285" t="s">
        <v>73</v>
      </c>
      <c r="K13" s="3268" t="s">
        <v>138</v>
      </c>
      <c r="L13" s="3272" t="s">
        <v>1163</v>
      </c>
      <c r="M13" s="3273">
        <v>45658</v>
      </c>
      <c r="N13" s="3265">
        <v>118335</v>
      </c>
      <c r="O13" s="3265" t="s">
        <v>7</v>
      </c>
      <c r="P13" s="3265" t="s">
        <v>18</v>
      </c>
      <c r="Q13" s="3274">
        <v>1</v>
      </c>
      <c r="R13" s="3275">
        <v>5700166357</v>
      </c>
      <c r="S13" s="3275" t="s">
        <v>1164</v>
      </c>
      <c r="T13" s="3265">
        <v>118335</v>
      </c>
      <c r="U13" s="3265" t="s">
        <v>7</v>
      </c>
      <c r="V13" s="3276">
        <v>0</v>
      </c>
      <c r="W13" s="3265" t="s">
        <v>663</v>
      </c>
      <c r="X13" s="3279" t="s">
        <v>1166</v>
      </c>
      <c r="Y13" s="3283" t="s">
        <v>1166</v>
      </c>
      <c r="Z13" s="3103" t="s">
        <v>1166</v>
      </c>
      <c r="AA13" s="3104" t="s">
        <v>1166</v>
      </c>
      <c r="AB13" s="3066" t="s">
        <v>49</v>
      </c>
      <c r="AC13" s="3067">
        <f>SUMIF($O$7:$O$397,"November",$N$7:$N$397)</f>
        <v>4549000</v>
      </c>
      <c r="AD13" s="3068">
        <f>SUMIF($U$7:$U$397,"November",$T$7:$T$397)</f>
        <v>1021853</v>
      </c>
      <c r="AE13" s="3069">
        <f>SUMIF($P$7:$P$427,"November",$N$7:$N$427)</f>
        <v>7527818</v>
      </c>
      <c r="AF13" s="3070">
        <f t="shared" si="0"/>
        <v>6505965</v>
      </c>
      <c r="AG13" s="3048"/>
      <c r="AH13" s="3048"/>
      <c r="AI13" s="3048"/>
      <c r="AJ13" s="3048"/>
      <c r="AK13" s="3048"/>
      <c r="AL13" s="3048"/>
      <c r="AM13" s="3048"/>
      <c r="AN13" s="3048"/>
      <c r="AO13" s="3048"/>
      <c r="AP13" s="3048"/>
      <c r="AQ13" s="3048"/>
      <c r="AR13" s="3048"/>
      <c r="AS13" s="3048"/>
      <c r="AT13" s="3048"/>
      <c r="AU13" s="3048"/>
    </row>
    <row r="14" spans="1:214">
      <c r="A14" s="3279">
        <v>8</v>
      </c>
      <c r="B14" s="3279" t="s">
        <v>1166</v>
      </c>
      <c r="C14" s="3443" t="s">
        <v>1157</v>
      </c>
      <c r="D14" s="3284" t="s">
        <v>1158</v>
      </c>
      <c r="E14" s="3284" t="s">
        <v>1159</v>
      </c>
      <c r="F14" s="3280" t="s">
        <v>1160</v>
      </c>
      <c r="G14" s="3281">
        <v>251674799</v>
      </c>
      <c r="H14" s="3282" t="s">
        <v>1161</v>
      </c>
      <c r="I14" s="3268" t="s">
        <v>1173</v>
      </c>
      <c r="J14" s="3280" t="s">
        <v>73</v>
      </c>
      <c r="K14" s="3268" t="s">
        <v>138</v>
      </c>
      <c r="L14" s="3268" t="s">
        <v>1163</v>
      </c>
      <c r="M14" s="3273">
        <v>45658</v>
      </c>
      <c r="N14" s="3265">
        <v>118335</v>
      </c>
      <c r="O14" s="3265" t="s">
        <v>7</v>
      </c>
      <c r="P14" s="3265" t="s">
        <v>18</v>
      </c>
      <c r="Q14" s="3274">
        <v>1</v>
      </c>
      <c r="R14" s="3275">
        <v>5700166357</v>
      </c>
      <c r="S14" s="3275" t="s">
        <v>1164</v>
      </c>
      <c r="T14" s="3265">
        <v>118335</v>
      </c>
      <c r="U14" s="3265" t="s">
        <v>7</v>
      </c>
      <c r="V14" s="3276">
        <v>0</v>
      </c>
      <c r="W14" s="3265" t="s">
        <v>663</v>
      </c>
      <c r="X14" s="3279" t="s">
        <v>1166</v>
      </c>
      <c r="Y14" s="3283" t="s">
        <v>1166</v>
      </c>
      <c r="Z14" s="3103" t="s">
        <v>1166</v>
      </c>
      <c r="AA14" s="3104" t="s">
        <v>1166</v>
      </c>
      <c r="AB14" s="3066" t="s">
        <v>62</v>
      </c>
      <c r="AC14" s="3067">
        <f>SUMIF($O$7:$O$397,"December",$N$7:$N$397)</f>
        <v>4071408</v>
      </c>
      <c r="AD14" s="3068">
        <f>SUMIF($U$7:$U$397,"December",$T$7:$T$397)</f>
        <v>2950499</v>
      </c>
      <c r="AE14" s="3069">
        <f>SUMIF($P$7:$P$427,"December",$N$7:$N$427)</f>
        <v>8187712</v>
      </c>
      <c r="AF14" s="3070">
        <f t="shared" si="0"/>
        <v>5237213</v>
      </c>
      <c r="AG14" s="3048"/>
      <c r="AH14" s="3048"/>
      <c r="AI14" s="3048"/>
      <c r="AJ14" s="3048"/>
      <c r="AK14" s="3048"/>
      <c r="AL14" s="3048"/>
      <c r="AM14" s="3048"/>
      <c r="AN14" s="3048"/>
      <c r="AO14" s="3048"/>
      <c r="AP14" s="3048"/>
      <c r="AQ14" s="3048"/>
      <c r="AR14" s="3048"/>
      <c r="AS14" s="3048"/>
      <c r="AT14" s="3048"/>
      <c r="AU14" s="3048"/>
    </row>
    <row r="15" spans="1:214" s="360" customFormat="1">
      <c r="A15" s="3265">
        <v>9</v>
      </c>
      <c r="B15" s="3266">
        <v>45658</v>
      </c>
      <c r="C15" s="3443" t="s">
        <v>1174</v>
      </c>
      <c r="D15" s="3284" t="s">
        <v>1175</v>
      </c>
      <c r="E15" s="3284" t="s">
        <v>1176</v>
      </c>
      <c r="F15" s="3267" t="s">
        <v>1177</v>
      </c>
      <c r="G15" s="3281">
        <v>8552913019</v>
      </c>
      <c r="H15" s="3286" t="s">
        <v>1178</v>
      </c>
      <c r="I15" s="3268" t="s">
        <v>1179</v>
      </c>
      <c r="J15" s="3285" t="s">
        <v>73</v>
      </c>
      <c r="K15" s="3268" t="s">
        <v>138</v>
      </c>
      <c r="L15" s="3268" t="s">
        <v>1180</v>
      </c>
      <c r="M15" s="3281" t="s">
        <v>1181</v>
      </c>
      <c r="N15" s="3279">
        <v>69500</v>
      </c>
      <c r="O15" s="3279" t="s">
        <v>7</v>
      </c>
      <c r="P15" s="3279" t="s">
        <v>39</v>
      </c>
      <c r="Q15" s="3274">
        <v>1</v>
      </c>
      <c r="R15" s="3279" t="s">
        <v>1182</v>
      </c>
      <c r="S15" s="3287">
        <v>45846</v>
      </c>
      <c r="T15" s="3279">
        <v>65000</v>
      </c>
      <c r="U15" s="3279" t="s">
        <v>37</v>
      </c>
      <c r="V15" s="3276">
        <v>0</v>
      </c>
      <c r="W15" s="3279" t="s">
        <v>1183</v>
      </c>
      <c r="X15" s="3279" t="s">
        <v>1166</v>
      </c>
      <c r="Y15" s="3283" t="s">
        <v>1166</v>
      </c>
      <c r="Z15" s="3103" t="s">
        <v>1166</v>
      </c>
      <c r="AA15" s="3104" t="s">
        <v>1166</v>
      </c>
      <c r="AB15" s="3050"/>
      <c r="AC15" s="3050"/>
      <c r="AD15" s="3050"/>
      <c r="AE15" s="3050"/>
      <c r="AF15" s="3050"/>
      <c r="AG15" s="3050"/>
      <c r="AH15" s="3050"/>
      <c r="AI15" s="3050"/>
      <c r="AJ15" s="3050"/>
      <c r="AK15" s="3050"/>
      <c r="AL15" s="3050"/>
      <c r="AM15" s="3050"/>
      <c r="AN15" s="3050"/>
      <c r="AO15" s="3050"/>
      <c r="AP15" s="3050"/>
      <c r="AQ15" s="3050"/>
      <c r="AR15" s="3050"/>
      <c r="AS15" s="3050"/>
      <c r="AT15" s="3050"/>
      <c r="AU15" s="3050"/>
      <c r="AV15" s="367"/>
      <c r="AW15" s="367"/>
      <c r="AX15" s="367"/>
      <c r="AY15" s="367"/>
      <c r="AZ15" s="367"/>
      <c r="BA15" s="367"/>
      <c r="BB15" s="367"/>
      <c r="BC15" s="367"/>
      <c r="BD15" s="367"/>
      <c r="BE15" s="367"/>
      <c r="BF15" s="367"/>
      <c r="BG15" s="367"/>
      <c r="BH15" s="367"/>
      <c r="BI15" s="367"/>
      <c r="BJ15" s="367"/>
      <c r="BK15" s="367"/>
      <c r="BL15" s="367"/>
      <c r="BM15" s="367"/>
      <c r="BN15" s="367"/>
      <c r="BO15" s="367"/>
      <c r="BP15" s="367"/>
      <c r="BQ15" s="367"/>
      <c r="BR15" s="367"/>
      <c r="BS15" s="367"/>
      <c r="BT15" s="367"/>
      <c r="BU15" s="367"/>
      <c r="BV15" s="367"/>
      <c r="BW15" s="367"/>
      <c r="BX15" s="367"/>
      <c r="BY15" s="367"/>
      <c r="BZ15" s="367"/>
      <c r="CA15" s="367"/>
      <c r="CB15" s="367"/>
      <c r="CC15" s="367"/>
      <c r="CD15" s="367"/>
      <c r="CE15" s="367"/>
      <c r="CF15" s="367"/>
      <c r="CG15" s="367"/>
      <c r="CH15" s="367"/>
      <c r="CI15" s="367"/>
      <c r="CJ15" s="367"/>
      <c r="CK15" s="367"/>
      <c r="CL15" s="367"/>
      <c r="CM15" s="367"/>
      <c r="CN15" s="367"/>
      <c r="CO15" s="367"/>
      <c r="CP15" s="367"/>
      <c r="CQ15" s="367"/>
      <c r="CR15" s="367"/>
      <c r="CS15" s="367"/>
      <c r="CT15" s="367"/>
      <c r="CU15" s="367"/>
      <c r="CV15" s="367"/>
      <c r="CW15" s="367"/>
      <c r="CX15" s="367"/>
      <c r="CY15" s="367"/>
      <c r="CZ15" s="367"/>
      <c r="DA15" s="367"/>
      <c r="DB15" s="367"/>
      <c r="DC15" s="367"/>
      <c r="DD15" s="367"/>
      <c r="DE15" s="367"/>
      <c r="DF15" s="367"/>
      <c r="DG15" s="367"/>
      <c r="DH15" s="367"/>
      <c r="DI15" s="367"/>
      <c r="DJ15" s="367"/>
      <c r="DK15" s="367"/>
      <c r="DL15" s="367"/>
      <c r="DM15" s="367"/>
      <c r="DN15" s="367"/>
      <c r="DO15" s="367"/>
      <c r="DP15" s="367"/>
      <c r="DQ15" s="367"/>
      <c r="DR15" s="367"/>
      <c r="DS15" s="367"/>
      <c r="DT15" s="367"/>
      <c r="DU15" s="367"/>
      <c r="DV15" s="367"/>
      <c r="DW15" s="367"/>
      <c r="DX15" s="367"/>
      <c r="DY15" s="367"/>
      <c r="DZ15" s="367"/>
      <c r="EA15" s="367"/>
      <c r="EB15" s="367"/>
      <c r="EC15" s="367"/>
      <c r="ED15" s="367"/>
      <c r="EE15" s="367"/>
      <c r="EF15" s="367"/>
      <c r="EG15" s="367"/>
      <c r="EH15" s="367"/>
      <c r="EI15" s="367"/>
      <c r="EJ15" s="367"/>
      <c r="EK15" s="367"/>
      <c r="EL15" s="367"/>
      <c r="EM15" s="367"/>
      <c r="EN15" s="367"/>
      <c r="EO15" s="367"/>
      <c r="EP15" s="367"/>
      <c r="EQ15" s="367"/>
      <c r="ER15" s="367"/>
      <c r="ES15" s="367"/>
      <c r="ET15" s="367"/>
      <c r="EU15" s="367"/>
      <c r="EV15" s="367"/>
      <c r="EW15" s="367"/>
      <c r="EX15" s="367"/>
      <c r="EY15" s="367"/>
      <c r="EZ15" s="367"/>
      <c r="FA15" s="367"/>
      <c r="FB15" s="367"/>
      <c r="FC15" s="367"/>
      <c r="FD15" s="367"/>
      <c r="FE15" s="367"/>
      <c r="FF15" s="367"/>
      <c r="FG15" s="367"/>
      <c r="FH15" s="367"/>
      <c r="FI15" s="367"/>
      <c r="FJ15" s="367"/>
      <c r="FK15" s="367"/>
      <c r="FL15" s="367"/>
      <c r="FM15" s="367"/>
      <c r="FN15" s="367"/>
      <c r="FO15" s="367"/>
      <c r="FP15" s="367"/>
      <c r="FQ15" s="367"/>
      <c r="FR15" s="367"/>
      <c r="FS15" s="367"/>
      <c r="FT15" s="367"/>
      <c r="FU15" s="367"/>
      <c r="FV15" s="367"/>
      <c r="FW15" s="367"/>
      <c r="FX15" s="367"/>
      <c r="FY15" s="367"/>
      <c r="FZ15" s="367"/>
      <c r="GA15" s="367"/>
      <c r="GB15" s="367"/>
      <c r="GC15" s="367"/>
      <c r="GD15" s="367"/>
      <c r="GE15" s="367"/>
      <c r="GF15" s="367"/>
      <c r="GG15" s="367"/>
      <c r="GH15" s="367"/>
      <c r="GI15" s="367"/>
      <c r="GJ15" s="367"/>
      <c r="GK15" s="367"/>
      <c r="GL15" s="367"/>
      <c r="GM15" s="367"/>
      <c r="GN15" s="367"/>
      <c r="GO15" s="367"/>
      <c r="GP15" s="367"/>
      <c r="GQ15" s="367"/>
      <c r="GR15" s="367"/>
      <c r="GS15" s="367"/>
      <c r="GT15" s="367"/>
      <c r="GU15" s="367"/>
      <c r="GV15" s="367"/>
      <c r="GW15" s="367"/>
      <c r="GX15" s="367"/>
      <c r="GY15" s="367"/>
      <c r="GZ15" s="367"/>
      <c r="HA15" s="367"/>
      <c r="HB15" s="367"/>
      <c r="HC15" s="367"/>
      <c r="HD15" s="367"/>
      <c r="HE15" s="367"/>
      <c r="HF15" s="367"/>
    </row>
    <row r="16" spans="1:214" s="360" customFormat="1">
      <c r="A16" s="3279">
        <v>10</v>
      </c>
      <c r="B16" s="3279" t="s">
        <v>1166</v>
      </c>
      <c r="C16" s="3443" t="s">
        <v>1174</v>
      </c>
      <c r="D16" s="3284" t="s">
        <v>1175</v>
      </c>
      <c r="E16" s="3284" t="s">
        <v>1176</v>
      </c>
      <c r="F16" s="3267" t="s">
        <v>1177</v>
      </c>
      <c r="G16" s="3281">
        <v>8552913019</v>
      </c>
      <c r="H16" s="3286" t="s">
        <v>1178</v>
      </c>
      <c r="I16" s="3268" t="s">
        <v>1184</v>
      </c>
      <c r="J16" s="3285" t="s">
        <v>73</v>
      </c>
      <c r="K16" s="3268" t="s">
        <v>138</v>
      </c>
      <c r="L16" s="3268" t="s">
        <v>1180</v>
      </c>
      <c r="M16" s="3281" t="s">
        <v>1181</v>
      </c>
      <c r="N16" s="3279">
        <v>69500</v>
      </c>
      <c r="O16" s="3279" t="s">
        <v>7</v>
      </c>
      <c r="P16" s="3279" t="s">
        <v>39</v>
      </c>
      <c r="Q16" s="3274">
        <v>1</v>
      </c>
      <c r="R16" s="3279" t="s">
        <v>1182</v>
      </c>
      <c r="S16" s="3287">
        <v>45846</v>
      </c>
      <c r="T16" s="3279">
        <v>65000</v>
      </c>
      <c r="U16" s="3279" t="s">
        <v>37</v>
      </c>
      <c r="V16" s="3276">
        <v>0</v>
      </c>
      <c r="W16" s="3279" t="s">
        <v>1183</v>
      </c>
      <c r="X16" s="3279" t="s">
        <v>1166</v>
      </c>
      <c r="Y16" s="3283" t="s">
        <v>1166</v>
      </c>
      <c r="Z16" s="3103" t="s">
        <v>1166</v>
      </c>
      <c r="AA16" s="3104" t="s">
        <v>1166</v>
      </c>
      <c r="AB16" s="3050"/>
      <c r="AC16" s="3050"/>
      <c r="AD16" s="3050"/>
      <c r="AE16" s="3050"/>
      <c r="AF16" s="3050"/>
      <c r="AG16" s="3050"/>
      <c r="AH16" s="3050"/>
      <c r="AI16" s="3050"/>
      <c r="AJ16" s="3050"/>
      <c r="AK16" s="3050"/>
      <c r="AL16" s="3050"/>
      <c r="AM16" s="3050"/>
      <c r="AN16" s="3050"/>
      <c r="AO16" s="3050"/>
      <c r="AP16" s="3050"/>
      <c r="AQ16" s="3050"/>
      <c r="AR16" s="3050"/>
      <c r="AS16" s="3050"/>
      <c r="AT16" s="3050"/>
      <c r="AU16" s="3050"/>
      <c r="AV16" s="367"/>
      <c r="AW16" s="367"/>
      <c r="AX16" s="367"/>
      <c r="AY16" s="367"/>
      <c r="AZ16" s="367"/>
      <c r="BA16" s="367"/>
      <c r="BB16" s="367"/>
      <c r="BC16" s="367"/>
      <c r="BD16" s="367"/>
      <c r="BE16" s="367"/>
      <c r="BF16" s="367"/>
      <c r="BG16" s="367"/>
      <c r="BH16" s="367"/>
      <c r="BI16" s="367"/>
      <c r="BJ16" s="367"/>
      <c r="BK16" s="367"/>
      <c r="BL16" s="367"/>
      <c r="BM16" s="367"/>
      <c r="BN16" s="367"/>
      <c r="BO16" s="367"/>
      <c r="BP16" s="367"/>
      <c r="BQ16" s="367"/>
      <c r="BR16" s="367"/>
      <c r="BS16" s="367"/>
      <c r="BT16" s="367"/>
      <c r="BU16" s="367"/>
      <c r="BV16" s="367"/>
      <c r="BW16" s="367"/>
      <c r="BX16" s="367"/>
      <c r="BY16" s="367"/>
      <c r="BZ16" s="367"/>
      <c r="CA16" s="367"/>
      <c r="CB16" s="367"/>
      <c r="CC16" s="367"/>
      <c r="CD16" s="367"/>
      <c r="CE16" s="367"/>
      <c r="CF16" s="367"/>
      <c r="CG16" s="367"/>
      <c r="CH16" s="367"/>
      <c r="CI16" s="367"/>
      <c r="CJ16" s="367"/>
      <c r="CK16" s="367"/>
      <c r="CL16" s="367"/>
      <c r="CM16" s="367"/>
      <c r="CN16" s="367"/>
      <c r="CO16" s="367"/>
      <c r="CP16" s="367"/>
      <c r="CQ16" s="367"/>
      <c r="CR16" s="367"/>
      <c r="CS16" s="367"/>
      <c r="CT16" s="367"/>
      <c r="CU16" s="367"/>
      <c r="CV16" s="367"/>
      <c r="CW16" s="367"/>
      <c r="CX16" s="367"/>
      <c r="CY16" s="367"/>
      <c r="CZ16" s="367"/>
      <c r="DA16" s="367"/>
      <c r="DB16" s="367"/>
      <c r="DC16" s="367"/>
      <c r="DD16" s="367"/>
      <c r="DE16" s="367"/>
      <c r="DF16" s="367"/>
      <c r="DG16" s="367"/>
      <c r="DH16" s="367"/>
      <c r="DI16" s="367"/>
      <c r="DJ16" s="367"/>
      <c r="DK16" s="367"/>
      <c r="DL16" s="367"/>
      <c r="DM16" s="367"/>
      <c r="DN16" s="367"/>
      <c r="DO16" s="367"/>
      <c r="DP16" s="367"/>
      <c r="DQ16" s="367"/>
      <c r="DR16" s="367"/>
      <c r="DS16" s="367"/>
      <c r="DT16" s="367"/>
      <c r="DU16" s="367"/>
      <c r="DV16" s="367"/>
      <c r="DW16" s="367"/>
      <c r="DX16" s="367"/>
      <c r="DY16" s="367"/>
      <c r="DZ16" s="367"/>
      <c r="EA16" s="367"/>
      <c r="EB16" s="367"/>
      <c r="EC16" s="367"/>
      <c r="ED16" s="367"/>
      <c r="EE16" s="367"/>
      <c r="EF16" s="367"/>
      <c r="EG16" s="367"/>
      <c r="EH16" s="367"/>
      <c r="EI16" s="367"/>
      <c r="EJ16" s="367"/>
      <c r="EK16" s="367"/>
      <c r="EL16" s="367"/>
      <c r="EM16" s="367"/>
      <c r="EN16" s="367"/>
      <c r="EO16" s="367"/>
      <c r="EP16" s="367"/>
      <c r="EQ16" s="367"/>
      <c r="ER16" s="367"/>
      <c r="ES16" s="367"/>
      <c r="ET16" s="367"/>
      <c r="EU16" s="367"/>
      <c r="EV16" s="367"/>
      <c r="EW16" s="367"/>
      <c r="EX16" s="367"/>
      <c r="EY16" s="367"/>
      <c r="EZ16" s="367"/>
      <c r="FA16" s="367"/>
      <c r="FB16" s="367"/>
      <c r="FC16" s="367"/>
      <c r="FD16" s="367"/>
      <c r="FE16" s="367"/>
      <c r="FF16" s="367"/>
      <c r="FG16" s="367"/>
      <c r="FH16" s="367"/>
      <c r="FI16" s="367"/>
      <c r="FJ16" s="367"/>
      <c r="FK16" s="367"/>
      <c r="FL16" s="367"/>
      <c r="FM16" s="367"/>
      <c r="FN16" s="367"/>
      <c r="FO16" s="367"/>
      <c r="FP16" s="367"/>
      <c r="FQ16" s="367"/>
      <c r="FR16" s="367"/>
      <c r="FS16" s="367"/>
      <c r="FT16" s="367"/>
      <c r="FU16" s="367"/>
      <c r="FV16" s="367"/>
      <c r="FW16" s="367"/>
      <c r="FX16" s="367"/>
      <c r="FY16" s="367"/>
      <c r="FZ16" s="367"/>
      <c r="GA16" s="367"/>
      <c r="GB16" s="367"/>
      <c r="GC16" s="367"/>
      <c r="GD16" s="367"/>
      <c r="GE16" s="367"/>
      <c r="GF16" s="367"/>
      <c r="GG16" s="367"/>
      <c r="GH16" s="367"/>
      <c r="GI16" s="367"/>
      <c r="GJ16" s="367"/>
      <c r="GK16" s="367"/>
      <c r="GL16" s="367"/>
      <c r="GM16" s="367"/>
      <c r="GN16" s="367"/>
      <c r="GO16" s="367"/>
      <c r="GP16" s="367"/>
      <c r="GQ16" s="367"/>
      <c r="GR16" s="367"/>
      <c r="GS16" s="367"/>
      <c r="GT16" s="367"/>
      <c r="GU16" s="367"/>
      <c r="GV16" s="367"/>
      <c r="GW16" s="367"/>
      <c r="GX16" s="367"/>
      <c r="GY16" s="367"/>
      <c r="GZ16" s="367"/>
      <c r="HA16" s="367"/>
      <c r="HB16" s="367"/>
      <c r="HC16" s="367"/>
      <c r="HD16" s="367"/>
      <c r="HE16" s="367"/>
      <c r="HF16" s="367"/>
    </row>
    <row r="17" spans="1:214">
      <c r="A17" s="3279">
        <v>11</v>
      </c>
      <c r="B17" s="3279" t="s">
        <v>1166</v>
      </c>
      <c r="C17" s="3443" t="s">
        <v>1174</v>
      </c>
      <c r="D17" s="3284" t="s">
        <v>1175</v>
      </c>
      <c r="E17" s="3284" t="s">
        <v>1176</v>
      </c>
      <c r="F17" s="3267" t="s">
        <v>1177</v>
      </c>
      <c r="G17" s="3281">
        <v>8552913019</v>
      </c>
      <c r="H17" s="3286" t="s">
        <v>1178</v>
      </c>
      <c r="I17" s="3268" t="s">
        <v>1185</v>
      </c>
      <c r="J17" s="3285" t="s">
        <v>73</v>
      </c>
      <c r="K17" s="3268" t="s">
        <v>138</v>
      </c>
      <c r="L17" s="3268" t="s">
        <v>1180</v>
      </c>
      <c r="M17" s="3281" t="s">
        <v>1181</v>
      </c>
      <c r="N17" s="3279">
        <v>69500</v>
      </c>
      <c r="O17" s="3279" t="s">
        <v>7</v>
      </c>
      <c r="P17" s="3279" t="s">
        <v>39</v>
      </c>
      <c r="Q17" s="3274">
        <v>1</v>
      </c>
      <c r="R17" s="3279" t="s">
        <v>1182</v>
      </c>
      <c r="S17" s="3287">
        <v>45846</v>
      </c>
      <c r="T17" s="3279">
        <v>65000</v>
      </c>
      <c r="U17" s="3279" t="s">
        <v>37</v>
      </c>
      <c r="V17" s="3276">
        <v>0</v>
      </c>
      <c r="W17" s="3279" t="s">
        <v>1166</v>
      </c>
      <c r="X17" s="3279" t="s">
        <v>1166</v>
      </c>
      <c r="Y17" s="3283" t="s">
        <v>1166</v>
      </c>
      <c r="Z17" s="3105" t="s">
        <v>1166</v>
      </c>
      <c r="AA17" s="3104" t="s">
        <v>1166</v>
      </c>
      <c r="AB17" s="3048"/>
      <c r="AC17" s="3048"/>
      <c r="AD17" s="3048"/>
      <c r="AE17" s="3048"/>
      <c r="AF17" s="3048"/>
      <c r="AG17" s="3048"/>
      <c r="AH17" s="3048"/>
      <c r="AI17" s="3048"/>
      <c r="AJ17" s="3048"/>
      <c r="AK17" s="3048"/>
      <c r="AL17" s="3048"/>
      <c r="AM17" s="3048"/>
      <c r="AN17" s="3048"/>
      <c r="AO17" s="3048"/>
      <c r="AP17" s="3048"/>
      <c r="AQ17" s="3048"/>
      <c r="AR17" s="3048"/>
      <c r="AS17" s="3048"/>
      <c r="AT17" s="3048"/>
      <c r="AU17" s="3048"/>
    </row>
    <row r="18" spans="1:214">
      <c r="A18" s="3279">
        <v>12</v>
      </c>
      <c r="B18" s="3279" t="s">
        <v>1166</v>
      </c>
      <c r="C18" s="3443" t="s">
        <v>1174</v>
      </c>
      <c r="D18" s="3284" t="s">
        <v>1175</v>
      </c>
      <c r="E18" s="3284" t="s">
        <v>1176</v>
      </c>
      <c r="F18" s="3267" t="s">
        <v>1177</v>
      </c>
      <c r="G18" s="3281">
        <v>8552913019</v>
      </c>
      <c r="H18" s="3286" t="s">
        <v>1178</v>
      </c>
      <c r="I18" s="3268" t="s">
        <v>1186</v>
      </c>
      <c r="J18" s="3285" t="s">
        <v>73</v>
      </c>
      <c r="K18" s="3268" t="s">
        <v>138</v>
      </c>
      <c r="L18" s="3268" t="s">
        <v>1180</v>
      </c>
      <c r="M18" s="3281" t="s">
        <v>1181</v>
      </c>
      <c r="N18" s="3279">
        <v>69500</v>
      </c>
      <c r="O18" s="3279" t="s">
        <v>7</v>
      </c>
      <c r="P18" s="3279" t="s">
        <v>39</v>
      </c>
      <c r="Q18" s="3274">
        <v>1</v>
      </c>
      <c r="R18" s="3279" t="s">
        <v>1182</v>
      </c>
      <c r="S18" s="3287">
        <v>45846</v>
      </c>
      <c r="T18" s="3279">
        <v>65000</v>
      </c>
      <c r="U18" s="3279" t="s">
        <v>37</v>
      </c>
      <c r="V18" s="3276">
        <v>0</v>
      </c>
      <c r="W18" s="3279" t="s">
        <v>1166</v>
      </c>
      <c r="X18" s="3279" t="s">
        <v>1166</v>
      </c>
      <c r="Y18" s="3283" t="s">
        <v>1166</v>
      </c>
      <c r="Z18" s="3105" t="s">
        <v>1166</v>
      </c>
      <c r="AA18" s="3104" t="s">
        <v>1166</v>
      </c>
      <c r="AB18" s="3048"/>
      <c r="AC18" s="3048"/>
      <c r="AD18" s="3048"/>
      <c r="AE18" s="3048"/>
      <c r="AF18" s="3048"/>
      <c r="AG18" s="3048"/>
      <c r="AH18" s="3048"/>
      <c r="AI18" s="3048"/>
      <c r="AJ18" s="3048"/>
      <c r="AK18" s="3048"/>
      <c r="AL18" s="3048"/>
      <c r="AM18" s="3048"/>
      <c r="AN18" s="3048"/>
      <c r="AO18" s="3048"/>
      <c r="AP18" s="3048"/>
      <c r="AQ18" s="3048"/>
      <c r="AR18" s="3048"/>
      <c r="AS18" s="3048"/>
      <c r="AT18" s="3048"/>
      <c r="AU18" s="3048"/>
    </row>
    <row r="19" spans="1:214">
      <c r="A19" s="3265">
        <v>13</v>
      </c>
      <c r="B19" s="3279" t="s">
        <v>1166</v>
      </c>
      <c r="C19" s="3443" t="s">
        <v>1174</v>
      </c>
      <c r="D19" s="3284" t="s">
        <v>1175</v>
      </c>
      <c r="E19" s="3284" t="s">
        <v>1176</v>
      </c>
      <c r="F19" s="3267" t="s">
        <v>1177</v>
      </c>
      <c r="G19" s="3281">
        <v>8552913019</v>
      </c>
      <c r="H19" s="3286" t="s">
        <v>1178</v>
      </c>
      <c r="I19" s="3268" t="s">
        <v>1187</v>
      </c>
      <c r="J19" s="3285" t="s">
        <v>73</v>
      </c>
      <c r="K19" s="3268" t="s">
        <v>138</v>
      </c>
      <c r="L19" s="3268" t="s">
        <v>1180</v>
      </c>
      <c r="M19" s="3281" t="s">
        <v>1181</v>
      </c>
      <c r="N19" s="3279">
        <v>69500</v>
      </c>
      <c r="O19" s="3279" t="s">
        <v>7</v>
      </c>
      <c r="P19" s="3279" t="s">
        <v>39</v>
      </c>
      <c r="Q19" s="3274">
        <v>1</v>
      </c>
      <c r="R19" s="3279" t="s">
        <v>1182</v>
      </c>
      <c r="S19" s="3287">
        <v>45846</v>
      </c>
      <c r="T19" s="3279">
        <v>65000</v>
      </c>
      <c r="U19" s="3279" t="s">
        <v>37</v>
      </c>
      <c r="V19" s="3276">
        <v>0</v>
      </c>
      <c r="W19" s="3279" t="s">
        <v>1166</v>
      </c>
      <c r="X19" s="3279" t="s">
        <v>1166</v>
      </c>
      <c r="Y19" s="3283" t="s">
        <v>1166</v>
      </c>
      <c r="Z19" s="3105" t="s">
        <v>1166</v>
      </c>
      <c r="AA19" s="3104" t="s">
        <v>1166</v>
      </c>
      <c r="AB19" s="3048"/>
      <c r="AC19" s="3048"/>
      <c r="AD19" s="3048"/>
      <c r="AE19" s="3048"/>
      <c r="AF19" s="3048"/>
      <c r="AG19" s="3048"/>
      <c r="AH19" s="3048"/>
      <c r="AI19" s="3048"/>
      <c r="AJ19" s="3048"/>
      <c r="AK19" s="3048"/>
      <c r="AL19" s="3048"/>
      <c r="AM19" s="3048"/>
      <c r="AN19" s="3048"/>
      <c r="AO19" s="3048"/>
      <c r="AP19" s="3048"/>
      <c r="AQ19" s="3048"/>
      <c r="AR19" s="3048"/>
      <c r="AS19" s="3048"/>
      <c r="AT19" s="3048"/>
      <c r="AU19" s="3048"/>
    </row>
    <row r="20" spans="1:214">
      <c r="A20" s="3279">
        <v>14</v>
      </c>
      <c r="B20" s="3279" t="s">
        <v>1166</v>
      </c>
      <c r="C20" s="3443" t="s">
        <v>1174</v>
      </c>
      <c r="D20" s="3284" t="s">
        <v>1175</v>
      </c>
      <c r="E20" s="3284" t="s">
        <v>1176</v>
      </c>
      <c r="F20" s="3267" t="s">
        <v>1177</v>
      </c>
      <c r="G20" s="3281">
        <v>8552913019</v>
      </c>
      <c r="H20" s="3286" t="s">
        <v>1178</v>
      </c>
      <c r="I20" s="3268" t="s">
        <v>1188</v>
      </c>
      <c r="J20" s="3285" t="s">
        <v>73</v>
      </c>
      <c r="K20" s="3268" t="s">
        <v>138</v>
      </c>
      <c r="L20" s="3268" t="s">
        <v>1180</v>
      </c>
      <c r="M20" s="3281" t="s">
        <v>1181</v>
      </c>
      <c r="N20" s="3279">
        <v>69500</v>
      </c>
      <c r="O20" s="3279" t="s">
        <v>7</v>
      </c>
      <c r="P20" s="3279" t="s">
        <v>39</v>
      </c>
      <c r="Q20" s="3274">
        <v>1</v>
      </c>
      <c r="R20" s="3279" t="s">
        <v>1182</v>
      </c>
      <c r="S20" s="3287">
        <v>45846</v>
      </c>
      <c r="T20" s="3279">
        <v>65000</v>
      </c>
      <c r="U20" s="3279" t="s">
        <v>37</v>
      </c>
      <c r="V20" s="3276">
        <v>0</v>
      </c>
      <c r="W20" s="3279" t="s">
        <v>1166</v>
      </c>
      <c r="X20" s="3279" t="s">
        <v>1166</v>
      </c>
      <c r="Y20" s="3283" t="s">
        <v>1166</v>
      </c>
      <c r="Z20" s="3105" t="s">
        <v>1166</v>
      </c>
      <c r="AA20" s="3104" t="s">
        <v>1166</v>
      </c>
      <c r="AB20" s="3048"/>
      <c r="AC20" s="3048"/>
      <c r="AD20" s="3048"/>
      <c r="AE20" s="3048"/>
      <c r="AF20" s="3048"/>
      <c r="AG20" s="3048"/>
      <c r="AH20" s="3048"/>
      <c r="AI20" s="3048"/>
      <c r="AJ20" s="3048"/>
      <c r="AK20" s="3048"/>
      <c r="AL20" s="3048"/>
      <c r="AM20" s="3048"/>
      <c r="AN20" s="3048"/>
      <c r="AO20" s="3048"/>
      <c r="AP20" s="3048"/>
      <c r="AQ20" s="3048"/>
      <c r="AR20" s="3048"/>
      <c r="AS20" s="3048"/>
      <c r="AT20" s="3048"/>
      <c r="AU20" s="3048"/>
    </row>
    <row r="21" spans="1:214">
      <c r="A21" s="3279">
        <v>15</v>
      </c>
      <c r="B21" s="3279" t="s">
        <v>1166</v>
      </c>
      <c r="C21" s="3443" t="s">
        <v>1174</v>
      </c>
      <c r="D21" s="3284" t="s">
        <v>1175</v>
      </c>
      <c r="E21" s="3284" t="s">
        <v>1176</v>
      </c>
      <c r="F21" s="3267" t="s">
        <v>1177</v>
      </c>
      <c r="G21" s="3281">
        <v>8552913019</v>
      </c>
      <c r="H21" s="3286" t="s">
        <v>1178</v>
      </c>
      <c r="I21" s="3268" t="s">
        <v>1189</v>
      </c>
      <c r="J21" s="3285" t="s">
        <v>73</v>
      </c>
      <c r="K21" s="3268" t="s">
        <v>138</v>
      </c>
      <c r="L21" s="3268" t="s">
        <v>1180</v>
      </c>
      <c r="M21" s="3281" t="s">
        <v>1181</v>
      </c>
      <c r="N21" s="3279">
        <v>69500</v>
      </c>
      <c r="O21" s="3279" t="s">
        <v>7</v>
      </c>
      <c r="P21" s="3279" t="s">
        <v>39</v>
      </c>
      <c r="Q21" s="3274">
        <v>1</v>
      </c>
      <c r="R21" s="3279" t="s">
        <v>1182</v>
      </c>
      <c r="S21" s="3287">
        <v>45846</v>
      </c>
      <c r="T21" s="3279">
        <v>65000</v>
      </c>
      <c r="U21" s="3279" t="s">
        <v>37</v>
      </c>
      <c r="V21" s="3276">
        <v>0</v>
      </c>
      <c r="W21" s="3279" t="s">
        <v>1166</v>
      </c>
      <c r="X21" s="3279" t="s">
        <v>1166</v>
      </c>
      <c r="Y21" s="3283" t="s">
        <v>1166</v>
      </c>
      <c r="Z21" s="3105" t="s">
        <v>1166</v>
      </c>
      <c r="AA21" s="3104" t="s">
        <v>1166</v>
      </c>
      <c r="AB21" s="3048"/>
      <c r="AC21" s="3048"/>
      <c r="AD21" s="3048"/>
      <c r="AE21" s="3048"/>
      <c r="AF21" s="3048"/>
      <c r="AG21" s="3048"/>
      <c r="AH21" s="3048"/>
      <c r="AI21" s="3048"/>
      <c r="AJ21" s="3048"/>
      <c r="AK21" s="3048"/>
      <c r="AL21" s="3048"/>
      <c r="AM21" s="3048"/>
      <c r="AN21" s="3048"/>
      <c r="AO21" s="3048"/>
      <c r="AP21" s="3048"/>
      <c r="AQ21" s="3048"/>
      <c r="AR21" s="3048"/>
      <c r="AS21" s="3048"/>
      <c r="AT21" s="3048"/>
      <c r="AU21" s="3048"/>
    </row>
    <row r="22" spans="1:214" s="1986" customFormat="1" ht="20.25" customHeight="1">
      <c r="A22" s="3288">
        <v>16</v>
      </c>
      <c r="B22" s="3289">
        <v>45658</v>
      </c>
      <c r="C22" s="3445" t="s">
        <v>1190</v>
      </c>
      <c r="D22" s="3290" t="s">
        <v>1158</v>
      </c>
      <c r="E22" s="3290" t="s">
        <v>1191</v>
      </c>
      <c r="F22" s="3291" t="s">
        <v>1192</v>
      </c>
      <c r="G22" s="3291">
        <v>9405209839</v>
      </c>
      <c r="H22" s="3292" t="s">
        <v>1193</v>
      </c>
      <c r="I22" s="3293" t="s">
        <v>1194</v>
      </c>
      <c r="J22" s="3294" t="s">
        <v>83</v>
      </c>
      <c r="K22" s="3293" t="s">
        <v>157</v>
      </c>
      <c r="L22" s="3295" t="s">
        <v>1195</v>
      </c>
      <c r="M22" s="3296">
        <v>45360</v>
      </c>
      <c r="N22" s="3288">
        <v>1618603</v>
      </c>
      <c r="O22" s="3288" t="s">
        <v>7</v>
      </c>
      <c r="P22" s="3288" t="s">
        <v>49</v>
      </c>
      <c r="Q22" s="3297">
        <v>0.9</v>
      </c>
      <c r="R22" s="3288" t="s">
        <v>1166</v>
      </c>
      <c r="S22" s="3288" t="s">
        <v>1166</v>
      </c>
      <c r="T22" s="3288" t="s">
        <v>1166</v>
      </c>
      <c r="U22" s="3288" t="s">
        <v>1166</v>
      </c>
      <c r="V22" s="3298">
        <v>1618603</v>
      </c>
      <c r="W22" s="3288" t="s">
        <v>1196</v>
      </c>
      <c r="X22" s="3288" t="s">
        <v>1166</v>
      </c>
      <c r="Y22" s="3299" t="s">
        <v>1166</v>
      </c>
      <c r="Z22" s="3106" t="s">
        <v>157</v>
      </c>
      <c r="AA22" s="3107" t="s">
        <v>1166</v>
      </c>
      <c r="AB22" s="3074"/>
      <c r="AC22" s="3074"/>
      <c r="AD22" s="3074"/>
      <c r="AE22" s="3074"/>
      <c r="AF22" s="3074"/>
      <c r="AG22" s="3074"/>
      <c r="AH22" s="3074"/>
      <c r="AI22" s="3074"/>
      <c r="AJ22" s="3074"/>
      <c r="AK22" s="3074"/>
      <c r="AL22" s="3074"/>
      <c r="AM22" s="3074"/>
      <c r="AN22" s="3074"/>
      <c r="AO22" s="3074"/>
      <c r="AP22" s="3074"/>
      <c r="AQ22" s="3074"/>
      <c r="AR22" s="3074"/>
      <c r="AS22" s="3074"/>
      <c r="AT22" s="3074"/>
      <c r="AU22" s="3074"/>
      <c r="AV22" s="1985"/>
      <c r="AW22" s="1985"/>
      <c r="AX22" s="1985"/>
      <c r="AY22" s="1985"/>
      <c r="AZ22" s="1985"/>
      <c r="BA22" s="1985"/>
      <c r="BB22" s="1985"/>
      <c r="BC22" s="1985"/>
      <c r="BD22" s="1985"/>
      <c r="BE22" s="1985"/>
      <c r="BF22" s="1985"/>
      <c r="BG22" s="1985"/>
      <c r="BH22" s="1985"/>
      <c r="BI22" s="1985"/>
      <c r="BJ22" s="1985"/>
      <c r="BK22" s="1985"/>
      <c r="BL22" s="1985"/>
      <c r="BM22" s="1985"/>
      <c r="BN22" s="1985"/>
      <c r="BO22" s="1985"/>
      <c r="BP22" s="1985"/>
      <c r="BQ22" s="1985"/>
      <c r="BR22" s="1985"/>
      <c r="BS22" s="1985"/>
      <c r="BT22" s="1985"/>
      <c r="BU22" s="1985"/>
      <c r="BV22" s="1985"/>
      <c r="BW22" s="1985"/>
      <c r="BX22" s="1985"/>
      <c r="BY22" s="1985"/>
      <c r="BZ22" s="1985"/>
      <c r="CA22" s="1985"/>
      <c r="CB22" s="1985"/>
      <c r="CC22" s="1985"/>
      <c r="CD22" s="1985"/>
      <c r="CE22" s="1985"/>
      <c r="CF22" s="1985"/>
      <c r="CG22" s="1985"/>
      <c r="CH22" s="1985"/>
      <c r="CI22" s="1985"/>
      <c r="CJ22" s="1985"/>
      <c r="CK22" s="1985"/>
      <c r="CL22" s="1985"/>
      <c r="CM22" s="1985"/>
      <c r="CN22" s="1985"/>
      <c r="CO22" s="1985"/>
      <c r="CP22" s="1985"/>
      <c r="CQ22" s="1985"/>
      <c r="CR22" s="1985"/>
      <c r="CS22" s="1985"/>
      <c r="CT22" s="1985"/>
      <c r="CU22" s="1985"/>
      <c r="CV22" s="1985"/>
      <c r="CW22" s="1985"/>
      <c r="CX22" s="1985"/>
      <c r="CY22" s="1985"/>
      <c r="CZ22" s="1985"/>
      <c r="DA22" s="1985"/>
      <c r="DB22" s="1985"/>
      <c r="DC22" s="1985"/>
      <c r="DD22" s="1985"/>
      <c r="DE22" s="1985"/>
      <c r="DF22" s="1985"/>
      <c r="DG22" s="1985"/>
      <c r="DH22" s="1985"/>
      <c r="DI22" s="1985"/>
      <c r="DJ22" s="1985"/>
      <c r="DK22" s="1985"/>
      <c r="DL22" s="1985"/>
      <c r="DM22" s="1985"/>
      <c r="DN22" s="1985"/>
      <c r="DO22" s="1985"/>
      <c r="DP22" s="1985"/>
      <c r="DQ22" s="1985"/>
      <c r="DR22" s="1985"/>
      <c r="DS22" s="1985"/>
      <c r="DT22" s="1985"/>
      <c r="DU22" s="1985"/>
      <c r="DV22" s="1985"/>
      <c r="DW22" s="1985"/>
      <c r="DX22" s="1985"/>
      <c r="DY22" s="1985"/>
      <c r="DZ22" s="1985"/>
      <c r="EA22" s="1985"/>
      <c r="EB22" s="1985"/>
      <c r="EC22" s="1985"/>
      <c r="ED22" s="1985"/>
      <c r="EE22" s="1985"/>
      <c r="EF22" s="1985"/>
      <c r="EG22" s="1985"/>
      <c r="EH22" s="1985"/>
      <c r="EI22" s="1985"/>
      <c r="EJ22" s="1985"/>
      <c r="EK22" s="1985"/>
      <c r="EL22" s="1985"/>
      <c r="EM22" s="1985"/>
      <c r="EN22" s="1985"/>
      <c r="EO22" s="1985"/>
      <c r="EP22" s="1985"/>
      <c r="EQ22" s="1985"/>
      <c r="ER22" s="1985"/>
      <c r="ES22" s="1985"/>
      <c r="ET22" s="1985"/>
      <c r="EU22" s="1985"/>
      <c r="EV22" s="1985"/>
      <c r="EW22" s="1985"/>
      <c r="EX22" s="1985"/>
      <c r="EY22" s="1985"/>
      <c r="EZ22" s="1985"/>
      <c r="FA22" s="1985"/>
      <c r="FB22" s="1985"/>
      <c r="FC22" s="1985"/>
      <c r="FD22" s="1985"/>
      <c r="FE22" s="1985"/>
      <c r="FF22" s="1985"/>
      <c r="FG22" s="1985"/>
      <c r="FH22" s="1985"/>
      <c r="FI22" s="1985"/>
      <c r="FJ22" s="1985"/>
      <c r="FK22" s="1985"/>
      <c r="FL22" s="1985"/>
      <c r="FM22" s="1985"/>
      <c r="FN22" s="1985"/>
      <c r="FO22" s="1985"/>
      <c r="FP22" s="1985"/>
      <c r="FQ22" s="1985"/>
      <c r="FR22" s="1985"/>
      <c r="FS22" s="1985"/>
      <c r="FT22" s="1985"/>
      <c r="FU22" s="1985"/>
      <c r="FV22" s="1985"/>
      <c r="FW22" s="1985"/>
      <c r="FX22" s="1985"/>
      <c r="FY22" s="1985"/>
      <c r="FZ22" s="1985"/>
      <c r="GA22" s="1985"/>
      <c r="GB22" s="1985"/>
      <c r="GC22" s="1985"/>
      <c r="GD22" s="1985"/>
      <c r="GE22" s="1985"/>
      <c r="GF22" s="1985"/>
      <c r="GG22" s="1985"/>
      <c r="GH22" s="1985"/>
      <c r="GI22" s="1985"/>
      <c r="GJ22" s="1985"/>
      <c r="GK22" s="1985"/>
      <c r="GL22" s="1985"/>
      <c r="GM22" s="1985"/>
      <c r="GN22" s="1985"/>
      <c r="GO22" s="1985"/>
      <c r="GP22" s="1985"/>
      <c r="GQ22" s="1985"/>
      <c r="GR22" s="1985"/>
      <c r="GS22" s="1985"/>
      <c r="GT22" s="1985"/>
      <c r="GU22" s="1985"/>
      <c r="GV22" s="1985"/>
      <c r="GW22" s="1985"/>
      <c r="GX22" s="1985"/>
      <c r="GY22" s="1985"/>
      <c r="GZ22" s="1985"/>
      <c r="HA22" s="1985"/>
      <c r="HB22" s="1985"/>
      <c r="HC22" s="1985"/>
      <c r="HD22" s="1985"/>
      <c r="HE22" s="1985"/>
      <c r="HF22" s="1985"/>
    </row>
    <row r="23" spans="1:214">
      <c r="A23" s="3300">
        <v>17</v>
      </c>
      <c r="B23" s="3301">
        <v>45658</v>
      </c>
      <c r="C23" s="3447" t="s">
        <v>1190</v>
      </c>
      <c r="D23" s="3302" t="s">
        <v>1158</v>
      </c>
      <c r="E23" s="3302" t="s">
        <v>1191</v>
      </c>
      <c r="F23" s="3303" t="s">
        <v>1192</v>
      </c>
      <c r="G23" s="3303">
        <v>9405209839</v>
      </c>
      <c r="H23" s="3304" t="s">
        <v>1193</v>
      </c>
      <c r="I23" s="3295" t="s">
        <v>1194</v>
      </c>
      <c r="J23" s="3305" t="s">
        <v>73</v>
      </c>
      <c r="K23" s="3295" t="s">
        <v>157</v>
      </c>
      <c r="L23" s="3295" t="s">
        <v>1197</v>
      </c>
      <c r="M23" s="3296">
        <v>45360</v>
      </c>
      <c r="N23" s="3306">
        <v>92000</v>
      </c>
      <c r="O23" s="3306" t="s">
        <v>7</v>
      </c>
      <c r="P23" s="3288" t="s">
        <v>49</v>
      </c>
      <c r="Q23" s="3307">
        <v>0.9</v>
      </c>
      <c r="R23" s="3306" t="s">
        <v>1166</v>
      </c>
      <c r="S23" s="3306" t="s">
        <v>1166</v>
      </c>
      <c r="T23" s="3306" t="s">
        <v>1166</v>
      </c>
      <c r="U23" s="3306" t="s">
        <v>1166</v>
      </c>
      <c r="V23" s="3308">
        <v>92000</v>
      </c>
      <c r="W23" s="3306" t="s">
        <v>1196</v>
      </c>
      <c r="X23" s="3306" t="s">
        <v>1166</v>
      </c>
      <c r="Y23" s="3309" t="s">
        <v>1166</v>
      </c>
      <c r="Z23" s="3105" t="s">
        <v>1166</v>
      </c>
      <c r="AA23" s="3104" t="s">
        <v>1166</v>
      </c>
      <c r="AB23" s="3048"/>
      <c r="AC23" s="3048"/>
      <c r="AD23" s="3048"/>
      <c r="AE23" s="3048"/>
      <c r="AF23" s="3048"/>
      <c r="AG23" s="3048"/>
      <c r="AH23" s="3048"/>
      <c r="AI23" s="3048"/>
      <c r="AJ23" s="3048"/>
      <c r="AK23" s="3048"/>
      <c r="AL23" s="3048"/>
      <c r="AM23" s="3048"/>
      <c r="AN23" s="3048"/>
      <c r="AO23" s="3048"/>
      <c r="AP23" s="3048"/>
      <c r="AQ23" s="3048"/>
      <c r="AR23" s="3048"/>
      <c r="AS23" s="3048"/>
      <c r="AT23" s="3048"/>
      <c r="AU23" s="3048"/>
    </row>
    <row r="24" spans="1:214">
      <c r="A24" s="3288">
        <v>18</v>
      </c>
      <c r="B24" s="3289">
        <v>45658</v>
      </c>
      <c r="C24" s="3445" t="s">
        <v>1190</v>
      </c>
      <c r="D24" s="3290" t="s">
        <v>1158</v>
      </c>
      <c r="E24" s="3290" t="s">
        <v>1191</v>
      </c>
      <c r="F24" s="3291" t="s">
        <v>1192</v>
      </c>
      <c r="G24" s="3291">
        <v>9405209839</v>
      </c>
      <c r="H24" s="3292" t="s">
        <v>1193</v>
      </c>
      <c r="I24" s="3293" t="s">
        <v>1198</v>
      </c>
      <c r="J24" s="3294" t="s">
        <v>73</v>
      </c>
      <c r="K24" s="3293" t="s">
        <v>157</v>
      </c>
      <c r="L24" s="3295" t="s">
        <v>1197</v>
      </c>
      <c r="M24" s="3296">
        <v>45360</v>
      </c>
      <c r="N24" s="3288">
        <v>92000</v>
      </c>
      <c r="O24" s="3288" t="s">
        <v>7</v>
      </c>
      <c r="P24" s="3288" t="s">
        <v>49</v>
      </c>
      <c r="Q24" s="3297">
        <v>0.9</v>
      </c>
      <c r="R24" s="3288" t="s">
        <v>1166</v>
      </c>
      <c r="S24" s="3288" t="s">
        <v>1166</v>
      </c>
      <c r="T24" s="3288" t="s">
        <v>1166</v>
      </c>
      <c r="U24" s="3288" t="s">
        <v>1166</v>
      </c>
      <c r="V24" s="3298">
        <v>92000</v>
      </c>
      <c r="W24" s="3288" t="s">
        <v>1196</v>
      </c>
      <c r="X24" s="3288" t="s">
        <v>1166</v>
      </c>
      <c r="Y24" s="3299" t="s">
        <v>1166</v>
      </c>
      <c r="Z24" s="3105" t="s">
        <v>1166</v>
      </c>
      <c r="AA24" s="3104" t="s">
        <v>1166</v>
      </c>
      <c r="AB24" s="3048"/>
      <c r="AC24" s="3048"/>
      <c r="AD24" s="3048"/>
      <c r="AE24" s="3048"/>
      <c r="AF24" s="3048"/>
      <c r="AG24" s="3048"/>
      <c r="AH24" s="3048"/>
      <c r="AI24" s="3048"/>
      <c r="AJ24" s="3048"/>
      <c r="AK24" s="3048"/>
      <c r="AL24" s="3048"/>
      <c r="AM24" s="3048"/>
      <c r="AN24" s="3048"/>
      <c r="AO24" s="3048"/>
      <c r="AP24" s="3048"/>
      <c r="AQ24" s="3048"/>
      <c r="AR24" s="3048"/>
      <c r="AS24" s="3048"/>
      <c r="AT24" s="3048"/>
      <c r="AU24" s="3048"/>
    </row>
    <row r="25" spans="1:214">
      <c r="A25" s="3279">
        <v>19</v>
      </c>
      <c r="B25" s="3287">
        <v>45658</v>
      </c>
      <c r="C25" s="3443" t="s">
        <v>1190</v>
      </c>
      <c r="D25" s="3284" t="s">
        <v>1158</v>
      </c>
      <c r="E25" s="3284" t="s">
        <v>1199</v>
      </c>
      <c r="F25" s="3267" t="s">
        <v>1200</v>
      </c>
      <c r="G25" s="3267">
        <v>9970460493</v>
      </c>
      <c r="H25" s="3282" t="s">
        <v>1201</v>
      </c>
      <c r="I25" s="3268" t="s">
        <v>1202</v>
      </c>
      <c r="J25" s="3285" t="s">
        <v>75</v>
      </c>
      <c r="K25" s="3268" t="s">
        <v>157</v>
      </c>
      <c r="L25" s="3268" t="s">
        <v>1203</v>
      </c>
      <c r="M25" s="3284" t="s">
        <v>1204</v>
      </c>
      <c r="N25" s="3279">
        <v>85384</v>
      </c>
      <c r="O25" s="3279" t="s">
        <v>7</v>
      </c>
      <c r="P25" s="3279" t="s">
        <v>28</v>
      </c>
      <c r="Q25" s="3310">
        <v>1</v>
      </c>
      <c r="R25" s="3279" t="s">
        <v>1205</v>
      </c>
      <c r="S25" s="3279" t="s">
        <v>1206</v>
      </c>
      <c r="T25" s="3279">
        <v>85384</v>
      </c>
      <c r="U25" s="3279" t="s">
        <v>25</v>
      </c>
      <c r="V25" s="3276">
        <v>0</v>
      </c>
      <c r="W25" s="3279" t="s">
        <v>1166</v>
      </c>
      <c r="X25" s="3279" t="s">
        <v>1166</v>
      </c>
      <c r="Y25" s="3309" t="s">
        <v>1166</v>
      </c>
      <c r="Z25" s="3105" t="s">
        <v>1166</v>
      </c>
      <c r="AA25" s="3104" t="s">
        <v>1166</v>
      </c>
      <c r="AB25" s="3048"/>
      <c r="AC25" s="3048"/>
      <c r="AD25" s="3048"/>
      <c r="AE25" s="3048"/>
      <c r="AF25" s="3048"/>
      <c r="AG25" s="3048"/>
      <c r="AH25" s="3048"/>
      <c r="AI25" s="3048"/>
      <c r="AJ25" s="3048"/>
      <c r="AK25" s="3048"/>
      <c r="AL25" s="3048"/>
      <c r="AM25" s="3048"/>
      <c r="AN25" s="3048"/>
      <c r="AO25" s="3048"/>
      <c r="AP25" s="3048"/>
      <c r="AQ25" s="3048"/>
      <c r="AR25" s="3048"/>
      <c r="AS25" s="3048"/>
      <c r="AT25" s="3048"/>
      <c r="AU25" s="3048"/>
    </row>
    <row r="26" spans="1:214">
      <c r="A26" s="3279">
        <v>20</v>
      </c>
      <c r="B26" s="3287">
        <v>45658</v>
      </c>
      <c r="C26" s="3443" t="s">
        <v>687</v>
      </c>
      <c r="D26" s="3284" t="s">
        <v>304</v>
      </c>
      <c r="E26" s="3284" t="s">
        <v>1207</v>
      </c>
      <c r="F26" s="3267" t="s">
        <v>1208</v>
      </c>
      <c r="G26" s="3267">
        <v>9819509486</v>
      </c>
      <c r="H26" s="3282" t="s">
        <v>1209</v>
      </c>
      <c r="I26" s="3268" t="s">
        <v>900</v>
      </c>
      <c r="J26" s="3285" t="s">
        <v>73</v>
      </c>
      <c r="K26" s="3268" t="s">
        <v>138</v>
      </c>
      <c r="L26" s="3268" t="s">
        <v>1210</v>
      </c>
      <c r="M26" s="3284" t="s">
        <v>1211</v>
      </c>
      <c r="N26" s="3279">
        <v>73063</v>
      </c>
      <c r="O26" s="3279" t="s">
        <v>7</v>
      </c>
      <c r="P26" s="3279" t="s">
        <v>18</v>
      </c>
      <c r="Q26" s="3310">
        <v>1</v>
      </c>
      <c r="R26" s="3279">
        <v>9708942802</v>
      </c>
      <c r="S26" s="3279" t="s">
        <v>1212</v>
      </c>
      <c r="T26" s="3279">
        <v>73063</v>
      </c>
      <c r="U26" s="3279" t="s">
        <v>7</v>
      </c>
      <c r="V26" s="3276">
        <v>0</v>
      </c>
      <c r="W26" s="3279" t="s">
        <v>1166</v>
      </c>
      <c r="X26" s="3279" t="s">
        <v>1166</v>
      </c>
      <c r="Y26" s="3283" t="s">
        <v>1166</v>
      </c>
      <c r="Z26" s="3105" t="s">
        <v>1166</v>
      </c>
      <c r="AA26" s="3104" t="s">
        <v>1166</v>
      </c>
      <c r="AB26" s="3048"/>
      <c r="AC26" s="3048"/>
      <c r="AD26" s="3048"/>
      <c r="AE26" s="3048"/>
      <c r="AF26" s="3048"/>
      <c r="AG26" s="3048"/>
      <c r="AH26" s="3048"/>
      <c r="AI26" s="3048"/>
      <c r="AJ26" s="3048"/>
      <c r="AK26" s="3048"/>
      <c r="AL26" s="3048"/>
      <c r="AM26" s="3048"/>
      <c r="AN26" s="3048"/>
      <c r="AO26" s="3048"/>
      <c r="AP26" s="3048"/>
      <c r="AQ26" s="3048"/>
      <c r="AR26" s="3048"/>
      <c r="AS26" s="3048"/>
      <c r="AT26" s="3048"/>
      <c r="AU26" s="3048"/>
    </row>
    <row r="27" spans="1:214">
      <c r="A27" s="3265">
        <v>21</v>
      </c>
      <c r="B27" s="3279" t="s">
        <v>1166</v>
      </c>
      <c r="C27" s="3443" t="s">
        <v>687</v>
      </c>
      <c r="D27" s="3284" t="s">
        <v>304</v>
      </c>
      <c r="E27" s="3284" t="s">
        <v>1207</v>
      </c>
      <c r="F27" s="3267" t="s">
        <v>1208</v>
      </c>
      <c r="G27" s="3267">
        <v>9819509486</v>
      </c>
      <c r="H27" s="3282" t="s">
        <v>1209</v>
      </c>
      <c r="I27" s="3268" t="s">
        <v>1213</v>
      </c>
      <c r="J27" s="3285" t="s">
        <v>73</v>
      </c>
      <c r="K27" s="3268" t="s">
        <v>138</v>
      </c>
      <c r="L27" s="3268" t="s">
        <v>1210</v>
      </c>
      <c r="M27" s="3284" t="s">
        <v>1211</v>
      </c>
      <c r="N27" s="3279">
        <v>73063</v>
      </c>
      <c r="O27" s="3279" t="s">
        <v>7</v>
      </c>
      <c r="P27" s="3279" t="s">
        <v>18</v>
      </c>
      <c r="Q27" s="3310">
        <v>1</v>
      </c>
      <c r="R27" s="3279">
        <v>9708942802</v>
      </c>
      <c r="S27" s="3279" t="s">
        <v>1212</v>
      </c>
      <c r="T27" s="3279">
        <v>73063</v>
      </c>
      <c r="U27" s="3279" t="s">
        <v>7</v>
      </c>
      <c r="V27" s="3276">
        <v>0</v>
      </c>
      <c r="W27" s="3279" t="s">
        <v>1166</v>
      </c>
      <c r="X27" s="3279" t="s">
        <v>1166</v>
      </c>
      <c r="Y27" s="3283" t="s">
        <v>1166</v>
      </c>
      <c r="Z27" s="3105" t="s">
        <v>1166</v>
      </c>
      <c r="AA27" s="3104" t="s">
        <v>1166</v>
      </c>
      <c r="AB27" s="3048"/>
      <c r="AC27" s="3048"/>
      <c r="AD27" s="3048"/>
      <c r="AE27" s="3048"/>
      <c r="AF27" s="3048"/>
      <c r="AG27" s="3048"/>
      <c r="AH27" s="3048"/>
      <c r="AI27" s="3048"/>
      <c r="AJ27" s="3048"/>
      <c r="AK27" s="3048"/>
      <c r="AL27" s="3048"/>
      <c r="AM27" s="3048"/>
      <c r="AN27" s="3048"/>
      <c r="AO27" s="3048"/>
      <c r="AP27" s="3048"/>
      <c r="AQ27" s="3048"/>
      <c r="AR27" s="3048"/>
      <c r="AS27" s="3048"/>
      <c r="AT27" s="3048"/>
      <c r="AU27" s="3048"/>
    </row>
    <row r="28" spans="1:214">
      <c r="A28" s="3279">
        <v>22</v>
      </c>
      <c r="B28" s="3279" t="s">
        <v>1166</v>
      </c>
      <c r="C28" s="3443" t="s">
        <v>687</v>
      </c>
      <c r="D28" s="3284" t="s">
        <v>304</v>
      </c>
      <c r="E28" s="3284" t="s">
        <v>1207</v>
      </c>
      <c r="F28" s="3267" t="s">
        <v>1208</v>
      </c>
      <c r="G28" s="3267">
        <v>9819509486</v>
      </c>
      <c r="H28" s="3282" t="s">
        <v>1209</v>
      </c>
      <c r="I28" s="3268" t="s">
        <v>1214</v>
      </c>
      <c r="J28" s="3285" t="s">
        <v>73</v>
      </c>
      <c r="K28" s="3268" t="s">
        <v>138</v>
      </c>
      <c r="L28" s="3268" t="s">
        <v>1210</v>
      </c>
      <c r="M28" s="3284" t="s">
        <v>1211</v>
      </c>
      <c r="N28" s="3279">
        <v>73063</v>
      </c>
      <c r="O28" s="3279" t="s">
        <v>7</v>
      </c>
      <c r="P28" s="3279" t="s">
        <v>18</v>
      </c>
      <c r="Q28" s="3310">
        <v>1</v>
      </c>
      <c r="R28" s="3279">
        <v>9708942802</v>
      </c>
      <c r="S28" s="3279" t="s">
        <v>1212</v>
      </c>
      <c r="T28" s="3279">
        <v>73063</v>
      </c>
      <c r="U28" s="3279" t="s">
        <v>7</v>
      </c>
      <c r="V28" s="3276">
        <v>0</v>
      </c>
      <c r="W28" s="3279" t="s">
        <v>1166</v>
      </c>
      <c r="X28" s="3279" t="s">
        <v>1166</v>
      </c>
      <c r="Y28" s="3283" t="s">
        <v>1166</v>
      </c>
      <c r="Z28" s="3105" t="s">
        <v>1166</v>
      </c>
      <c r="AA28" s="3104" t="s">
        <v>1166</v>
      </c>
      <c r="AB28" s="3048"/>
      <c r="AC28" s="3048"/>
      <c r="AD28" s="3048"/>
      <c r="AE28" s="3048"/>
      <c r="AF28" s="3048"/>
      <c r="AG28" s="3048"/>
      <c r="AH28" s="3048"/>
      <c r="AI28" s="3048"/>
      <c r="AJ28" s="3048"/>
      <c r="AK28" s="3048"/>
      <c r="AL28" s="3048"/>
      <c r="AM28" s="3048"/>
      <c r="AN28" s="3048"/>
      <c r="AO28" s="3048"/>
      <c r="AP28" s="3048"/>
      <c r="AQ28" s="3048"/>
      <c r="AR28" s="3048"/>
      <c r="AS28" s="3048"/>
      <c r="AT28" s="3048"/>
      <c r="AU28" s="3048"/>
    </row>
    <row r="29" spans="1:214">
      <c r="A29" s="3279">
        <v>23</v>
      </c>
      <c r="B29" s="3279" t="s">
        <v>1166</v>
      </c>
      <c r="C29" s="3443" t="s">
        <v>687</v>
      </c>
      <c r="D29" s="3284" t="s">
        <v>304</v>
      </c>
      <c r="E29" s="3284" t="s">
        <v>1207</v>
      </c>
      <c r="F29" s="3267" t="s">
        <v>1208</v>
      </c>
      <c r="G29" s="3267">
        <v>9819509486</v>
      </c>
      <c r="H29" s="3282" t="s">
        <v>1209</v>
      </c>
      <c r="I29" s="3268" t="s">
        <v>1215</v>
      </c>
      <c r="J29" s="3285" t="s">
        <v>73</v>
      </c>
      <c r="K29" s="3268" t="s">
        <v>138</v>
      </c>
      <c r="L29" s="3268" t="s">
        <v>1210</v>
      </c>
      <c r="M29" s="3284" t="s">
        <v>1211</v>
      </c>
      <c r="N29" s="3279">
        <v>73063</v>
      </c>
      <c r="O29" s="3279" t="s">
        <v>7</v>
      </c>
      <c r="P29" s="3279" t="s">
        <v>18</v>
      </c>
      <c r="Q29" s="3310">
        <v>1</v>
      </c>
      <c r="R29" s="3279">
        <v>9708942802</v>
      </c>
      <c r="S29" s="3279" t="s">
        <v>1212</v>
      </c>
      <c r="T29" s="3279">
        <v>73063</v>
      </c>
      <c r="U29" s="3279" t="s">
        <v>7</v>
      </c>
      <c r="V29" s="3276">
        <v>0</v>
      </c>
      <c r="W29" s="3279" t="s">
        <v>1166</v>
      </c>
      <c r="X29" s="3279" t="s">
        <v>1166</v>
      </c>
      <c r="Y29" s="3283" t="s">
        <v>1166</v>
      </c>
      <c r="Z29" s="3105" t="s">
        <v>1166</v>
      </c>
      <c r="AA29" s="3104" t="s">
        <v>1166</v>
      </c>
      <c r="AB29" s="3048"/>
      <c r="AC29" s="3048"/>
      <c r="AD29" s="3048"/>
      <c r="AE29" s="3048"/>
      <c r="AF29" s="3048"/>
      <c r="AG29" s="3048"/>
      <c r="AH29" s="3048"/>
      <c r="AI29" s="3048"/>
      <c r="AJ29" s="3048"/>
      <c r="AK29" s="3048"/>
      <c r="AL29" s="3048"/>
      <c r="AM29" s="3048"/>
      <c r="AN29" s="3048"/>
      <c r="AO29" s="3048"/>
      <c r="AP29" s="3048"/>
      <c r="AQ29" s="3048"/>
      <c r="AR29" s="3048"/>
      <c r="AS29" s="3048"/>
      <c r="AT29" s="3048"/>
      <c r="AU29" s="3048"/>
    </row>
    <row r="30" spans="1:214">
      <c r="A30" s="3279">
        <v>24</v>
      </c>
      <c r="B30" s="3279" t="s">
        <v>1166</v>
      </c>
      <c r="C30" s="3443" t="s">
        <v>687</v>
      </c>
      <c r="D30" s="3284" t="s">
        <v>304</v>
      </c>
      <c r="E30" s="3284" t="s">
        <v>1207</v>
      </c>
      <c r="F30" s="3267" t="s">
        <v>1208</v>
      </c>
      <c r="G30" s="3267">
        <v>9819509486</v>
      </c>
      <c r="H30" s="3282" t="s">
        <v>1209</v>
      </c>
      <c r="I30" s="3268" t="s">
        <v>1216</v>
      </c>
      <c r="J30" s="3285" t="s">
        <v>73</v>
      </c>
      <c r="K30" s="3268" t="s">
        <v>138</v>
      </c>
      <c r="L30" s="3268" t="s">
        <v>1210</v>
      </c>
      <c r="M30" s="3284" t="s">
        <v>1211</v>
      </c>
      <c r="N30" s="3279">
        <v>73063</v>
      </c>
      <c r="O30" s="3279" t="s">
        <v>7</v>
      </c>
      <c r="P30" s="3279" t="s">
        <v>18</v>
      </c>
      <c r="Q30" s="3310">
        <v>1</v>
      </c>
      <c r="R30" s="3279">
        <v>9708942802</v>
      </c>
      <c r="S30" s="3279" t="s">
        <v>1212</v>
      </c>
      <c r="T30" s="3279">
        <v>73063</v>
      </c>
      <c r="U30" s="3279" t="s">
        <v>7</v>
      </c>
      <c r="V30" s="3276">
        <v>0</v>
      </c>
      <c r="W30" s="3279" t="s">
        <v>1166</v>
      </c>
      <c r="X30" s="3279" t="s">
        <v>1166</v>
      </c>
      <c r="Y30" s="3283" t="s">
        <v>1166</v>
      </c>
      <c r="Z30" s="3105" t="s">
        <v>1166</v>
      </c>
      <c r="AA30" s="3104" t="s">
        <v>1166</v>
      </c>
      <c r="AB30" s="3048"/>
      <c r="AC30" s="3048"/>
      <c r="AD30" s="3048"/>
      <c r="AE30" s="3048"/>
      <c r="AF30" s="3048"/>
      <c r="AG30" s="3048"/>
      <c r="AH30" s="3048"/>
      <c r="AI30" s="3048"/>
      <c r="AJ30" s="3048"/>
      <c r="AK30" s="3048"/>
      <c r="AL30" s="3048"/>
      <c r="AM30" s="3048"/>
      <c r="AN30" s="3048"/>
      <c r="AO30" s="3048"/>
      <c r="AP30" s="3048"/>
      <c r="AQ30" s="3048"/>
      <c r="AR30" s="3048"/>
      <c r="AS30" s="3048"/>
      <c r="AT30" s="3048"/>
      <c r="AU30" s="3048"/>
    </row>
    <row r="31" spans="1:214">
      <c r="A31" s="3265">
        <v>25</v>
      </c>
      <c r="B31" s="3279" t="s">
        <v>1166</v>
      </c>
      <c r="C31" s="3443" t="s">
        <v>687</v>
      </c>
      <c r="D31" s="3284" t="s">
        <v>304</v>
      </c>
      <c r="E31" s="3284" t="s">
        <v>1207</v>
      </c>
      <c r="F31" s="3267" t="s">
        <v>1208</v>
      </c>
      <c r="G31" s="3267">
        <v>9819509486</v>
      </c>
      <c r="H31" s="3282" t="s">
        <v>1209</v>
      </c>
      <c r="I31" s="3268" t="s">
        <v>1217</v>
      </c>
      <c r="J31" s="3285" t="s">
        <v>73</v>
      </c>
      <c r="K31" s="3268" t="s">
        <v>138</v>
      </c>
      <c r="L31" s="3268" t="s">
        <v>1210</v>
      </c>
      <c r="M31" s="3284" t="s">
        <v>1211</v>
      </c>
      <c r="N31" s="3279">
        <v>73063</v>
      </c>
      <c r="O31" s="3279" t="s">
        <v>7</v>
      </c>
      <c r="P31" s="3279" t="s">
        <v>18</v>
      </c>
      <c r="Q31" s="3310">
        <v>1</v>
      </c>
      <c r="R31" s="3279">
        <v>9708942802</v>
      </c>
      <c r="S31" s="3279" t="s">
        <v>1212</v>
      </c>
      <c r="T31" s="3279">
        <v>73063</v>
      </c>
      <c r="U31" s="3279" t="s">
        <v>7</v>
      </c>
      <c r="V31" s="3276">
        <v>0</v>
      </c>
      <c r="W31" s="3279" t="s">
        <v>1166</v>
      </c>
      <c r="X31" s="3279" t="s">
        <v>1166</v>
      </c>
      <c r="Y31" s="3283" t="s">
        <v>1166</v>
      </c>
      <c r="Z31" s="3105" t="s">
        <v>1166</v>
      </c>
      <c r="AA31" s="3104" t="s">
        <v>1166</v>
      </c>
      <c r="AB31" s="3048"/>
      <c r="AC31" s="3048"/>
      <c r="AD31" s="3048"/>
      <c r="AE31" s="3048"/>
      <c r="AF31" s="3048"/>
      <c r="AG31" s="3048"/>
      <c r="AH31" s="3048"/>
      <c r="AI31" s="3048"/>
      <c r="AJ31" s="3048"/>
      <c r="AK31" s="3048"/>
      <c r="AL31" s="3048"/>
      <c r="AM31" s="3048"/>
      <c r="AN31" s="3048"/>
      <c r="AO31" s="3048"/>
      <c r="AP31" s="3048"/>
      <c r="AQ31" s="3048"/>
      <c r="AR31" s="3048"/>
      <c r="AS31" s="3048"/>
      <c r="AT31" s="3048"/>
      <c r="AU31" s="3048"/>
    </row>
    <row r="32" spans="1:214">
      <c r="A32" s="3279">
        <v>26</v>
      </c>
      <c r="B32" s="3279" t="s">
        <v>1166</v>
      </c>
      <c r="C32" s="3443" t="s">
        <v>687</v>
      </c>
      <c r="D32" s="3284" t="s">
        <v>304</v>
      </c>
      <c r="E32" s="3284" t="s">
        <v>1207</v>
      </c>
      <c r="F32" s="3267" t="s">
        <v>1208</v>
      </c>
      <c r="G32" s="3267">
        <v>9819509486</v>
      </c>
      <c r="H32" s="3282" t="s">
        <v>1209</v>
      </c>
      <c r="I32" s="3268" t="s">
        <v>1218</v>
      </c>
      <c r="J32" s="3285" t="s">
        <v>73</v>
      </c>
      <c r="K32" s="3268" t="s">
        <v>138</v>
      </c>
      <c r="L32" s="3268" t="s">
        <v>1210</v>
      </c>
      <c r="M32" s="3284" t="s">
        <v>1211</v>
      </c>
      <c r="N32" s="3279">
        <v>73063</v>
      </c>
      <c r="O32" s="3279" t="s">
        <v>7</v>
      </c>
      <c r="P32" s="3279" t="s">
        <v>18</v>
      </c>
      <c r="Q32" s="3310">
        <v>1</v>
      </c>
      <c r="R32" s="3279">
        <v>9708942802</v>
      </c>
      <c r="S32" s="3279" t="s">
        <v>1212</v>
      </c>
      <c r="T32" s="3279">
        <v>73063</v>
      </c>
      <c r="U32" s="3279" t="s">
        <v>7</v>
      </c>
      <c r="V32" s="3276">
        <v>0</v>
      </c>
      <c r="W32" s="3279" t="s">
        <v>1166</v>
      </c>
      <c r="X32" s="3279" t="s">
        <v>1166</v>
      </c>
      <c r="Y32" s="3283" t="s">
        <v>1166</v>
      </c>
      <c r="Z32" s="3105" t="s">
        <v>1166</v>
      </c>
      <c r="AA32" s="3104" t="s">
        <v>1166</v>
      </c>
      <c r="AB32" s="3048"/>
      <c r="AC32" s="3048"/>
      <c r="AD32" s="3048"/>
      <c r="AE32" s="3048"/>
      <c r="AF32" s="3048"/>
      <c r="AG32" s="3048"/>
      <c r="AH32" s="3048"/>
      <c r="AI32" s="3048"/>
      <c r="AJ32" s="3048"/>
      <c r="AK32" s="3048"/>
      <c r="AL32" s="3048"/>
      <c r="AM32" s="3048"/>
      <c r="AN32" s="3048"/>
      <c r="AO32" s="3048"/>
      <c r="AP32" s="3048"/>
      <c r="AQ32" s="3048"/>
      <c r="AR32" s="3048"/>
      <c r="AS32" s="3048"/>
      <c r="AT32" s="3048"/>
      <c r="AU32" s="3048"/>
    </row>
    <row r="33" spans="1:47">
      <c r="A33" s="3279">
        <v>27</v>
      </c>
      <c r="B33" s="3279" t="s">
        <v>1166</v>
      </c>
      <c r="C33" s="3443" t="s">
        <v>687</v>
      </c>
      <c r="D33" s="3284" t="s">
        <v>304</v>
      </c>
      <c r="E33" s="3284" t="s">
        <v>1207</v>
      </c>
      <c r="F33" s="3267" t="s">
        <v>1208</v>
      </c>
      <c r="G33" s="3267">
        <v>9819509486</v>
      </c>
      <c r="H33" s="3282" t="s">
        <v>1209</v>
      </c>
      <c r="I33" s="3268" t="s">
        <v>1219</v>
      </c>
      <c r="J33" s="3285" t="s">
        <v>73</v>
      </c>
      <c r="K33" s="3268" t="s">
        <v>138</v>
      </c>
      <c r="L33" s="3268" t="s">
        <v>1210</v>
      </c>
      <c r="M33" s="3284" t="s">
        <v>1211</v>
      </c>
      <c r="N33" s="3279">
        <v>73063</v>
      </c>
      <c r="O33" s="3279" t="s">
        <v>7</v>
      </c>
      <c r="P33" s="3279" t="s">
        <v>18</v>
      </c>
      <c r="Q33" s="3310">
        <v>1</v>
      </c>
      <c r="R33" s="3279">
        <v>9708942802</v>
      </c>
      <c r="S33" s="3279" t="s">
        <v>1212</v>
      </c>
      <c r="T33" s="3279">
        <v>73063</v>
      </c>
      <c r="U33" s="3279" t="s">
        <v>7</v>
      </c>
      <c r="V33" s="3276">
        <v>0</v>
      </c>
      <c r="W33" s="3279" t="s">
        <v>1166</v>
      </c>
      <c r="X33" s="3279" t="s">
        <v>1166</v>
      </c>
      <c r="Y33" s="3283" t="s">
        <v>1166</v>
      </c>
      <c r="Z33" s="3105" t="s">
        <v>1166</v>
      </c>
      <c r="AA33" s="3104" t="s">
        <v>1166</v>
      </c>
      <c r="AB33" s="3048"/>
      <c r="AC33" s="3048"/>
      <c r="AD33" s="3048"/>
      <c r="AE33" s="3048"/>
      <c r="AF33" s="3048"/>
      <c r="AG33" s="3048"/>
      <c r="AH33" s="3048"/>
      <c r="AI33" s="3048"/>
      <c r="AJ33" s="3048"/>
      <c r="AK33" s="3048"/>
      <c r="AL33" s="3048"/>
      <c r="AM33" s="3048"/>
      <c r="AN33" s="3048"/>
      <c r="AO33" s="3048"/>
      <c r="AP33" s="3048"/>
      <c r="AQ33" s="3048"/>
      <c r="AR33" s="3048"/>
      <c r="AS33" s="3048"/>
      <c r="AT33" s="3048"/>
      <c r="AU33" s="3048"/>
    </row>
    <row r="34" spans="1:47">
      <c r="A34" s="3279">
        <v>28</v>
      </c>
      <c r="B34" s="3279" t="s">
        <v>1166</v>
      </c>
      <c r="C34" s="3443" t="s">
        <v>687</v>
      </c>
      <c r="D34" s="3284" t="s">
        <v>304</v>
      </c>
      <c r="E34" s="3284" t="s">
        <v>1207</v>
      </c>
      <c r="F34" s="3267" t="s">
        <v>1208</v>
      </c>
      <c r="G34" s="3267">
        <v>9819509486</v>
      </c>
      <c r="H34" s="3282" t="s">
        <v>1209</v>
      </c>
      <c r="I34" s="3268"/>
      <c r="J34" s="3285" t="s">
        <v>73</v>
      </c>
      <c r="K34" s="3268" t="s">
        <v>138</v>
      </c>
      <c r="L34" s="3268" t="s">
        <v>1210</v>
      </c>
      <c r="M34" s="3284" t="s">
        <v>1211</v>
      </c>
      <c r="N34" s="3279">
        <v>73063</v>
      </c>
      <c r="O34" s="3279" t="s">
        <v>7</v>
      </c>
      <c r="P34" s="3279" t="s">
        <v>18</v>
      </c>
      <c r="Q34" s="3310">
        <v>1</v>
      </c>
      <c r="R34" s="3279">
        <v>9708942802</v>
      </c>
      <c r="S34" s="3279" t="s">
        <v>1212</v>
      </c>
      <c r="T34" s="3279">
        <v>73063</v>
      </c>
      <c r="U34" s="3279" t="s">
        <v>7</v>
      </c>
      <c r="V34" s="3276">
        <v>0</v>
      </c>
      <c r="W34" s="3279" t="s">
        <v>1166</v>
      </c>
      <c r="X34" s="3279" t="s">
        <v>1166</v>
      </c>
      <c r="Y34" s="3283" t="s">
        <v>1166</v>
      </c>
      <c r="Z34" s="3105" t="s">
        <v>1166</v>
      </c>
      <c r="AA34" s="3104" t="s">
        <v>1166</v>
      </c>
      <c r="AB34" s="3048"/>
      <c r="AC34" s="3048"/>
      <c r="AD34" s="3048"/>
      <c r="AE34" s="3048"/>
      <c r="AF34" s="3048"/>
      <c r="AG34" s="3048"/>
      <c r="AH34" s="3048"/>
      <c r="AI34" s="3048"/>
      <c r="AJ34" s="3048"/>
      <c r="AK34" s="3048"/>
      <c r="AL34" s="3048"/>
      <c r="AM34" s="3048"/>
      <c r="AN34" s="3048"/>
      <c r="AO34" s="3048"/>
      <c r="AP34" s="3048"/>
      <c r="AQ34" s="3048"/>
      <c r="AR34" s="3048"/>
      <c r="AS34" s="3048"/>
      <c r="AT34" s="3048"/>
      <c r="AU34" s="3048"/>
    </row>
    <row r="35" spans="1:47">
      <c r="A35" s="3265">
        <v>29</v>
      </c>
      <c r="B35" s="3279" t="s">
        <v>1166</v>
      </c>
      <c r="C35" s="3443" t="s">
        <v>687</v>
      </c>
      <c r="D35" s="3284" t="s">
        <v>304</v>
      </c>
      <c r="E35" s="3284" t="s">
        <v>1207</v>
      </c>
      <c r="F35" s="3267" t="s">
        <v>1208</v>
      </c>
      <c r="G35" s="3267">
        <v>9819509486</v>
      </c>
      <c r="H35" s="3282" t="s">
        <v>1209</v>
      </c>
      <c r="I35" s="3268" t="s">
        <v>1166</v>
      </c>
      <c r="J35" s="3285" t="s">
        <v>73</v>
      </c>
      <c r="K35" s="3268" t="s">
        <v>138</v>
      </c>
      <c r="L35" s="3268" t="s">
        <v>1210</v>
      </c>
      <c r="M35" s="3284" t="s">
        <v>1211</v>
      </c>
      <c r="N35" s="3279">
        <v>73063</v>
      </c>
      <c r="O35" s="3279" t="s">
        <v>7</v>
      </c>
      <c r="P35" s="3279" t="s">
        <v>18</v>
      </c>
      <c r="Q35" s="3310">
        <v>1</v>
      </c>
      <c r="R35" s="3279">
        <v>9708942802</v>
      </c>
      <c r="S35" s="3279" t="s">
        <v>1212</v>
      </c>
      <c r="T35" s="3279">
        <v>73063</v>
      </c>
      <c r="U35" s="3279" t="s">
        <v>7</v>
      </c>
      <c r="V35" s="3276">
        <v>0</v>
      </c>
      <c r="W35" s="3279" t="s">
        <v>1166</v>
      </c>
      <c r="X35" s="3279" t="s">
        <v>1166</v>
      </c>
      <c r="Y35" s="3283" t="s">
        <v>1166</v>
      </c>
      <c r="Z35" s="3105" t="s">
        <v>1166</v>
      </c>
      <c r="AA35" s="3104" t="s">
        <v>1166</v>
      </c>
      <c r="AB35" s="3048"/>
      <c r="AC35" s="3048"/>
      <c r="AD35" s="3048"/>
      <c r="AE35" s="3048"/>
      <c r="AF35" s="3048"/>
      <c r="AG35" s="3048"/>
      <c r="AH35" s="3048"/>
      <c r="AI35" s="3048"/>
      <c r="AJ35" s="3048"/>
      <c r="AK35" s="3048"/>
      <c r="AL35" s="3048"/>
      <c r="AM35" s="3048"/>
      <c r="AN35" s="3048"/>
      <c r="AO35" s="3048"/>
      <c r="AP35" s="3048"/>
      <c r="AQ35" s="3048"/>
      <c r="AR35" s="3048"/>
      <c r="AS35" s="3048"/>
      <c r="AT35" s="3048"/>
      <c r="AU35" s="3048"/>
    </row>
    <row r="36" spans="1:47">
      <c r="A36" s="3279">
        <v>30</v>
      </c>
      <c r="B36" s="3279" t="s">
        <v>1166</v>
      </c>
      <c r="C36" s="3443" t="s">
        <v>687</v>
      </c>
      <c r="D36" s="3284" t="s">
        <v>304</v>
      </c>
      <c r="E36" s="3284" t="s">
        <v>1207</v>
      </c>
      <c r="F36" s="3267" t="s">
        <v>1208</v>
      </c>
      <c r="G36" s="3267">
        <v>9819509486</v>
      </c>
      <c r="H36" s="3282" t="s">
        <v>1209</v>
      </c>
      <c r="I36" s="3268" t="s">
        <v>898</v>
      </c>
      <c r="J36" s="3285" t="s">
        <v>73</v>
      </c>
      <c r="K36" s="3268" t="s">
        <v>138</v>
      </c>
      <c r="L36" s="3268" t="s">
        <v>1210</v>
      </c>
      <c r="M36" s="3284" t="s">
        <v>1211</v>
      </c>
      <c r="N36" s="3279">
        <v>73063</v>
      </c>
      <c r="O36" s="3279" t="s">
        <v>7</v>
      </c>
      <c r="P36" s="3279" t="s">
        <v>18</v>
      </c>
      <c r="Q36" s="3310">
        <v>1</v>
      </c>
      <c r="R36" s="3279">
        <v>9708942802</v>
      </c>
      <c r="S36" s="3279" t="s">
        <v>1212</v>
      </c>
      <c r="T36" s="3279">
        <v>73063</v>
      </c>
      <c r="U36" s="3279" t="s">
        <v>7</v>
      </c>
      <c r="V36" s="3276">
        <v>0</v>
      </c>
      <c r="W36" s="3279" t="s">
        <v>1166</v>
      </c>
      <c r="X36" s="3279" t="s">
        <v>1166</v>
      </c>
      <c r="Y36" s="3283" t="s">
        <v>1166</v>
      </c>
      <c r="Z36" s="3105" t="s">
        <v>1166</v>
      </c>
      <c r="AA36" s="3104" t="s">
        <v>1166</v>
      </c>
      <c r="AB36" s="3048"/>
      <c r="AC36" s="3048"/>
      <c r="AD36" s="3048"/>
      <c r="AE36" s="3048"/>
      <c r="AF36" s="3048"/>
      <c r="AG36" s="3048"/>
      <c r="AH36" s="3048"/>
      <c r="AI36" s="3048"/>
      <c r="AJ36" s="3048"/>
      <c r="AK36" s="3048"/>
      <c r="AL36" s="3048"/>
      <c r="AM36" s="3048"/>
      <c r="AN36" s="3048"/>
      <c r="AO36" s="3048"/>
      <c r="AP36" s="3048"/>
      <c r="AQ36" s="3048"/>
      <c r="AR36" s="3048"/>
      <c r="AS36" s="3048"/>
      <c r="AT36" s="3048"/>
      <c r="AU36" s="3048"/>
    </row>
    <row r="37" spans="1:47">
      <c r="A37" s="3279">
        <v>31</v>
      </c>
      <c r="B37" s="3279" t="s">
        <v>1166</v>
      </c>
      <c r="C37" s="3443" t="s">
        <v>687</v>
      </c>
      <c r="D37" s="3284" t="s">
        <v>304</v>
      </c>
      <c r="E37" s="3284" t="s">
        <v>1207</v>
      </c>
      <c r="F37" s="3267" t="s">
        <v>1208</v>
      </c>
      <c r="G37" s="3267">
        <v>9819509486</v>
      </c>
      <c r="H37" s="3282" t="s">
        <v>1209</v>
      </c>
      <c r="I37" s="3268" t="s">
        <v>1220</v>
      </c>
      <c r="J37" s="3285" t="s">
        <v>73</v>
      </c>
      <c r="K37" s="3268" t="s">
        <v>138</v>
      </c>
      <c r="L37" s="3268" t="s">
        <v>1210</v>
      </c>
      <c r="M37" s="3284" t="s">
        <v>1211</v>
      </c>
      <c r="N37" s="3279">
        <v>73063</v>
      </c>
      <c r="O37" s="3279" t="s">
        <v>7</v>
      </c>
      <c r="P37" s="3279" t="s">
        <v>18</v>
      </c>
      <c r="Q37" s="3310">
        <v>1</v>
      </c>
      <c r="R37" s="3279">
        <v>9708942802</v>
      </c>
      <c r="S37" s="3279" t="s">
        <v>1212</v>
      </c>
      <c r="T37" s="3279">
        <v>73063</v>
      </c>
      <c r="U37" s="3279" t="s">
        <v>7</v>
      </c>
      <c r="V37" s="3276">
        <v>0</v>
      </c>
      <c r="W37" s="3279" t="s">
        <v>1166</v>
      </c>
      <c r="X37" s="3279" t="s">
        <v>1166</v>
      </c>
      <c r="Y37" s="3283" t="s">
        <v>1166</v>
      </c>
      <c r="Z37" s="3105" t="s">
        <v>1166</v>
      </c>
      <c r="AA37" s="3104" t="s">
        <v>1166</v>
      </c>
      <c r="AB37" s="3048"/>
      <c r="AC37" s="3048"/>
      <c r="AD37" s="3048"/>
      <c r="AE37" s="3048"/>
      <c r="AF37" s="3048"/>
      <c r="AG37" s="3048"/>
      <c r="AH37" s="3048"/>
      <c r="AI37" s="3048"/>
      <c r="AJ37" s="3048"/>
      <c r="AK37" s="3048"/>
      <c r="AL37" s="3048"/>
      <c r="AM37" s="3048"/>
      <c r="AN37" s="3048"/>
      <c r="AO37" s="3048"/>
      <c r="AP37" s="3048"/>
      <c r="AQ37" s="3048"/>
      <c r="AR37" s="3048"/>
      <c r="AS37" s="3048"/>
      <c r="AT37" s="3048"/>
      <c r="AU37" s="3048"/>
    </row>
    <row r="38" spans="1:47">
      <c r="A38" s="3279">
        <v>32</v>
      </c>
      <c r="B38" s="3279" t="s">
        <v>1166</v>
      </c>
      <c r="C38" s="3443" t="s">
        <v>687</v>
      </c>
      <c r="D38" s="3284" t="s">
        <v>304</v>
      </c>
      <c r="E38" s="3284" t="s">
        <v>1207</v>
      </c>
      <c r="F38" s="3267" t="s">
        <v>1208</v>
      </c>
      <c r="G38" s="3267">
        <v>9819509486</v>
      </c>
      <c r="H38" s="3282" t="s">
        <v>1209</v>
      </c>
      <c r="I38" s="3268" t="s">
        <v>1221</v>
      </c>
      <c r="J38" s="3285" t="s">
        <v>73</v>
      </c>
      <c r="K38" s="3268" t="s">
        <v>138</v>
      </c>
      <c r="L38" s="3268" t="s">
        <v>1210</v>
      </c>
      <c r="M38" s="3284" t="s">
        <v>1211</v>
      </c>
      <c r="N38" s="3279">
        <v>73063</v>
      </c>
      <c r="O38" s="3279" t="s">
        <v>7</v>
      </c>
      <c r="P38" s="3279" t="s">
        <v>18</v>
      </c>
      <c r="Q38" s="3310">
        <v>1</v>
      </c>
      <c r="R38" s="3279">
        <v>9708942802</v>
      </c>
      <c r="S38" s="3279" t="s">
        <v>1212</v>
      </c>
      <c r="T38" s="3279">
        <v>73063</v>
      </c>
      <c r="U38" s="3279" t="s">
        <v>7</v>
      </c>
      <c r="V38" s="3276">
        <v>0</v>
      </c>
      <c r="W38" s="3279" t="s">
        <v>1166</v>
      </c>
      <c r="X38" s="3279" t="s">
        <v>1166</v>
      </c>
      <c r="Y38" s="3283" t="s">
        <v>1166</v>
      </c>
      <c r="Z38" s="3105" t="s">
        <v>1166</v>
      </c>
      <c r="AA38" s="3104" t="s">
        <v>1166</v>
      </c>
      <c r="AB38" s="3048"/>
      <c r="AC38" s="3048"/>
      <c r="AD38" s="3048"/>
      <c r="AE38" s="3048"/>
      <c r="AF38" s="3048"/>
      <c r="AG38" s="3048"/>
      <c r="AH38" s="3048"/>
      <c r="AI38" s="3048"/>
      <c r="AJ38" s="3048"/>
      <c r="AK38" s="3048"/>
      <c r="AL38" s="3048"/>
      <c r="AM38" s="3048"/>
      <c r="AN38" s="3048"/>
      <c r="AO38" s="3048"/>
      <c r="AP38" s="3048"/>
      <c r="AQ38" s="3048"/>
      <c r="AR38" s="3048"/>
      <c r="AS38" s="3048"/>
      <c r="AT38" s="3048"/>
      <c r="AU38" s="3048"/>
    </row>
    <row r="39" spans="1:47" ht="15.75" customHeight="1">
      <c r="A39" s="3265">
        <v>33</v>
      </c>
      <c r="B39" s="3287">
        <v>45658</v>
      </c>
      <c r="C39" s="3442" t="s">
        <v>687</v>
      </c>
      <c r="D39" s="3280" t="s">
        <v>1158</v>
      </c>
      <c r="E39" s="3280" t="s">
        <v>1222</v>
      </c>
      <c r="F39" s="3267" t="s">
        <v>1223</v>
      </c>
      <c r="G39" s="3267">
        <v>9850225626</v>
      </c>
      <c r="H39" s="3282" t="s">
        <v>1224</v>
      </c>
      <c r="I39" s="3268" t="s">
        <v>1225</v>
      </c>
      <c r="J39" s="3280" t="s">
        <v>83</v>
      </c>
      <c r="K39" s="3268" t="s">
        <v>157</v>
      </c>
      <c r="L39" s="3268" t="s">
        <v>1226</v>
      </c>
      <c r="M39" s="3280" t="s">
        <v>1227</v>
      </c>
      <c r="N39" s="3279">
        <v>1147898</v>
      </c>
      <c r="O39" s="3279" t="s">
        <v>7</v>
      </c>
      <c r="P39" s="3279" t="s">
        <v>34</v>
      </c>
      <c r="Q39" s="3310">
        <v>1</v>
      </c>
      <c r="R39" s="3279">
        <v>9709250604</v>
      </c>
      <c r="S39" s="3279" t="s">
        <v>1228</v>
      </c>
      <c r="T39" s="3279">
        <v>232218</v>
      </c>
      <c r="U39" s="3279" t="s">
        <v>37</v>
      </c>
      <c r="V39" s="3276">
        <v>0</v>
      </c>
      <c r="W39" s="3279" t="s">
        <v>1229</v>
      </c>
      <c r="X39" s="3279" t="s">
        <v>1166</v>
      </c>
      <c r="Y39" s="3283" t="s">
        <v>1166</v>
      </c>
      <c r="Z39" s="3105" t="s">
        <v>157</v>
      </c>
      <c r="AA39" s="3104" t="s">
        <v>208</v>
      </c>
      <c r="AB39" s="3048"/>
      <c r="AC39" s="3048"/>
      <c r="AD39" s="3048"/>
      <c r="AE39" s="3048"/>
      <c r="AF39" s="3048"/>
      <c r="AG39" s="3048"/>
      <c r="AH39" s="3048"/>
      <c r="AI39" s="3048"/>
      <c r="AJ39" s="3048"/>
      <c r="AK39" s="3048"/>
      <c r="AL39" s="3048"/>
      <c r="AM39" s="3048"/>
      <c r="AN39" s="3048"/>
      <c r="AO39" s="3048"/>
      <c r="AP39" s="3048"/>
      <c r="AQ39" s="3048"/>
      <c r="AR39" s="3048"/>
      <c r="AS39" s="3048"/>
      <c r="AT39" s="3048"/>
      <c r="AU39" s="3048"/>
    </row>
    <row r="40" spans="1:47">
      <c r="A40" s="3279">
        <v>34</v>
      </c>
      <c r="B40" s="3287">
        <v>45658</v>
      </c>
      <c r="C40" s="3443" t="s">
        <v>173</v>
      </c>
      <c r="D40" s="3284" t="s">
        <v>1175</v>
      </c>
      <c r="E40" s="3284" t="s">
        <v>1230</v>
      </c>
      <c r="F40" s="3267" t="s">
        <v>1231</v>
      </c>
      <c r="G40" s="3267">
        <v>7757057351</v>
      </c>
      <c r="H40" s="3282" t="s">
        <v>1232</v>
      </c>
      <c r="I40" s="3268" t="s">
        <v>1233</v>
      </c>
      <c r="J40" s="3285" t="s">
        <v>73</v>
      </c>
      <c r="K40" s="3268" t="s">
        <v>138</v>
      </c>
      <c r="L40" s="3272" t="s">
        <v>1234</v>
      </c>
      <c r="M40" s="3311">
        <v>45628</v>
      </c>
      <c r="N40" s="3279">
        <v>97200</v>
      </c>
      <c r="O40" s="3279" t="s">
        <v>7</v>
      </c>
      <c r="P40" s="3279" t="s">
        <v>18</v>
      </c>
      <c r="Q40" s="3310">
        <v>1</v>
      </c>
      <c r="R40" s="3279">
        <v>3110014225</v>
      </c>
      <c r="S40" s="3287">
        <v>45666</v>
      </c>
      <c r="T40" s="3279">
        <v>93312</v>
      </c>
      <c r="U40" s="3279" t="s">
        <v>7</v>
      </c>
      <c r="V40" s="3276">
        <v>0</v>
      </c>
      <c r="W40" s="3279" t="s">
        <v>1166</v>
      </c>
      <c r="X40" s="3279" t="s">
        <v>1166</v>
      </c>
      <c r="Y40" s="3283" t="s">
        <v>1166</v>
      </c>
      <c r="Z40" s="3105" t="s">
        <v>1166</v>
      </c>
      <c r="AA40" s="3104" t="s">
        <v>1166</v>
      </c>
      <c r="AB40" s="3048"/>
      <c r="AC40" s="3048"/>
      <c r="AD40" s="3048"/>
      <c r="AE40" s="3048"/>
      <c r="AF40" s="3048"/>
      <c r="AG40" s="3048"/>
      <c r="AH40" s="3048"/>
      <c r="AI40" s="3048"/>
      <c r="AJ40" s="3048"/>
      <c r="AK40" s="3048"/>
      <c r="AL40" s="3048"/>
      <c r="AM40" s="3048"/>
      <c r="AN40" s="3048"/>
      <c r="AO40" s="3048"/>
      <c r="AP40" s="3048"/>
      <c r="AQ40" s="3048"/>
      <c r="AR40" s="3048"/>
      <c r="AS40" s="3048"/>
      <c r="AT40" s="3048"/>
      <c r="AU40" s="3048"/>
    </row>
    <row r="41" spans="1:47">
      <c r="A41" s="3279">
        <v>35</v>
      </c>
      <c r="B41" s="3287">
        <v>45658</v>
      </c>
      <c r="C41" s="3443" t="s">
        <v>1157</v>
      </c>
      <c r="D41" s="3284" t="s">
        <v>1175</v>
      </c>
      <c r="E41" s="3284" t="s">
        <v>1166</v>
      </c>
      <c r="F41" s="3267" t="s">
        <v>1235</v>
      </c>
      <c r="G41" s="3267">
        <v>8888827337</v>
      </c>
      <c r="H41" s="3312" t="s">
        <v>1236</v>
      </c>
      <c r="I41" s="3268" t="s">
        <v>1237</v>
      </c>
      <c r="J41" s="3285" t="s">
        <v>73</v>
      </c>
      <c r="K41" s="3268" t="s">
        <v>138</v>
      </c>
      <c r="L41" s="3272" t="s">
        <v>1238</v>
      </c>
      <c r="M41" s="3311">
        <v>45628</v>
      </c>
      <c r="N41" s="3279">
        <v>102900</v>
      </c>
      <c r="O41" s="3279" t="s">
        <v>7</v>
      </c>
      <c r="P41" s="3279" t="s">
        <v>18</v>
      </c>
      <c r="Q41" s="3310">
        <v>1</v>
      </c>
      <c r="R41" s="3279">
        <v>5700166359</v>
      </c>
      <c r="S41" s="3279" t="s">
        <v>1239</v>
      </c>
      <c r="T41" s="3279">
        <v>102900</v>
      </c>
      <c r="U41" s="3279" t="s">
        <v>7</v>
      </c>
      <c r="V41" s="3276">
        <v>0</v>
      </c>
      <c r="W41" s="3279" t="s">
        <v>1166</v>
      </c>
      <c r="X41" s="3277" t="s">
        <v>1165</v>
      </c>
      <c r="Y41" s="3283" t="s">
        <v>1166</v>
      </c>
      <c r="Z41" s="3105" t="s">
        <v>1166</v>
      </c>
      <c r="AA41" s="3104" t="s">
        <v>1166</v>
      </c>
      <c r="AB41" s="3048"/>
      <c r="AC41" s="3048"/>
      <c r="AD41" s="3048"/>
      <c r="AE41" s="3048"/>
      <c r="AF41" s="3048"/>
      <c r="AG41" s="3048"/>
      <c r="AH41" s="3048"/>
      <c r="AI41" s="3048"/>
      <c r="AJ41" s="3048"/>
      <c r="AK41" s="3048"/>
      <c r="AL41" s="3048"/>
      <c r="AM41" s="3048"/>
      <c r="AN41" s="3048"/>
      <c r="AO41" s="3048"/>
      <c r="AP41" s="3048"/>
      <c r="AQ41" s="3048"/>
      <c r="AR41" s="3048"/>
      <c r="AS41" s="3048"/>
      <c r="AT41" s="3048"/>
      <c r="AU41" s="3048"/>
    </row>
    <row r="42" spans="1:47">
      <c r="A42" s="3279">
        <v>36</v>
      </c>
      <c r="B42" s="3279" t="s">
        <v>1166</v>
      </c>
      <c r="C42" s="3443" t="s">
        <v>1157</v>
      </c>
      <c r="D42" s="3284" t="s">
        <v>1175</v>
      </c>
      <c r="E42" s="3284" t="s">
        <v>1166</v>
      </c>
      <c r="F42" s="3267" t="s">
        <v>1235</v>
      </c>
      <c r="G42" s="3267">
        <v>8888827337</v>
      </c>
      <c r="H42" s="3312" t="s">
        <v>1236</v>
      </c>
      <c r="I42" s="3268" t="s">
        <v>1240</v>
      </c>
      <c r="J42" s="3285" t="s">
        <v>73</v>
      </c>
      <c r="K42" s="3268" t="s">
        <v>138</v>
      </c>
      <c r="L42" s="3272" t="s">
        <v>1238</v>
      </c>
      <c r="M42" s="3311">
        <v>45628</v>
      </c>
      <c r="N42" s="3279">
        <v>102900</v>
      </c>
      <c r="O42" s="3279" t="s">
        <v>7</v>
      </c>
      <c r="P42" s="3279" t="s">
        <v>18</v>
      </c>
      <c r="Q42" s="3310">
        <v>1</v>
      </c>
      <c r="R42" s="3279">
        <v>5700166359</v>
      </c>
      <c r="S42" s="3279" t="s">
        <v>1239</v>
      </c>
      <c r="T42" s="3279">
        <v>102900</v>
      </c>
      <c r="U42" s="3279" t="s">
        <v>7</v>
      </c>
      <c r="V42" s="3276">
        <v>0</v>
      </c>
      <c r="W42" s="3279" t="s">
        <v>1166</v>
      </c>
      <c r="X42" s="3279" t="s">
        <v>1166</v>
      </c>
      <c r="Y42" s="3283" t="s">
        <v>1166</v>
      </c>
      <c r="Z42" s="3105" t="s">
        <v>1166</v>
      </c>
      <c r="AA42" s="3104" t="s">
        <v>1166</v>
      </c>
      <c r="AB42" s="3048"/>
      <c r="AC42" s="3048"/>
      <c r="AD42" s="3048"/>
      <c r="AE42" s="3048"/>
      <c r="AF42" s="3048"/>
      <c r="AG42" s="3048"/>
      <c r="AH42" s="3048"/>
      <c r="AI42" s="3048"/>
      <c r="AJ42" s="3048"/>
      <c r="AK42" s="3048"/>
      <c r="AL42" s="3048"/>
      <c r="AM42" s="3048"/>
      <c r="AN42" s="3048"/>
      <c r="AO42" s="3048"/>
      <c r="AP42" s="3048"/>
      <c r="AQ42" s="3048"/>
      <c r="AR42" s="3048"/>
      <c r="AS42" s="3048"/>
      <c r="AT42" s="3048"/>
      <c r="AU42" s="3048"/>
    </row>
    <row r="43" spans="1:47">
      <c r="A43" s="3265">
        <v>37</v>
      </c>
      <c r="B43" s="3279" t="s">
        <v>1166</v>
      </c>
      <c r="C43" s="3443" t="s">
        <v>1157</v>
      </c>
      <c r="D43" s="3284" t="s">
        <v>1175</v>
      </c>
      <c r="E43" s="3284" t="s">
        <v>1166</v>
      </c>
      <c r="F43" s="3267" t="s">
        <v>1235</v>
      </c>
      <c r="G43" s="3267">
        <v>8888827337</v>
      </c>
      <c r="H43" s="3312" t="s">
        <v>1236</v>
      </c>
      <c r="I43" s="3268" t="s">
        <v>1241</v>
      </c>
      <c r="J43" s="3285" t="s">
        <v>73</v>
      </c>
      <c r="K43" s="3268" t="s">
        <v>138</v>
      </c>
      <c r="L43" s="3272" t="s">
        <v>1238</v>
      </c>
      <c r="M43" s="3311">
        <v>45628</v>
      </c>
      <c r="N43" s="3279">
        <v>102900</v>
      </c>
      <c r="O43" s="3279" t="s">
        <v>7</v>
      </c>
      <c r="P43" s="3279" t="s">
        <v>18</v>
      </c>
      <c r="Q43" s="3310">
        <v>1</v>
      </c>
      <c r="R43" s="3279">
        <v>5700166359</v>
      </c>
      <c r="S43" s="3279" t="s">
        <v>1239</v>
      </c>
      <c r="T43" s="3279">
        <v>102900</v>
      </c>
      <c r="U43" s="3279" t="s">
        <v>7</v>
      </c>
      <c r="V43" s="3276">
        <v>0</v>
      </c>
      <c r="W43" s="3279" t="s">
        <v>1166</v>
      </c>
      <c r="X43" s="3279" t="s">
        <v>1166</v>
      </c>
      <c r="Y43" s="3283" t="s">
        <v>1166</v>
      </c>
      <c r="Z43" s="3105" t="s">
        <v>1166</v>
      </c>
      <c r="AA43" s="3104" t="s">
        <v>1166</v>
      </c>
      <c r="AB43" s="3048"/>
      <c r="AC43" s="3048"/>
      <c r="AD43" s="3048"/>
      <c r="AE43" s="3048"/>
      <c r="AF43" s="3048"/>
      <c r="AG43" s="3048"/>
      <c r="AH43" s="3048"/>
      <c r="AI43" s="3048"/>
      <c r="AJ43" s="3048"/>
      <c r="AK43" s="3048"/>
      <c r="AL43" s="3048"/>
      <c r="AM43" s="3048"/>
      <c r="AN43" s="3048"/>
      <c r="AO43" s="3048"/>
      <c r="AP43" s="3048"/>
      <c r="AQ43" s="3048"/>
      <c r="AR43" s="3048"/>
      <c r="AS43" s="3048"/>
      <c r="AT43" s="3048"/>
      <c r="AU43" s="3048"/>
    </row>
    <row r="44" spans="1:47">
      <c r="A44" s="3279">
        <v>38</v>
      </c>
      <c r="B44" s="3279" t="s">
        <v>1166</v>
      </c>
      <c r="C44" s="3443" t="s">
        <v>1157</v>
      </c>
      <c r="D44" s="3284" t="s">
        <v>1175</v>
      </c>
      <c r="E44" s="3284" t="s">
        <v>1166</v>
      </c>
      <c r="F44" s="3267" t="s">
        <v>1235</v>
      </c>
      <c r="G44" s="3267">
        <v>8888827337</v>
      </c>
      <c r="H44" s="3312" t="s">
        <v>1236</v>
      </c>
      <c r="I44" s="3268" t="s">
        <v>1242</v>
      </c>
      <c r="J44" s="3285" t="s">
        <v>73</v>
      </c>
      <c r="K44" s="3268" t="s">
        <v>138</v>
      </c>
      <c r="L44" s="3272" t="s">
        <v>1238</v>
      </c>
      <c r="M44" s="3311">
        <v>45628</v>
      </c>
      <c r="N44" s="3279">
        <v>118335</v>
      </c>
      <c r="O44" s="3279" t="s">
        <v>7</v>
      </c>
      <c r="P44" s="3279" t="s">
        <v>18</v>
      </c>
      <c r="Q44" s="3310">
        <v>1</v>
      </c>
      <c r="R44" s="3279">
        <v>5700166359</v>
      </c>
      <c r="S44" s="3279" t="s">
        <v>1239</v>
      </c>
      <c r="T44" s="3279">
        <v>118335</v>
      </c>
      <c r="U44" s="3279" t="s">
        <v>7</v>
      </c>
      <c r="V44" s="3276">
        <v>0</v>
      </c>
      <c r="W44" s="3279" t="s">
        <v>1166</v>
      </c>
      <c r="X44" s="3279" t="s">
        <v>1166</v>
      </c>
      <c r="Y44" s="3283" t="s">
        <v>1166</v>
      </c>
      <c r="Z44" s="3105" t="s">
        <v>1166</v>
      </c>
      <c r="AA44" s="3104" t="s">
        <v>1166</v>
      </c>
      <c r="AB44" s="3048"/>
      <c r="AC44" s="3048"/>
      <c r="AD44" s="3048"/>
      <c r="AE44" s="3048"/>
      <c r="AF44" s="3048"/>
      <c r="AG44" s="3048"/>
      <c r="AH44" s="3048"/>
      <c r="AI44" s="3048"/>
      <c r="AJ44" s="3048"/>
      <c r="AK44" s="3048"/>
      <c r="AL44" s="3048"/>
      <c r="AM44" s="3048"/>
      <c r="AN44" s="3048"/>
      <c r="AO44" s="3048"/>
      <c r="AP44" s="3048"/>
      <c r="AQ44" s="3048"/>
      <c r="AR44" s="3048"/>
      <c r="AS44" s="3048"/>
      <c r="AT44" s="3048"/>
      <c r="AU44" s="3048"/>
    </row>
    <row r="45" spans="1:47">
      <c r="A45" s="3279">
        <v>39</v>
      </c>
      <c r="B45" s="3279" t="s">
        <v>1166</v>
      </c>
      <c r="C45" s="3443" t="s">
        <v>1157</v>
      </c>
      <c r="D45" s="3284" t="s">
        <v>1175</v>
      </c>
      <c r="E45" s="3284" t="s">
        <v>1166</v>
      </c>
      <c r="F45" s="3267" t="s">
        <v>1235</v>
      </c>
      <c r="G45" s="3267">
        <v>8888827337</v>
      </c>
      <c r="H45" s="3312" t="s">
        <v>1236</v>
      </c>
      <c r="I45" s="3268" t="s">
        <v>1243</v>
      </c>
      <c r="J45" s="3285" t="s">
        <v>73</v>
      </c>
      <c r="K45" s="3268" t="s">
        <v>138</v>
      </c>
      <c r="L45" s="3272" t="s">
        <v>1238</v>
      </c>
      <c r="M45" s="3311">
        <v>45628</v>
      </c>
      <c r="N45" s="3279">
        <v>118335</v>
      </c>
      <c r="O45" s="3279" t="s">
        <v>7</v>
      </c>
      <c r="P45" s="3279" t="s">
        <v>18</v>
      </c>
      <c r="Q45" s="3310">
        <v>1</v>
      </c>
      <c r="R45" s="3279">
        <v>5700166359</v>
      </c>
      <c r="S45" s="3279" t="s">
        <v>1239</v>
      </c>
      <c r="T45" s="3279">
        <v>118335</v>
      </c>
      <c r="U45" s="3279" t="s">
        <v>7</v>
      </c>
      <c r="V45" s="3276">
        <v>0</v>
      </c>
      <c r="W45" s="3279" t="s">
        <v>1166</v>
      </c>
      <c r="X45" s="3279" t="s">
        <v>1166</v>
      </c>
      <c r="Y45" s="3283" t="s">
        <v>1166</v>
      </c>
      <c r="Z45" s="3105" t="s">
        <v>1166</v>
      </c>
      <c r="AA45" s="3104" t="s">
        <v>1166</v>
      </c>
      <c r="AB45" s="3048"/>
      <c r="AC45" s="3048"/>
      <c r="AD45" s="3048"/>
      <c r="AE45" s="3048"/>
      <c r="AF45" s="3048"/>
      <c r="AG45" s="3048"/>
      <c r="AH45" s="3048"/>
      <c r="AI45" s="3048"/>
      <c r="AJ45" s="3048"/>
      <c r="AK45" s="3048"/>
      <c r="AL45" s="3048"/>
      <c r="AM45" s="3048"/>
      <c r="AN45" s="3048"/>
      <c r="AO45" s="3048"/>
      <c r="AP45" s="3048"/>
      <c r="AQ45" s="3048"/>
      <c r="AR45" s="3048"/>
      <c r="AS45" s="3048"/>
      <c r="AT45" s="3048"/>
      <c r="AU45" s="3048"/>
    </row>
    <row r="46" spans="1:47">
      <c r="A46" s="3279">
        <v>40</v>
      </c>
      <c r="B46" s="3279" t="s">
        <v>1166</v>
      </c>
      <c r="C46" s="3443" t="s">
        <v>1157</v>
      </c>
      <c r="D46" s="3284" t="s">
        <v>1175</v>
      </c>
      <c r="E46" s="3284" t="s">
        <v>1166</v>
      </c>
      <c r="F46" s="3267" t="s">
        <v>1235</v>
      </c>
      <c r="G46" s="3267">
        <v>8888827337</v>
      </c>
      <c r="H46" s="3312" t="s">
        <v>1236</v>
      </c>
      <c r="I46" s="3268" t="s">
        <v>1244</v>
      </c>
      <c r="J46" s="3285" t="s">
        <v>73</v>
      </c>
      <c r="K46" s="3268" t="s">
        <v>138</v>
      </c>
      <c r="L46" s="3272" t="s">
        <v>1238</v>
      </c>
      <c r="M46" s="3311">
        <v>45628</v>
      </c>
      <c r="N46" s="3279">
        <v>118335</v>
      </c>
      <c r="O46" s="3279" t="s">
        <v>7</v>
      </c>
      <c r="P46" s="3279" t="s">
        <v>18</v>
      </c>
      <c r="Q46" s="3310">
        <v>1</v>
      </c>
      <c r="R46" s="3279">
        <v>5700166359</v>
      </c>
      <c r="S46" s="3279" t="s">
        <v>1239</v>
      </c>
      <c r="T46" s="3279">
        <v>118335</v>
      </c>
      <c r="U46" s="3279" t="s">
        <v>7</v>
      </c>
      <c r="V46" s="3276">
        <v>0</v>
      </c>
      <c r="W46" s="3279" t="s">
        <v>1166</v>
      </c>
      <c r="X46" s="3279" t="s">
        <v>1166</v>
      </c>
      <c r="Y46" s="3283" t="s">
        <v>1166</v>
      </c>
      <c r="Z46" s="3105" t="s">
        <v>1166</v>
      </c>
      <c r="AA46" s="3104" t="s">
        <v>1166</v>
      </c>
      <c r="AB46" s="3048"/>
      <c r="AC46" s="3048"/>
      <c r="AD46" s="3048"/>
      <c r="AE46" s="3048"/>
      <c r="AF46" s="3048"/>
      <c r="AG46" s="3048"/>
      <c r="AH46" s="3048"/>
      <c r="AI46" s="3048"/>
      <c r="AJ46" s="3048"/>
      <c r="AK46" s="3048"/>
      <c r="AL46" s="3048"/>
      <c r="AM46" s="3048"/>
      <c r="AN46" s="3048"/>
      <c r="AO46" s="3048"/>
      <c r="AP46" s="3048"/>
      <c r="AQ46" s="3048"/>
      <c r="AR46" s="3048"/>
      <c r="AS46" s="3048"/>
      <c r="AT46" s="3048"/>
      <c r="AU46" s="3048"/>
    </row>
    <row r="47" spans="1:47">
      <c r="A47" s="3265">
        <v>41</v>
      </c>
      <c r="B47" s="3279" t="s">
        <v>1166</v>
      </c>
      <c r="C47" s="3443" t="s">
        <v>1157</v>
      </c>
      <c r="D47" s="3284" t="s">
        <v>1175</v>
      </c>
      <c r="E47" s="3284" t="s">
        <v>1166</v>
      </c>
      <c r="F47" s="3267" t="s">
        <v>1235</v>
      </c>
      <c r="G47" s="3267">
        <v>8888827337</v>
      </c>
      <c r="H47" s="3312" t="s">
        <v>1236</v>
      </c>
      <c r="I47" s="3268" t="s">
        <v>1245</v>
      </c>
      <c r="J47" s="3285" t="s">
        <v>73</v>
      </c>
      <c r="K47" s="3268" t="s">
        <v>138</v>
      </c>
      <c r="L47" s="3272" t="s">
        <v>1238</v>
      </c>
      <c r="M47" s="3311">
        <v>45628</v>
      </c>
      <c r="N47" s="3279">
        <v>118335</v>
      </c>
      <c r="O47" s="3279" t="s">
        <v>7</v>
      </c>
      <c r="P47" s="3279" t="s">
        <v>18</v>
      </c>
      <c r="Q47" s="3310">
        <v>1</v>
      </c>
      <c r="R47" s="3279">
        <v>5700166359</v>
      </c>
      <c r="S47" s="3279" t="s">
        <v>1239</v>
      </c>
      <c r="T47" s="3279">
        <v>118335</v>
      </c>
      <c r="U47" s="3279" t="s">
        <v>7</v>
      </c>
      <c r="V47" s="3276">
        <v>0</v>
      </c>
      <c r="W47" s="3279" t="s">
        <v>1166</v>
      </c>
      <c r="X47" s="3279" t="s">
        <v>1166</v>
      </c>
      <c r="Y47" s="3283" t="s">
        <v>1166</v>
      </c>
      <c r="Z47" s="3105" t="s">
        <v>1166</v>
      </c>
      <c r="AA47" s="3104" t="s">
        <v>1166</v>
      </c>
      <c r="AB47" s="3048"/>
      <c r="AC47" s="3048"/>
      <c r="AD47" s="3048"/>
      <c r="AE47" s="3048"/>
      <c r="AF47" s="3048"/>
      <c r="AG47" s="3048"/>
      <c r="AH47" s="3048"/>
      <c r="AI47" s="3048"/>
      <c r="AJ47" s="3048"/>
      <c r="AK47" s="3048"/>
      <c r="AL47" s="3048"/>
      <c r="AM47" s="3048"/>
      <c r="AN47" s="3048"/>
      <c r="AO47" s="3048"/>
      <c r="AP47" s="3048"/>
      <c r="AQ47" s="3048"/>
      <c r="AR47" s="3048"/>
      <c r="AS47" s="3048"/>
      <c r="AT47" s="3048"/>
      <c r="AU47" s="3048"/>
    </row>
    <row r="48" spans="1:47">
      <c r="A48" s="3279">
        <v>42</v>
      </c>
      <c r="B48" s="3279" t="s">
        <v>1166</v>
      </c>
      <c r="C48" s="3443" t="s">
        <v>1157</v>
      </c>
      <c r="D48" s="3284" t="s">
        <v>1175</v>
      </c>
      <c r="E48" s="3284" t="s">
        <v>1166</v>
      </c>
      <c r="F48" s="3267" t="s">
        <v>1235</v>
      </c>
      <c r="G48" s="3267">
        <v>8888827337</v>
      </c>
      <c r="H48" s="3312" t="s">
        <v>1236</v>
      </c>
      <c r="I48" s="3268" t="s">
        <v>1246</v>
      </c>
      <c r="J48" s="3285" t="s">
        <v>73</v>
      </c>
      <c r="K48" s="3268" t="s">
        <v>157</v>
      </c>
      <c r="L48" s="3272" t="s">
        <v>1238</v>
      </c>
      <c r="M48" s="3311">
        <v>45628</v>
      </c>
      <c r="N48" s="3279">
        <v>118335</v>
      </c>
      <c r="O48" s="3279" t="s">
        <v>7</v>
      </c>
      <c r="P48" s="3279" t="s">
        <v>18</v>
      </c>
      <c r="Q48" s="3310">
        <v>1</v>
      </c>
      <c r="R48" s="3279">
        <v>5700166359</v>
      </c>
      <c r="S48" s="3279" t="s">
        <v>1239</v>
      </c>
      <c r="T48" s="3279">
        <v>118335</v>
      </c>
      <c r="U48" s="3279" t="s">
        <v>7</v>
      </c>
      <c r="V48" s="3276">
        <v>0</v>
      </c>
      <c r="W48" s="3279" t="s">
        <v>1166</v>
      </c>
      <c r="X48" s="3279" t="s">
        <v>1166</v>
      </c>
      <c r="Y48" s="3283" t="s">
        <v>1166</v>
      </c>
      <c r="Z48" s="3105" t="s">
        <v>1166</v>
      </c>
      <c r="AA48" s="3104" t="s">
        <v>1166</v>
      </c>
      <c r="AB48" s="3048"/>
      <c r="AC48" s="3048"/>
      <c r="AD48" s="3048"/>
      <c r="AE48" s="3048"/>
      <c r="AF48" s="3048"/>
      <c r="AG48" s="3048"/>
      <c r="AH48" s="3048"/>
      <c r="AI48" s="3048"/>
      <c r="AJ48" s="3048"/>
      <c r="AK48" s="3048"/>
      <c r="AL48" s="3048"/>
      <c r="AM48" s="3048"/>
      <c r="AN48" s="3048"/>
      <c r="AO48" s="3048"/>
      <c r="AP48" s="3048"/>
      <c r="AQ48" s="3048"/>
      <c r="AR48" s="3048"/>
      <c r="AS48" s="3048"/>
      <c r="AT48" s="3048"/>
      <c r="AU48" s="3048"/>
    </row>
    <row r="49" spans="1:47">
      <c r="A49" s="3279">
        <v>43</v>
      </c>
      <c r="B49" s="3279" t="s">
        <v>1166</v>
      </c>
      <c r="C49" s="3443" t="s">
        <v>1157</v>
      </c>
      <c r="D49" s="3284" t="s">
        <v>1175</v>
      </c>
      <c r="E49" s="3284" t="s">
        <v>1166</v>
      </c>
      <c r="F49" s="3267" t="s">
        <v>1235</v>
      </c>
      <c r="G49" s="3267">
        <v>8888827337</v>
      </c>
      <c r="H49" s="3312" t="s">
        <v>1236</v>
      </c>
      <c r="I49" s="3268" t="s">
        <v>1247</v>
      </c>
      <c r="J49" s="3285" t="s">
        <v>73</v>
      </c>
      <c r="K49" s="3268" t="s">
        <v>157</v>
      </c>
      <c r="L49" s="3272" t="s">
        <v>1238</v>
      </c>
      <c r="M49" s="3311">
        <v>45628</v>
      </c>
      <c r="N49" s="3279">
        <v>118335</v>
      </c>
      <c r="O49" s="3279" t="s">
        <v>7</v>
      </c>
      <c r="P49" s="3279" t="s">
        <v>18</v>
      </c>
      <c r="Q49" s="3310">
        <v>1</v>
      </c>
      <c r="R49" s="3279">
        <v>5700166359</v>
      </c>
      <c r="S49" s="3279" t="s">
        <v>1239</v>
      </c>
      <c r="T49" s="3279">
        <v>118335</v>
      </c>
      <c r="U49" s="3279" t="s">
        <v>7</v>
      </c>
      <c r="V49" s="3276">
        <v>0</v>
      </c>
      <c r="W49" s="3279" t="s">
        <v>1166</v>
      </c>
      <c r="X49" s="3279" t="s">
        <v>1166</v>
      </c>
      <c r="Y49" s="3283" t="s">
        <v>1166</v>
      </c>
      <c r="Z49" s="3105" t="s">
        <v>1166</v>
      </c>
      <c r="AA49" s="3104" t="s">
        <v>1166</v>
      </c>
      <c r="AB49" s="3048"/>
      <c r="AC49" s="3048"/>
      <c r="AD49" s="3048"/>
      <c r="AE49" s="3048"/>
      <c r="AF49" s="3048"/>
      <c r="AG49" s="3048"/>
      <c r="AH49" s="3048"/>
      <c r="AI49" s="3048"/>
      <c r="AJ49" s="3048"/>
      <c r="AK49" s="3048"/>
      <c r="AL49" s="3048"/>
      <c r="AM49" s="3048"/>
      <c r="AN49" s="3048"/>
      <c r="AO49" s="3048"/>
      <c r="AP49" s="3048"/>
      <c r="AQ49" s="3048"/>
      <c r="AR49" s="3048"/>
      <c r="AS49" s="3048"/>
      <c r="AT49" s="3048"/>
      <c r="AU49" s="3048"/>
    </row>
    <row r="50" spans="1:47">
      <c r="A50" s="3279">
        <v>44</v>
      </c>
      <c r="B50" s="3279" t="s">
        <v>1166</v>
      </c>
      <c r="C50" s="3443" t="s">
        <v>1157</v>
      </c>
      <c r="D50" s="3284" t="s">
        <v>1175</v>
      </c>
      <c r="E50" s="3284" t="s">
        <v>1166</v>
      </c>
      <c r="F50" s="3267" t="s">
        <v>1235</v>
      </c>
      <c r="G50" s="3267">
        <v>8888827337</v>
      </c>
      <c r="H50" s="3312" t="s">
        <v>1236</v>
      </c>
      <c r="I50" s="3268" t="s">
        <v>1248</v>
      </c>
      <c r="J50" s="3285" t="s">
        <v>73</v>
      </c>
      <c r="K50" s="3268" t="s">
        <v>157</v>
      </c>
      <c r="L50" s="3272" t="s">
        <v>1238</v>
      </c>
      <c r="M50" s="3311">
        <v>45628</v>
      </c>
      <c r="N50" s="3279">
        <v>118335</v>
      </c>
      <c r="O50" s="3279" t="s">
        <v>7</v>
      </c>
      <c r="P50" s="3279" t="s">
        <v>18</v>
      </c>
      <c r="Q50" s="3310">
        <v>1</v>
      </c>
      <c r="R50" s="3279">
        <v>5700166359</v>
      </c>
      <c r="S50" s="3279" t="s">
        <v>1239</v>
      </c>
      <c r="T50" s="3279">
        <v>118335</v>
      </c>
      <c r="U50" s="3279" t="s">
        <v>7</v>
      </c>
      <c r="V50" s="3276">
        <v>0</v>
      </c>
      <c r="W50" s="3279" t="s">
        <v>1166</v>
      </c>
      <c r="X50" s="3279" t="s">
        <v>1166</v>
      </c>
      <c r="Y50" s="3283" t="s">
        <v>1166</v>
      </c>
      <c r="Z50" s="3105" t="s">
        <v>1166</v>
      </c>
      <c r="AA50" s="3104" t="s">
        <v>1166</v>
      </c>
      <c r="AB50" s="3048"/>
      <c r="AC50" s="3048"/>
      <c r="AD50" s="3048"/>
      <c r="AE50" s="3048"/>
      <c r="AF50" s="3048"/>
      <c r="AG50" s="3048"/>
      <c r="AH50" s="3048"/>
      <c r="AI50" s="3048"/>
      <c r="AJ50" s="3048"/>
      <c r="AK50" s="3048"/>
      <c r="AL50" s="3048"/>
      <c r="AM50" s="3048"/>
      <c r="AN50" s="3048"/>
      <c r="AO50" s="3048"/>
      <c r="AP50" s="3048"/>
      <c r="AQ50" s="3048"/>
      <c r="AR50" s="3048"/>
      <c r="AS50" s="3048"/>
      <c r="AT50" s="3048"/>
      <c r="AU50" s="3048"/>
    </row>
    <row r="51" spans="1:47">
      <c r="A51" s="3265">
        <v>45</v>
      </c>
      <c r="B51" s="3279" t="s">
        <v>1166</v>
      </c>
      <c r="C51" s="3443" t="s">
        <v>1157</v>
      </c>
      <c r="D51" s="3284" t="s">
        <v>1175</v>
      </c>
      <c r="E51" s="3313" t="s">
        <v>1166</v>
      </c>
      <c r="F51" s="3267" t="s">
        <v>1235</v>
      </c>
      <c r="G51" s="3267">
        <v>8888827337</v>
      </c>
      <c r="H51" s="3312" t="s">
        <v>1236</v>
      </c>
      <c r="I51" s="3268" t="s">
        <v>1249</v>
      </c>
      <c r="J51" s="3285" t="s">
        <v>73</v>
      </c>
      <c r="K51" s="3268" t="s">
        <v>157</v>
      </c>
      <c r="L51" s="3272" t="s">
        <v>1238</v>
      </c>
      <c r="M51" s="3311">
        <v>45628</v>
      </c>
      <c r="N51" s="3279">
        <v>118335</v>
      </c>
      <c r="O51" s="3279" t="s">
        <v>7</v>
      </c>
      <c r="P51" s="3279" t="s">
        <v>18</v>
      </c>
      <c r="Q51" s="3310">
        <v>1</v>
      </c>
      <c r="R51" s="3279">
        <v>5700166359</v>
      </c>
      <c r="S51" s="3279" t="s">
        <v>1239</v>
      </c>
      <c r="T51" s="3279">
        <v>118335</v>
      </c>
      <c r="U51" s="3279" t="s">
        <v>7</v>
      </c>
      <c r="V51" s="3276">
        <v>0</v>
      </c>
      <c r="W51" s="3279" t="s">
        <v>1166</v>
      </c>
      <c r="X51" s="3279" t="s">
        <v>1166</v>
      </c>
      <c r="Y51" s="3283" t="s">
        <v>1166</v>
      </c>
      <c r="Z51" s="3105" t="s">
        <v>1166</v>
      </c>
      <c r="AA51" s="3104" t="s">
        <v>1166</v>
      </c>
      <c r="AB51" s="3048"/>
      <c r="AC51" s="3048"/>
      <c r="AD51" s="3048"/>
      <c r="AE51" s="3048"/>
      <c r="AF51" s="3048"/>
      <c r="AG51" s="3048"/>
      <c r="AH51" s="3048"/>
      <c r="AI51" s="3048"/>
      <c r="AJ51" s="3048"/>
      <c r="AK51" s="3048"/>
      <c r="AL51" s="3048"/>
      <c r="AM51" s="3048"/>
      <c r="AN51" s="3048"/>
      <c r="AO51" s="3048"/>
      <c r="AP51" s="3048"/>
      <c r="AQ51" s="3048"/>
      <c r="AR51" s="3048"/>
      <c r="AS51" s="3048"/>
      <c r="AT51" s="3048"/>
      <c r="AU51" s="3048"/>
    </row>
    <row r="52" spans="1:47">
      <c r="A52" s="3279">
        <v>46</v>
      </c>
      <c r="B52" s="3287">
        <v>45658</v>
      </c>
      <c r="C52" s="3443" t="s">
        <v>1250</v>
      </c>
      <c r="D52" s="3284" t="s">
        <v>1158</v>
      </c>
      <c r="E52" s="3284">
        <v>106</v>
      </c>
      <c r="F52" s="3267" t="s">
        <v>1251</v>
      </c>
      <c r="G52" s="3267">
        <v>9604444138</v>
      </c>
      <c r="H52" s="3286" t="s">
        <v>1252</v>
      </c>
      <c r="I52" s="3268" t="s">
        <v>1253</v>
      </c>
      <c r="J52" s="3285" t="s">
        <v>75</v>
      </c>
      <c r="K52" s="3268" t="s">
        <v>157</v>
      </c>
      <c r="L52" s="3272" t="s">
        <v>1254</v>
      </c>
      <c r="M52" s="3287">
        <v>45631</v>
      </c>
      <c r="N52" s="3279">
        <v>207279</v>
      </c>
      <c r="O52" s="3279" t="s">
        <v>7</v>
      </c>
      <c r="P52" s="3279" t="s">
        <v>18</v>
      </c>
      <c r="Q52" s="3310">
        <v>1</v>
      </c>
      <c r="R52" s="3279">
        <v>85378473</v>
      </c>
      <c r="S52" s="3279" t="s">
        <v>1255</v>
      </c>
      <c r="T52" s="3279">
        <v>98780</v>
      </c>
      <c r="U52" s="3279" t="s">
        <v>7</v>
      </c>
      <c r="V52" s="3276">
        <v>0</v>
      </c>
      <c r="W52" s="3279" t="s">
        <v>1166</v>
      </c>
      <c r="X52" s="3279" t="s">
        <v>1166</v>
      </c>
      <c r="Y52" s="3283" t="s">
        <v>1256</v>
      </c>
      <c r="Z52" s="3105" t="s">
        <v>1166</v>
      </c>
      <c r="AA52" s="3104" t="s">
        <v>1166</v>
      </c>
      <c r="AB52" s="3048"/>
      <c r="AC52" s="3048"/>
      <c r="AD52" s="3048"/>
      <c r="AE52" s="3048"/>
      <c r="AF52" s="3048"/>
      <c r="AG52" s="3048"/>
      <c r="AH52" s="3048"/>
      <c r="AI52" s="3048"/>
      <c r="AJ52" s="3048"/>
      <c r="AK52" s="3048"/>
      <c r="AL52" s="3048"/>
      <c r="AM52" s="3048"/>
      <c r="AN52" s="3048"/>
      <c r="AO52" s="3048"/>
      <c r="AP52" s="3048"/>
      <c r="AQ52" s="3048"/>
      <c r="AR52" s="3048"/>
      <c r="AS52" s="3048"/>
      <c r="AT52" s="3048"/>
      <c r="AU52" s="3048"/>
    </row>
    <row r="53" spans="1:47">
      <c r="A53" s="3306">
        <v>47</v>
      </c>
      <c r="B53" s="3301">
        <v>45658</v>
      </c>
      <c r="C53" s="3447" t="s">
        <v>687</v>
      </c>
      <c r="D53" s="3302" t="s">
        <v>1158</v>
      </c>
      <c r="E53" s="3302" t="s">
        <v>1222</v>
      </c>
      <c r="F53" s="3303" t="s">
        <v>1257</v>
      </c>
      <c r="G53" s="3303">
        <v>9850225626</v>
      </c>
      <c r="H53" s="3314" t="s">
        <v>1258</v>
      </c>
      <c r="I53" s="3295" t="s">
        <v>1045</v>
      </c>
      <c r="J53" s="3315" t="s">
        <v>75</v>
      </c>
      <c r="K53" s="3295" t="s">
        <v>157</v>
      </c>
      <c r="L53" s="3295" t="s">
        <v>1259</v>
      </c>
      <c r="M53" s="3316" t="s">
        <v>1260</v>
      </c>
      <c r="N53" s="3306">
        <v>0</v>
      </c>
      <c r="O53" s="3306" t="s">
        <v>7</v>
      </c>
      <c r="P53" s="3306" t="s">
        <v>34</v>
      </c>
      <c r="Q53" s="3307">
        <v>0.3</v>
      </c>
      <c r="R53" s="3306" t="s">
        <v>1166</v>
      </c>
      <c r="S53" s="3306" t="s">
        <v>1166</v>
      </c>
      <c r="T53" s="3306" t="s">
        <v>1166</v>
      </c>
      <c r="U53" s="3306" t="s">
        <v>1166</v>
      </c>
      <c r="V53" s="3308">
        <v>0</v>
      </c>
      <c r="W53" s="3288" t="s">
        <v>1261</v>
      </c>
      <c r="X53" s="3306" t="s">
        <v>1166</v>
      </c>
      <c r="Y53" s="3309" t="s">
        <v>1166</v>
      </c>
      <c r="Z53" s="3105" t="s">
        <v>157</v>
      </c>
      <c r="AA53" s="3104" t="s">
        <v>1166</v>
      </c>
      <c r="AB53" s="3048"/>
      <c r="AC53" s="3048"/>
      <c r="AD53" s="3048"/>
      <c r="AE53" s="3048"/>
      <c r="AF53" s="3048"/>
      <c r="AG53" s="3048"/>
      <c r="AH53" s="3048"/>
      <c r="AI53" s="3048"/>
      <c r="AJ53" s="3048"/>
      <c r="AK53" s="3048"/>
      <c r="AL53" s="3048"/>
      <c r="AM53" s="3048"/>
      <c r="AN53" s="3048"/>
      <c r="AO53" s="3048"/>
      <c r="AP53" s="3048"/>
      <c r="AQ53" s="3048"/>
      <c r="AR53" s="3048"/>
      <c r="AS53" s="3048"/>
      <c r="AT53" s="3048"/>
      <c r="AU53" s="3048"/>
    </row>
    <row r="54" spans="1:47">
      <c r="A54" s="3279">
        <v>48</v>
      </c>
      <c r="B54" s="3287">
        <v>45658</v>
      </c>
      <c r="C54" s="3443" t="s">
        <v>755</v>
      </c>
      <c r="D54" s="3284" t="s">
        <v>1158</v>
      </c>
      <c r="E54" s="3284" t="s">
        <v>954</v>
      </c>
      <c r="F54" s="3267" t="s">
        <v>1262</v>
      </c>
      <c r="G54" s="3268">
        <v>9960460637</v>
      </c>
      <c r="H54" s="3282" t="s">
        <v>1263</v>
      </c>
      <c r="I54" s="3268" t="s">
        <v>1264</v>
      </c>
      <c r="J54" s="3280" t="s">
        <v>75</v>
      </c>
      <c r="K54" s="3268" t="s">
        <v>157</v>
      </c>
      <c r="L54" s="3268" t="s">
        <v>1265</v>
      </c>
      <c r="M54" s="3313" t="s">
        <v>1260</v>
      </c>
      <c r="N54" s="3279">
        <v>2775650</v>
      </c>
      <c r="O54" s="3279" t="s">
        <v>7</v>
      </c>
      <c r="P54" s="3279" t="s">
        <v>34</v>
      </c>
      <c r="Q54" s="3310">
        <v>1</v>
      </c>
      <c r="R54" s="3279">
        <v>4507448904</v>
      </c>
      <c r="S54" s="3279" t="s">
        <v>1266</v>
      </c>
      <c r="T54" s="3279">
        <v>2635917</v>
      </c>
      <c r="U54" s="3279" t="s">
        <v>25</v>
      </c>
      <c r="V54" s="3276">
        <v>0</v>
      </c>
      <c r="W54" s="3279" t="s">
        <v>1229</v>
      </c>
      <c r="X54" s="3279" t="s">
        <v>1166</v>
      </c>
      <c r="Y54" s="3283" t="s">
        <v>1166</v>
      </c>
      <c r="Z54" s="3108" t="s">
        <v>157</v>
      </c>
      <c r="AA54" s="3109" t="s">
        <v>157</v>
      </c>
      <c r="AB54" s="3048"/>
      <c r="AC54" s="3048"/>
      <c r="AD54" s="3048"/>
      <c r="AE54" s="3048"/>
      <c r="AF54" s="3048"/>
      <c r="AG54" s="3048"/>
      <c r="AH54" s="3048"/>
      <c r="AI54" s="3048"/>
      <c r="AJ54" s="3048"/>
      <c r="AK54" s="3048"/>
      <c r="AL54" s="3048"/>
      <c r="AM54" s="3048"/>
      <c r="AN54" s="3048"/>
      <c r="AO54" s="3048"/>
      <c r="AP54" s="3048"/>
      <c r="AQ54" s="3048"/>
      <c r="AR54" s="3048"/>
      <c r="AS54" s="3048"/>
      <c r="AT54" s="3048"/>
      <c r="AU54" s="3048"/>
    </row>
    <row r="55" spans="1:47">
      <c r="A55" s="3265">
        <v>49</v>
      </c>
      <c r="B55" s="3287">
        <v>45658</v>
      </c>
      <c r="C55" s="3443" t="s">
        <v>1267</v>
      </c>
      <c r="D55" s="3284" t="s">
        <v>304</v>
      </c>
      <c r="E55" s="3284" t="s">
        <v>1268</v>
      </c>
      <c r="F55" s="3267" t="s">
        <v>1269</v>
      </c>
      <c r="G55" s="3267">
        <v>8898945871</v>
      </c>
      <c r="H55" s="3317" t="s">
        <v>1270</v>
      </c>
      <c r="I55" s="3268" t="s">
        <v>1271</v>
      </c>
      <c r="J55" s="3280" t="s">
        <v>73</v>
      </c>
      <c r="K55" s="3268" t="s">
        <v>138</v>
      </c>
      <c r="L55" s="3268" t="s">
        <v>1272</v>
      </c>
      <c r="M55" s="3313" t="s">
        <v>1273</v>
      </c>
      <c r="N55" s="3279">
        <v>0</v>
      </c>
      <c r="O55" s="3279" t="s">
        <v>7</v>
      </c>
      <c r="P55" s="3279" t="s">
        <v>7</v>
      </c>
      <c r="Q55" s="3310">
        <v>1</v>
      </c>
      <c r="R55" s="3279" t="s">
        <v>1274</v>
      </c>
      <c r="S55" s="3279" t="s">
        <v>1275</v>
      </c>
      <c r="T55" s="3279">
        <v>0</v>
      </c>
      <c r="U55" s="3279" t="s">
        <v>7</v>
      </c>
      <c r="V55" s="3276">
        <v>0</v>
      </c>
      <c r="W55" s="3279" t="s">
        <v>1276</v>
      </c>
      <c r="X55" s="3279" t="s">
        <v>1277</v>
      </c>
      <c r="Y55" s="3283" t="s">
        <v>1278</v>
      </c>
      <c r="Z55" s="3105" t="s">
        <v>1166</v>
      </c>
      <c r="AA55" s="3104" t="s">
        <v>1166</v>
      </c>
      <c r="AB55" s="3048"/>
      <c r="AC55" s="3048"/>
      <c r="AD55" s="3048"/>
      <c r="AE55" s="3048"/>
      <c r="AF55" s="3048"/>
      <c r="AG55" s="3048"/>
      <c r="AH55" s="3048"/>
      <c r="AI55" s="3048"/>
      <c r="AJ55" s="3048"/>
      <c r="AK55" s="3048"/>
      <c r="AL55" s="3048"/>
      <c r="AM55" s="3048"/>
      <c r="AN55" s="3048"/>
      <c r="AO55" s="3048"/>
      <c r="AP55" s="3048"/>
      <c r="AQ55" s="3048"/>
      <c r="AR55" s="3048"/>
      <c r="AS55" s="3048"/>
      <c r="AT55" s="3048"/>
      <c r="AU55" s="3048"/>
    </row>
    <row r="56" spans="1:47">
      <c r="A56" s="3279">
        <v>50</v>
      </c>
      <c r="B56" s="3279" t="s">
        <v>1166</v>
      </c>
      <c r="C56" s="3443" t="s">
        <v>1267</v>
      </c>
      <c r="D56" s="3284" t="s">
        <v>304</v>
      </c>
      <c r="E56" s="3284" t="s">
        <v>1268</v>
      </c>
      <c r="F56" s="3267" t="s">
        <v>1269</v>
      </c>
      <c r="G56" s="3267">
        <v>8898945871</v>
      </c>
      <c r="H56" s="3317" t="s">
        <v>1270</v>
      </c>
      <c r="I56" s="3268" t="s">
        <v>1279</v>
      </c>
      <c r="J56" s="3280" t="s">
        <v>73</v>
      </c>
      <c r="K56" s="3268" t="s">
        <v>138</v>
      </c>
      <c r="L56" s="3272" t="s">
        <v>1272</v>
      </c>
      <c r="M56" s="3313" t="s">
        <v>1273</v>
      </c>
      <c r="N56" s="3279">
        <v>0</v>
      </c>
      <c r="O56" s="3279" t="s">
        <v>7</v>
      </c>
      <c r="P56" s="3279" t="s">
        <v>7</v>
      </c>
      <c r="Q56" s="3310">
        <v>1</v>
      </c>
      <c r="R56" s="3279" t="s">
        <v>1274</v>
      </c>
      <c r="S56" s="3279" t="s">
        <v>1275</v>
      </c>
      <c r="T56" s="3279">
        <v>0</v>
      </c>
      <c r="U56" s="3279" t="s">
        <v>7</v>
      </c>
      <c r="V56" s="3276">
        <v>0</v>
      </c>
      <c r="W56" s="3279" t="s">
        <v>1276</v>
      </c>
      <c r="X56" s="3279" t="s">
        <v>1277</v>
      </c>
      <c r="Y56" s="3283" t="s">
        <v>1278</v>
      </c>
      <c r="Z56" s="3105" t="s">
        <v>1166</v>
      </c>
      <c r="AA56" s="3104" t="s">
        <v>1166</v>
      </c>
      <c r="AB56" s="3048"/>
      <c r="AC56" s="3048"/>
      <c r="AD56" s="3048"/>
      <c r="AE56" s="3048"/>
      <c r="AF56" s="3048"/>
      <c r="AG56" s="3048"/>
      <c r="AH56" s="3048"/>
      <c r="AI56" s="3048"/>
      <c r="AJ56" s="3048"/>
      <c r="AK56" s="3048"/>
      <c r="AL56" s="3048"/>
      <c r="AM56" s="3048"/>
      <c r="AN56" s="3048"/>
      <c r="AO56" s="3048"/>
      <c r="AP56" s="3048"/>
      <c r="AQ56" s="3048"/>
      <c r="AR56" s="3048"/>
      <c r="AS56" s="3048"/>
      <c r="AT56" s="3048"/>
      <c r="AU56" s="3048"/>
    </row>
    <row r="57" spans="1:47">
      <c r="A57" s="3279">
        <v>51</v>
      </c>
      <c r="B57" s="3279" t="s">
        <v>1166</v>
      </c>
      <c r="C57" s="3443" t="s">
        <v>1267</v>
      </c>
      <c r="D57" s="3284" t="s">
        <v>304</v>
      </c>
      <c r="E57" s="3284" t="s">
        <v>1268</v>
      </c>
      <c r="F57" s="3267" t="s">
        <v>1269</v>
      </c>
      <c r="G57" s="3267">
        <v>8898945871</v>
      </c>
      <c r="H57" s="3317" t="s">
        <v>1270</v>
      </c>
      <c r="I57" s="3268" t="s">
        <v>1280</v>
      </c>
      <c r="J57" s="3280" t="s">
        <v>73</v>
      </c>
      <c r="K57" s="3268" t="s">
        <v>138</v>
      </c>
      <c r="L57" s="3268" t="s">
        <v>1272</v>
      </c>
      <c r="M57" s="3313" t="s">
        <v>1273</v>
      </c>
      <c r="N57" s="3279">
        <v>0</v>
      </c>
      <c r="O57" s="3279" t="s">
        <v>7</v>
      </c>
      <c r="P57" s="3279" t="s">
        <v>7</v>
      </c>
      <c r="Q57" s="3310">
        <v>1</v>
      </c>
      <c r="R57" s="3279" t="s">
        <v>1274</v>
      </c>
      <c r="S57" s="3279" t="s">
        <v>1275</v>
      </c>
      <c r="T57" s="3279">
        <v>0</v>
      </c>
      <c r="U57" s="3279" t="s">
        <v>7</v>
      </c>
      <c r="V57" s="3276">
        <v>0</v>
      </c>
      <c r="W57" s="3279" t="s">
        <v>1276</v>
      </c>
      <c r="X57" s="3279" t="s">
        <v>1277</v>
      </c>
      <c r="Y57" s="3283" t="s">
        <v>1278</v>
      </c>
      <c r="Z57" s="3105" t="s">
        <v>1166</v>
      </c>
      <c r="AA57" s="3104" t="s">
        <v>1166</v>
      </c>
      <c r="AB57" s="3048"/>
      <c r="AC57" s="3048"/>
      <c r="AD57" s="3048"/>
      <c r="AE57" s="3048"/>
      <c r="AF57" s="3048"/>
      <c r="AG57" s="3048"/>
      <c r="AH57" s="3048"/>
      <c r="AI57" s="3048"/>
      <c r="AJ57" s="3048"/>
      <c r="AK57" s="3048"/>
      <c r="AL57" s="3048"/>
      <c r="AM57" s="3048"/>
      <c r="AN57" s="3048"/>
      <c r="AO57" s="3048"/>
      <c r="AP57" s="3048"/>
      <c r="AQ57" s="3048"/>
      <c r="AR57" s="3048"/>
      <c r="AS57" s="3048"/>
      <c r="AT57" s="3048"/>
      <c r="AU57" s="3048"/>
    </row>
    <row r="58" spans="1:47">
      <c r="A58" s="3279">
        <v>52</v>
      </c>
      <c r="B58" s="3279" t="s">
        <v>1166</v>
      </c>
      <c r="C58" s="3443" t="s">
        <v>1267</v>
      </c>
      <c r="D58" s="3284" t="s">
        <v>304</v>
      </c>
      <c r="E58" s="3284" t="s">
        <v>1268</v>
      </c>
      <c r="F58" s="3267" t="s">
        <v>1269</v>
      </c>
      <c r="G58" s="3267">
        <v>8898945871</v>
      </c>
      <c r="H58" s="3317" t="s">
        <v>1270</v>
      </c>
      <c r="I58" s="3268" t="s">
        <v>1281</v>
      </c>
      <c r="J58" s="3280" t="s">
        <v>73</v>
      </c>
      <c r="K58" s="3268" t="s">
        <v>138</v>
      </c>
      <c r="L58" s="3268" t="s">
        <v>1272</v>
      </c>
      <c r="M58" s="3313" t="s">
        <v>1273</v>
      </c>
      <c r="N58" s="3279">
        <v>0</v>
      </c>
      <c r="O58" s="3279" t="s">
        <v>7</v>
      </c>
      <c r="P58" s="3279" t="s">
        <v>7</v>
      </c>
      <c r="Q58" s="3310">
        <v>1</v>
      </c>
      <c r="R58" s="3279" t="s">
        <v>1274</v>
      </c>
      <c r="S58" s="3279" t="s">
        <v>1275</v>
      </c>
      <c r="T58" s="3279">
        <v>0</v>
      </c>
      <c r="U58" s="3279" t="s">
        <v>7</v>
      </c>
      <c r="V58" s="3276">
        <v>0</v>
      </c>
      <c r="W58" s="3279" t="s">
        <v>1276</v>
      </c>
      <c r="X58" s="3279" t="s">
        <v>1277</v>
      </c>
      <c r="Y58" s="3283" t="s">
        <v>1278</v>
      </c>
      <c r="Z58" s="3105" t="s">
        <v>1166</v>
      </c>
      <c r="AA58" s="3104" t="s">
        <v>1166</v>
      </c>
      <c r="AB58" s="3048"/>
      <c r="AC58" s="3048"/>
      <c r="AD58" s="3048"/>
      <c r="AE58" s="3048"/>
      <c r="AF58" s="3048"/>
      <c r="AG58" s="3048"/>
      <c r="AH58" s="3048"/>
      <c r="AI58" s="3048"/>
      <c r="AJ58" s="3048"/>
      <c r="AK58" s="3048"/>
      <c r="AL58" s="3048"/>
      <c r="AM58" s="3048"/>
      <c r="AN58" s="3048"/>
      <c r="AO58" s="3048"/>
      <c r="AP58" s="3048"/>
      <c r="AQ58" s="3048"/>
      <c r="AR58" s="3048"/>
      <c r="AS58" s="3048"/>
      <c r="AT58" s="3048"/>
      <c r="AU58" s="3048"/>
    </row>
    <row r="59" spans="1:47">
      <c r="A59" s="3265">
        <v>53</v>
      </c>
      <c r="B59" s="3287">
        <v>45658</v>
      </c>
      <c r="C59" s="3443" t="s">
        <v>1267</v>
      </c>
      <c r="D59" s="3284" t="s">
        <v>304</v>
      </c>
      <c r="E59" s="3284" t="s">
        <v>1282</v>
      </c>
      <c r="F59" s="3267" t="s">
        <v>1283</v>
      </c>
      <c r="G59" s="3267">
        <v>9011049428</v>
      </c>
      <c r="H59" s="3282" t="s">
        <v>1284</v>
      </c>
      <c r="I59" s="3268" t="s">
        <v>1285</v>
      </c>
      <c r="J59" s="3280" t="s">
        <v>73</v>
      </c>
      <c r="K59" s="3268" t="s">
        <v>138</v>
      </c>
      <c r="L59" s="3268" t="s">
        <v>1286</v>
      </c>
      <c r="M59" s="3313" t="s">
        <v>1273</v>
      </c>
      <c r="N59" s="3279">
        <v>0</v>
      </c>
      <c r="O59" s="3279" t="s">
        <v>7</v>
      </c>
      <c r="P59" s="3279" t="s">
        <v>7</v>
      </c>
      <c r="Q59" s="3310">
        <v>1</v>
      </c>
      <c r="R59" s="3279" t="s">
        <v>1287</v>
      </c>
      <c r="S59" s="3279" t="s">
        <v>1275</v>
      </c>
      <c r="T59" s="3279">
        <v>0</v>
      </c>
      <c r="U59" s="3279" t="s">
        <v>7</v>
      </c>
      <c r="V59" s="3276">
        <v>0</v>
      </c>
      <c r="W59" s="3279" t="s">
        <v>1276</v>
      </c>
      <c r="X59" s="3279" t="s">
        <v>1277</v>
      </c>
      <c r="Y59" s="3283" t="s">
        <v>1278</v>
      </c>
      <c r="Z59" s="3105" t="s">
        <v>1166</v>
      </c>
      <c r="AA59" s="3104" t="s">
        <v>1166</v>
      </c>
      <c r="AB59" s="3048"/>
      <c r="AC59" s="3048"/>
      <c r="AD59" s="3048"/>
      <c r="AE59" s="3048"/>
      <c r="AF59" s="3048"/>
      <c r="AG59" s="3048"/>
      <c r="AH59" s="3048"/>
      <c r="AI59" s="3048"/>
      <c r="AJ59" s="3048"/>
      <c r="AK59" s="3048"/>
      <c r="AL59" s="3048"/>
      <c r="AM59" s="3048"/>
      <c r="AN59" s="3048"/>
      <c r="AO59" s="3048"/>
      <c r="AP59" s="3048"/>
      <c r="AQ59" s="3048"/>
      <c r="AR59" s="3048"/>
      <c r="AS59" s="3048"/>
      <c r="AT59" s="3048"/>
      <c r="AU59" s="3048"/>
    </row>
    <row r="60" spans="1:47">
      <c r="A60" s="3279">
        <v>54</v>
      </c>
      <c r="B60" s="3279" t="s">
        <v>1166</v>
      </c>
      <c r="C60" s="3443" t="s">
        <v>1267</v>
      </c>
      <c r="D60" s="3284" t="s">
        <v>304</v>
      </c>
      <c r="E60" s="3284" t="s">
        <v>1282</v>
      </c>
      <c r="F60" s="3267" t="s">
        <v>1283</v>
      </c>
      <c r="G60" s="3267">
        <v>9011049428</v>
      </c>
      <c r="H60" s="3282" t="s">
        <v>1284</v>
      </c>
      <c r="I60" s="3268" t="s">
        <v>1288</v>
      </c>
      <c r="J60" s="3280" t="s">
        <v>73</v>
      </c>
      <c r="K60" s="3268" t="s">
        <v>138</v>
      </c>
      <c r="L60" s="3272" t="s">
        <v>1286</v>
      </c>
      <c r="M60" s="3313" t="s">
        <v>1273</v>
      </c>
      <c r="N60" s="3279">
        <v>0</v>
      </c>
      <c r="O60" s="3279" t="s">
        <v>7</v>
      </c>
      <c r="P60" s="3279" t="s">
        <v>7</v>
      </c>
      <c r="Q60" s="3310">
        <v>1</v>
      </c>
      <c r="R60" s="3279" t="s">
        <v>1287</v>
      </c>
      <c r="S60" s="3279" t="s">
        <v>1275</v>
      </c>
      <c r="T60" s="3279">
        <v>0</v>
      </c>
      <c r="U60" s="3279" t="s">
        <v>7</v>
      </c>
      <c r="V60" s="3276">
        <v>0</v>
      </c>
      <c r="W60" s="3279" t="s">
        <v>1276</v>
      </c>
      <c r="X60" s="3279" t="s">
        <v>1277</v>
      </c>
      <c r="Y60" s="3283" t="s">
        <v>1278</v>
      </c>
      <c r="Z60" s="3105" t="s">
        <v>1166</v>
      </c>
      <c r="AA60" s="3104" t="s">
        <v>1166</v>
      </c>
      <c r="AB60" s="3048"/>
      <c r="AC60" s="3048"/>
      <c r="AD60" s="3048"/>
      <c r="AE60" s="3048"/>
      <c r="AF60" s="3048"/>
      <c r="AG60" s="3048"/>
      <c r="AH60" s="3048"/>
      <c r="AI60" s="3048"/>
      <c r="AJ60" s="3048"/>
      <c r="AK60" s="3048"/>
      <c r="AL60" s="3048"/>
      <c r="AM60" s="3048"/>
      <c r="AN60" s="3048"/>
      <c r="AO60" s="3048"/>
      <c r="AP60" s="3048"/>
      <c r="AQ60" s="3048"/>
      <c r="AR60" s="3048"/>
      <c r="AS60" s="3048"/>
      <c r="AT60" s="3048"/>
      <c r="AU60" s="3048"/>
    </row>
    <row r="61" spans="1:47">
      <c r="A61" s="3279">
        <v>55</v>
      </c>
      <c r="B61" s="3279" t="s">
        <v>1166</v>
      </c>
      <c r="C61" s="3443" t="s">
        <v>1267</v>
      </c>
      <c r="D61" s="3284" t="s">
        <v>304</v>
      </c>
      <c r="E61" s="3284" t="s">
        <v>1282</v>
      </c>
      <c r="F61" s="3267" t="s">
        <v>1283</v>
      </c>
      <c r="G61" s="3267">
        <v>9011049428</v>
      </c>
      <c r="H61" s="3282" t="s">
        <v>1284</v>
      </c>
      <c r="I61" s="3268" t="s">
        <v>1289</v>
      </c>
      <c r="J61" s="3280" t="s">
        <v>73</v>
      </c>
      <c r="K61" s="3268" t="s">
        <v>138</v>
      </c>
      <c r="L61" s="3268" t="s">
        <v>1286</v>
      </c>
      <c r="M61" s="3313" t="s">
        <v>1273</v>
      </c>
      <c r="N61" s="3279">
        <v>0</v>
      </c>
      <c r="O61" s="3279" t="s">
        <v>7</v>
      </c>
      <c r="P61" s="3279" t="s">
        <v>7</v>
      </c>
      <c r="Q61" s="3310">
        <v>1</v>
      </c>
      <c r="R61" s="3279" t="s">
        <v>1287</v>
      </c>
      <c r="S61" s="3279" t="s">
        <v>1275</v>
      </c>
      <c r="T61" s="3279">
        <v>0</v>
      </c>
      <c r="U61" s="3279" t="s">
        <v>7</v>
      </c>
      <c r="V61" s="3276">
        <v>0</v>
      </c>
      <c r="W61" s="3279" t="s">
        <v>1276</v>
      </c>
      <c r="X61" s="3279" t="s">
        <v>1277</v>
      </c>
      <c r="Y61" s="3283" t="s">
        <v>1278</v>
      </c>
      <c r="Z61" s="3105" t="s">
        <v>1166</v>
      </c>
      <c r="AA61" s="3104" t="s">
        <v>1166</v>
      </c>
      <c r="AB61" s="3048"/>
      <c r="AC61" s="3048"/>
      <c r="AD61" s="3048"/>
      <c r="AE61" s="3048"/>
      <c r="AF61" s="3048"/>
      <c r="AG61" s="3048"/>
      <c r="AH61" s="3048"/>
      <c r="AI61" s="3048"/>
      <c r="AJ61" s="3048"/>
      <c r="AK61" s="3048"/>
      <c r="AL61" s="3048"/>
      <c r="AM61" s="3048"/>
      <c r="AN61" s="3048"/>
      <c r="AO61" s="3048"/>
      <c r="AP61" s="3048"/>
      <c r="AQ61" s="3048"/>
      <c r="AR61" s="3048"/>
      <c r="AS61" s="3048"/>
      <c r="AT61" s="3048"/>
      <c r="AU61" s="3048"/>
    </row>
    <row r="62" spans="1:47">
      <c r="A62" s="3279">
        <v>56</v>
      </c>
      <c r="B62" s="3279" t="s">
        <v>1166</v>
      </c>
      <c r="C62" s="3443" t="s">
        <v>1267</v>
      </c>
      <c r="D62" s="3284" t="s">
        <v>304</v>
      </c>
      <c r="E62" s="3284" t="s">
        <v>1282</v>
      </c>
      <c r="F62" s="3267" t="s">
        <v>1283</v>
      </c>
      <c r="G62" s="3267">
        <v>9011049428</v>
      </c>
      <c r="H62" s="3282" t="s">
        <v>1284</v>
      </c>
      <c r="I62" s="3268" t="s">
        <v>1290</v>
      </c>
      <c r="J62" s="3280" t="s">
        <v>73</v>
      </c>
      <c r="K62" s="3268" t="s">
        <v>138</v>
      </c>
      <c r="L62" s="3272" t="s">
        <v>1286</v>
      </c>
      <c r="M62" s="3313" t="s">
        <v>1273</v>
      </c>
      <c r="N62" s="3279">
        <v>0</v>
      </c>
      <c r="O62" s="3279" t="s">
        <v>7</v>
      </c>
      <c r="P62" s="3279" t="s">
        <v>7</v>
      </c>
      <c r="Q62" s="3310">
        <v>1</v>
      </c>
      <c r="R62" s="3279" t="s">
        <v>1287</v>
      </c>
      <c r="S62" s="3279" t="s">
        <v>1275</v>
      </c>
      <c r="T62" s="3279">
        <v>0</v>
      </c>
      <c r="U62" s="3279" t="s">
        <v>7</v>
      </c>
      <c r="V62" s="3276">
        <v>0</v>
      </c>
      <c r="W62" s="3279" t="s">
        <v>1276</v>
      </c>
      <c r="X62" s="3279" t="s">
        <v>1277</v>
      </c>
      <c r="Y62" s="3283" t="s">
        <v>1278</v>
      </c>
      <c r="Z62" s="3105" t="s">
        <v>1166</v>
      </c>
      <c r="AA62" s="3104" t="s">
        <v>1166</v>
      </c>
      <c r="AB62" s="3048"/>
      <c r="AC62" s="3048"/>
      <c r="AD62" s="3048"/>
      <c r="AE62" s="3048"/>
      <c r="AF62" s="3048"/>
      <c r="AG62" s="3048"/>
      <c r="AH62" s="3048"/>
      <c r="AI62" s="3048"/>
      <c r="AJ62" s="3048"/>
      <c r="AK62" s="3048"/>
      <c r="AL62" s="3048"/>
      <c r="AM62" s="3048"/>
      <c r="AN62" s="3048"/>
      <c r="AO62" s="3048"/>
      <c r="AP62" s="3048"/>
      <c r="AQ62" s="3048"/>
      <c r="AR62" s="3048"/>
      <c r="AS62" s="3048"/>
      <c r="AT62" s="3048"/>
      <c r="AU62" s="3048"/>
    </row>
    <row r="63" spans="1:47">
      <c r="A63" s="3265">
        <v>57</v>
      </c>
      <c r="B63" s="3279" t="s">
        <v>1166</v>
      </c>
      <c r="C63" s="3443" t="s">
        <v>1267</v>
      </c>
      <c r="D63" s="3284" t="s">
        <v>304</v>
      </c>
      <c r="E63" s="3284" t="s">
        <v>1282</v>
      </c>
      <c r="F63" s="3267" t="s">
        <v>1283</v>
      </c>
      <c r="G63" s="3267">
        <v>9011049428</v>
      </c>
      <c r="H63" s="3282" t="s">
        <v>1284</v>
      </c>
      <c r="I63" s="3268" t="s">
        <v>1291</v>
      </c>
      <c r="J63" s="3280" t="s">
        <v>73</v>
      </c>
      <c r="K63" s="3268" t="s">
        <v>138</v>
      </c>
      <c r="L63" s="3268" t="s">
        <v>1286</v>
      </c>
      <c r="M63" s="3313" t="s">
        <v>1273</v>
      </c>
      <c r="N63" s="3279">
        <v>0</v>
      </c>
      <c r="O63" s="3279" t="s">
        <v>7</v>
      </c>
      <c r="P63" s="3279" t="s">
        <v>7</v>
      </c>
      <c r="Q63" s="3310">
        <v>1</v>
      </c>
      <c r="R63" s="3279" t="s">
        <v>1287</v>
      </c>
      <c r="S63" s="3279" t="s">
        <v>1275</v>
      </c>
      <c r="T63" s="3279">
        <v>0</v>
      </c>
      <c r="U63" s="3279" t="s">
        <v>7</v>
      </c>
      <c r="V63" s="3276">
        <v>0</v>
      </c>
      <c r="W63" s="3279" t="s">
        <v>1276</v>
      </c>
      <c r="X63" s="3279" t="s">
        <v>1277</v>
      </c>
      <c r="Y63" s="3283" t="s">
        <v>1278</v>
      </c>
      <c r="Z63" s="3105" t="s">
        <v>1166</v>
      </c>
      <c r="AA63" s="3104" t="s">
        <v>1166</v>
      </c>
      <c r="AB63" s="3048"/>
      <c r="AC63" s="3048"/>
      <c r="AD63" s="3048"/>
      <c r="AE63" s="3048"/>
      <c r="AF63" s="3048"/>
      <c r="AG63" s="3048"/>
      <c r="AH63" s="3048"/>
      <c r="AI63" s="3048"/>
      <c r="AJ63" s="3048"/>
      <c r="AK63" s="3048"/>
      <c r="AL63" s="3048"/>
      <c r="AM63" s="3048"/>
      <c r="AN63" s="3048"/>
      <c r="AO63" s="3048"/>
      <c r="AP63" s="3048"/>
      <c r="AQ63" s="3048"/>
      <c r="AR63" s="3048"/>
      <c r="AS63" s="3048"/>
      <c r="AT63" s="3048"/>
      <c r="AU63" s="3048"/>
    </row>
    <row r="64" spans="1:47">
      <c r="A64" s="3279">
        <v>58</v>
      </c>
      <c r="B64" s="3279" t="s">
        <v>1166</v>
      </c>
      <c r="C64" s="3443" t="s">
        <v>1267</v>
      </c>
      <c r="D64" s="3284" t="s">
        <v>304</v>
      </c>
      <c r="E64" s="3284" t="s">
        <v>1282</v>
      </c>
      <c r="F64" s="3267" t="s">
        <v>1283</v>
      </c>
      <c r="G64" s="3267">
        <v>9011049428</v>
      </c>
      <c r="H64" s="3282" t="s">
        <v>1284</v>
      </c>
      <c r="I64" s="3268" t="s">
        <v>1292</v>
      </c>
      <c r="J64" s="3280" t="s">
        <v>73</v>
      </c>
      <c r="K64" s="3268" t="s">
        <v>138</v>
      </c>
      <c r="L64" s="3268" t="s">
        <v>1286</v>
      </c>
      <c r="M64" s="3313" t="s">
        <v>1273</v>
      </c>
      <c r="N64" s="3279">
        <v>0</v>
      </c>
      <c r="O64" s="3279" t="s">
        <v>7</v>
      </c>
      <c r="P64" s="3279" t="s">
        <v>7</v>
      </c>
      <c r="Q64" s="3310">
        <v>1</v>
      </c>
      <c r="R64" s="3279" t="s">
        <v>1287</v>
      </c>
      <c r="S64" s="3279" t="s">
        <v>1275</v>
      </c>
      <c r="T64" s="3279">
        <v>0</v>
      </c>
      <c r="U64" s="3279" t="s">
        <v>7</v>
      </c>
      <c r="V64" s="3276">
        <v>0</v>
      </c>
      <c r="W64" s="3279" t="s">
        <v>1276</v>
      </c>
      <c r="X64" s="3279" t="s">
        <v>1277</v>
      </c>
      <c r="Y64" s="3283" t="s">
        <v>1278</v>
      </c>
      <c r="Z64" s="3105" t="s">
        <v>1166</v>
      </c>
      <c r="AA64" s="3104" t="s">
        <v>1166</v>
      </c>
      <c r="AB64" s="3048"/>
      <c r="AC64" s="3048"/>
      <c r="AD64" s="3048"/>
      <c r="AE64" s="3048"/>
      <c r="AF64" s="3048"/>
      <c r="AG64" s="3048"/>
      <c r="AH64" s="3048"/>
      <c r="AI64" s="3048"/>
      <c r="AJ64" s="3048"/>
      <c r="AK64" s="3048"/>
      <c r="AL64" s="3048"/>
      <c r="AM64" s="3048"/>
      <c r="AN64" s="3048"/>
      <c r="AO64" s="3048"/>
      <c r="AP64" s="3048"/>
      <c r="AQ64" s="3048"/>
      <c r="AR64" s="3048"/>
      <c r="AS64" s="3048"/>
      <c r="AT64" s="3048"/>
      <c r="AU64" s="3048"/>
    </row>
    <row r="65" spans="1:47">
      <c r="A65" s="3279">
        <v>59</v>
      </c>
      <c r="B65" s="3287">
        <v>45658</v>
      </c>
      <c r="C65" s="3443" t="s">
        <v>1157</v>
      </c>
      <c r="D65" s="3284" t="s">
        <v>1158</v>
      </c>
      <c r="E65" s="3284" t="s">
        <v>1159</v>
      </c>
      <c r="F65" s="3267" t="s">
        <v>1160</v>
      </c>
      <c r="G65" s="3281">
        <v>251674799</v>
      </c>
      <c r="H65" s="3282" t="s">
        <v>1161</v>
      </c>
      <c r="I65" s="3268" t="s">
        <v>1162</v>
      </c>
      <c r="J65" s="3280" t="s">
        <v>83</v>
      </c>
      <c r="K65" s="3268" t="s">
        <v>157</v>
      </c>
      <c r="L65" s="3268" t="s">
        <v>1293</v>
      </c>
      <c r="M65" s="3281" t="s">
        <v>1294</v>
      </c>
      <c r="N65" s="3279">
        <v>961935</v>
      </c>
      <c r="O65" s="3279" t="s">
        <v>7</v>
      </c>
      <c r="P65" s="3279" t="s">
        <v>7</v>
      </c>
      <c r="Q65" s="3310">
        <v>1</v>
      </c>
      <c r="R65" s="3265">
        <v>5700158957</v>
      </c>
      <c r="S65" s="3318">
        <v>45608</v>
      </c>
      <c r="T65" s="3265">
        <v>923457</v>
      </c>
      <c r="U65" s="3279" t="s">
        <v>7</v>
      </c>
      <c r="V65" s="3276">
        <v>0</v>
      </c>
      <c r="W65" s="3279" t="s">
        <v>1166</v>
      </c>
      <c r="X65" s="3279" t="s">
        <v>1166</v>
      </c>
      <c r="Y65" s="3283" t="s">
        <v>1295</v>
      </c>
      <c r="Z65" s="3108" t="s">
        <v>208</v>
      </c>
      <c r="AA65" s="3109" t="s">
        <v>157</v>
      </c>
      <c r="AB65" s="3048"/>
      <c r="AC65" s="3048"/>
      <c r="AD65" s="3048"/>
      <c r="AE65" s="3048"/>
      <c r="AF65" s="3048"/>
      <c r="AG65" s="3048"/>
      <c r="AH65" s="3048"/>
      <c r="AI65" s="3048"/>
      <c r="AJ65" s="3048"/>
      <c r="AK65" s="3048"/>
      <c r="AL65" s="3048"/>
      <c r="AM65" s="3048"/>
      <c r="AN65" s="3048"/>
      <c r="AO65" s="3048"/>
      <c r="AP65" s="3048"/>
      <c r="AQ65" s="3048"/>
      <c r="AR65" s="3048"/>
      <c r="AS65" s="3048"/>
      <c r="AT65" s="3048"/>
      <c r="AU65" s="3048"/>
    </row>
    <row r="66" spans="1:47">
      <c r="A66" s="3279">
        <v>60</v>
      </c>
      <c r="B66" s="3287">
        <v>45658</v>
      </c>
      <c r="C66" s="3443" t="s">
        <v>998</v>
      </c>
      <c r="D66" s="3284" t="s">
        <v>1296</v>
      </c>
      <c r="E66" s="3284" t="s">
        <v>1166</v>
      </c>
      <c r="F66" s="3267" t="s">
        <v>1297</v>
      </c>
      <c r="G66" s="3267">
        <v>7030676837</v>
      </c>
      <c r="H66" s="3319" t="s">
        <v>1298</v>
      </c>
      <c r="I66" s="3268" t="s">
        <v>1166</v>
      </c>
      <c r="J66" s="3280" t="s">
        <v>73</v>
      </c>
      <c r="K66" s="3268" t="s">
        <v>157</v>
      </c>
      <c r="L66" s="3268" t="s">
        <v>1299</v>
      </c>
      <c r="M66" s="3320">
        <v>45449</v>
      </c>
      <c r="N66" s="3279">
        <v>89000</v>
      </c>
      <c r="O66" s="3279" t="s">
        <v>7</v>
      </c>
      <c r="P66" s="3279" t="s">
        <v>7</v>
      </c>
      <c r="Q66" s="3310">
        <v>1</v>
      </c>
      <c r="R66" s="3279">
        <v>4500082807</v>
      </c>
      <c r="S66" s="3287">
        <v>45545</v>
      </c>
      <c r="T66" s="3321">
        <v>80000</v>
      </c>
      <c r="U66" s="3279" t="s">
        <v>7</v>
      </c>
      <c r="V66" s="3276">
        <v>0</v>
      </c>
      <c r="W66" s="3279" t="s">
        <v>1166</v>
      </c>
      <c r="X66" s="3279" t="s">
        <v>1166</v>
      </c>
      <c r="Y66" s="3283" t="s">
        <v>1300</v>
      </c>
      <c r="Z66" s="3105" t="s">
        <v>1166</v>
      </c>
      <c r="AA66" s="3104" t="s">
        <v>1166</v>
      </c>
      <c r="AB66" s="3048"/>
      <c r="AC66" s="3048"/>
      <c r="AD66" s="3048"/>
      <c r="AE66" s="3048"/>
      <c r="AF66" s="3048"/>
      <c r="AG66" s="3048"/>
      <c r="AH66" s="3048"/>
      <c r="AI66" s="3048"/>
      <c r="AJ66" s="3048"/>
      <c r="AK66" s="3048"/>
      <c r="AL66" s="3048"/>
      <c r="AM66" s="3048"/>
      <c r="AN66" s="3048"/>
      <c r="AO66" s="3048"/>
      <c r="AP66" s="3048"/>
      <c r="AQ66" s="3048"/>
      <c r="AR66" s="3048"/>
      <c r="AS66" s="3048"/>
      <c r="AT66" s="3048"/>
      <c r="AU66" s="3048"/>
    </row>
    <row r="67" spans="1:47">
      <c r="A67" s="3265">
        <v>61</v>
      </c>
      <c r="B67" s="3287">
        <v>45658</v>
      </c>
      <c r="C67" s="3443" t="s">
        <v>1301</v>
      </c>
      <c r="D67" s="3284" t="s">
        <v>304</v>
      </c>
      <c r="E67" s="3284" t="s">
        <v>1166</v>
      </c>
      <c r="F67" s="3269" t="s">
        <v>1302</v>
      </c>
      <c r="G67" s="3269">
        <v>9004040348</v>
      </c>
      <c r="H67" s="3322" t="s">
        <v>1303</v>
      </c>
      <c r="I67" s="3268" t="s">
        <v>1304</v>
      </c>
      <c r="J67" s="3280" t="s">
        <v>73</v>
      </c>
      <c r="K67" s="3268" t="s">
        <v>138</v>
      </c>
      <c r="L67" s="3272" t="s">
        <v>1305</v>
      </c>
      <c r="M67" s="3320">
        <v>45511</v>
      </c>
      <c r="N67" s="3279">
        <v>81000</v>
      </c>
      <c r="O67" s="3279" t="s">
        <v>7</v>
      </c>
      <c r="P67" s="3279" t="s">
        <v>7</v>
      </c>
      <c r="Q67" s="3310">
        <v>1</v>
      </c>
      <c r="R67" s="3323">
        <v>3006277654</v>
      </c>
      <c r="S67" s="3279" t="s">
        <v>1306</v>
      </c>
      <c r="T67" s="3279">
        <v>81000</v>
      </c>
      <c r="U67" s="3279" t="s">
        <v>7</v>
      </c>
      <c r="V67" s="3276">
        <v>0</v>
      </c>
      <c r="W67" s="3279" t="s">
        <v>1166</v>
      </c>
      <c r="X67" s="3279" t="s">
        <v>1166</v>
      </c>
      <c r="Y67" s="3324">
        <v>45665</v>
      </c>
      <c r="Z67" s="3105" t="s">
        <v>1166</v>
      </c>
      <c r="AA67" s="3104" t="s">
        <v>1166</v>
      </c>
      <c r="AB67" s="3048"/>
      <c r="AC67" s="3048"/>
      <c r="AD67" s="3048"/>
      <c r="AE67" s="3048"/>
      <c r="AF67" s="3048"/>
      <c r="AG67" s="3048"/>
      <c r="AH67" s="3048"/>
      <c r="AI67" s="3048"/>
      <c r="AJ67" s="3048"/>
      <c r="AK67" s="3048"/>
      <c r="AL67" s="3048"/>
      <c r="AM67" s="3048"/>
      <c r="AN67" s="3048"/>
      <c r="AO67" s="3048"/>
      <c r="AP67" s="3048"/>
      <c r="AQ67" s="3048"/>
      <c r="AR67" s="3048"/>
      <c r="AS67" s="3048"/>
      <c r="AT67" s="3048"/>
      <c r="AU67" s="3048"/>
    </row>
    <row r="68" spans="1:47">
      <c r="A68" s="3279">
        <v>62</v>
      </c>
      <c r="B68" s="3287">
        <v>45658</v>
      </c>
      <c r="C68" s="3448" t="s">
        <v>687</v>
      </c>
      <c r="D68" s="3325" t="s">
        <v>1175</v>
      </c>
      <c r="E68" s="3279" t="s">
        <v>1166</v>
      </c>
      <c r="F68" s="3325" t="s">
        <v>1307</v>
      </c>
      <c r="G68" s="3325">
        <v>9096796959</v>
      </c>
      <c r="H68" s="3326" t="s">
        <v>1308</v>
      </c>
      <c r="I68" s="3325" t="s">
        <v>1309</v>
      </c>
      <c r="J68" s="3327" t="s">
        <v>73</v>
      </c>
      <c r="K68" s="3327" t="s">
        <v>138</v>
      </c>
      <c r="L68" s="3325" t="s">
        <v>1310</v>
      </c>
      <c r="M68" s="3328">
        <v>45658</v>
      </c>
      <c r="N68" s="3279">
        <v>102168</v>
      </c>
      <c r="O68" s="3279" t="s">
        <v>7</v>
      </c>
      <c r="P68" s="3279" t="s">
        <v>7</v>
      </c>
      <c r="Q68" s="3310">
        <v>1</v>
      </c>
      <c r="R68" s="3279">
        <v>4511831616</v>
      </c>
      <c r="S68" s="3279" t="s">
        <v>1311</v>
      </c>
      <c r="T68" s="3329">
        <v>102168</v>
      </c>
      <c r="U68" s="3279" t="s">
        <v>7</v>
      </c>
      <c r="V68" s="3276">
        <v>0</v>
      </c>
      <c r="W68" s="3279" t="s">
        <v>1312</v>
      </c>
      <c r="X68" s="3279" t="s">
        <v>157</v>
      </c>
      <c r="Y68" s="3283" t="s">
        <v>1166</v>
      </c>
      <c r="Z68" s="3105" t="s">
        <v>1166</v>
      </c>
      <c r="AA68" s="3104" t="s">
        <v>1166</v>
      </c>
      <c r="AB68" s="3048"/>
      <c r="AC68" s="3048"/>
      <c r="AD68" s="3048"/>
      <c r="AE68" s="3048"/>
      <c r="AF68" s="3048"/>
      <c r="AG68" s="3048"/>
      <c r="AH68" s="3048"/>
      <c r="AI68" s="3048"/>
      <c r="AJ68" s="3048"/>
      <c r="AK68" s="3048"/>
      <c r="AL68" s="3048"/>
      <c r="AM68" s="3048"/>
      <c r="AN68" s="3048"/>
      <c r="AO68" s="3048"/>
      <c r="AP68" s="3048"/>
      <c r="AQ68" s="3048"/>
      <c r="AR68" s="3048"/>
      <c r="AS68" s="3048"/>
      <c r="AT68" s="3048"/>
      <c r="AU68" s="3048"/>
    </row>
    <row r="69" spans="1:47">
      <c r="A69" s="3279">
        <v>63</v>
      </c>
      <c r="B69" s="3279" t="s">
        <v>1166</v>
      </c>
      <c r="C69" s="3448" t="s">
        <v>687</v>
      </c>
      <c r="D69" s="3325" t="s">
        <v>1175</v>
      </c>
      <c r="E69" s="3279" t="s">
        <v>1166</v>
      </c>
      <c r="F69" s="3325" t="s">
        <v>1307</v>
      </c>
      <c r="G69" s="3325">
        <v>9096796959</v>
      </c>
      <c r="H69" s="3326" t="s">
        <v>1308</v>
      </c>
      <c r="I69" s="3325" t="s">
        <v>1313</v>
      </c>
      <c r="J69" s="3327" t="s">
        <v>73</v>
      </c>
      <c r="K69" s="3327" t="s">
        <v>138</v>
      </c>
      <c r="L69" s="3325" t="s">
        <v>1310</v>
      </c>
      <c r="M69" s="3328">
        <v>45658</v>
      </c>
      <c r="N69" s="3279">
        <v>102168</v>
      </c>
      <c r="O69" s="3279" t="s">
        <v>7</v>
      </c>
      <c r="P69" s="3279" t="s">
        <v>7</v>
      </c>
      <c r="Q69" s="3310">
        <v>1</v>
      </c>
      <c r="R69" s="3279">
        <v>4511831616</v>
      </c>
      <c r="S69" s="3279" t="s">
        <v>1311</v>
      </c>
      <c r="T69" s="3329">
        <v>102168</v>
      </c>
      <c r="U69" s="3279" t="s">
        <v>7</v>
      </c>
      <c r="V69" s="3276">
        <v>0</v>
      </c>
      <c r="W69" s="3279" t="s">
        <v>1312</v>
      </c>
      <c r="X69" s="3279" t="s">
        <v>1166</v>
      </c>
      <c r="Y69" s="3283" t="s">
        <v>1166</v>
      </c>
      <c r="Z69" s="3105" t="s">
        <v>1166</v>
      </c>
      <c r="AA69" s="3104" t="s">
        <v>1166</v>
      </c>
      <c r="AB69" s="3048"/>
      <c r="AC69" s="3048"/>
      <c r="AD69" s="3048"/>
      <c r="AE69" s="3048"/>
      <c r="AF69" s="3048"/>
      <c r="AG69" s="3048"/>
      <c r="AH69" s="3048"/>
      <c r="AI69" s="3048"/>
      <c r="AJ69" s="3048"/>
      <c r="AK69" s="3048"/>
      <c r="AL69" s="3048"/>
      <c r="AM69" s="3048"/>
      <c r="AN69" s="3048"/>
      <c r="AO69" s="3048"/>
      <c r="AP69" s="3048"/>
      <c r="AQ69" s="3048"/>
      <c r="AR69" s="3048"/>
      <c r="AS69" s="3048"/>
      <c r="AT69" s="3048"/>
      <c r="AU69" s="3048"/>
    </row>
    <row r="70" spans="1:47">
      <c r="A70" s="3279">
        <v>64</v>
      </c>
      <c r="B70" s="3279" t="s">
        <v>1166</v>
      </c>
      <c r="C70" s="3448" t="s">
        <v>687</v>
      </c>
      <c r="D70" s="3325" t="s">
        <v>1175</v>
      </c>
      <c r="E70" s="3279" t="s">
        <v>1166</v>
      </c>
      <c r="F70" s="3325" t="s">
        <v>1307</v>
      </c>
      <c r="G70" s="3325">
        <v>9096796959</v>
      </c>
      <c r="H70" s="3326" t="s">
        <v>1308</v>
      </c>
      <c r="I70" s="3325" t="s">
        <v>1314</v>
      </c>
      <c r="J70" s="3327" t="s">
        <v>73</v>
      </c>
      <c r="K70" s="3327" t="s">
        <v>138</v>
      </c>
      <c r="L70" s="3325" t="s">
        <v>1310</v>
      </c>
      <c r="M70" s="3328">
        <v>45658</v>
      </c>
      <c r="N70" s="3279">
        <v>102168</v>
      </c>
      <c r="O70" s="3279" t="s">
        <v>7</v>
      </c>
      <c r="P70" s="3279" t="s">
        <v>7</v>
      </c>
      <c r="Q70" s="3310">
        <v>1</v>
      </c>
      <c r="R70" s="3279">
        <v>4511831616</v>
      </c>
      <c r="S70" s="3279" t="s">
        <v>1311</v>
      </c>
      <c r="T70" s="3329">
        <v>102168</v>
      </c>
      <c r="U70" s="3279" t="s">
        <v>7</v>
      </c>
      <c r="V70" s="3276">
        <v>0</v>
      </c>
      <c r="W70" s="3279" t="s">
        <v>1312</v>
      </c>
      <c r="X70" s="3279" t="s">
        <v>1166</v>
      </c>
      <c r="Y70" s="3283" t="s">
        <v>1166</v>
      </c>
      <c r="Z70" s="3105" t="s">
        <v>1166</v>
      </c>
      <c r="AA70" s="3104" t="s">
        <v>1166</v>
      </c>
      <c r="AB70" s="3048"/>
      <c r="AC70" s="3048"/>
      <c r="AD70" s="3048"/>
      <c r="AE70" s="3048"/>
      <c r="AF70" s="3048"/>
      <c r="AG70" s="3048"/>
      <c r="AH70" s="3048"/>
      <c r="AI70" s="3048"/>
      <c r="AJ70" s="3048"/>
      <c r="AK70" s="3048"/>
      <c r="AL70" s="3048"/>
      <c r="AM70" s="3048"/>
      <c r="AN70" s="3048"/>
      <c r="AO70" s="3048"/>
      <c r="AP70" s="3048"/>
      <c r="AQ70" s="3048"/>
      <c r="AR70" s="3048"/>
      <c r="AS70" s="3048"/>
      <c r="AT70" s="3048"/>
      <c r="AU70" s="3048"/>
    </row>
    <row r="71" spans="1:47">
      <c r="A71" s="3265">
        <v>65</v>
      </c>
      <c r="B71" s="3287">
        <v>45659</v>
      </c>
      <c r="C71" s="3443" t="s">
        <v>1157</v>
      </c>
      <c r="D71" s="3284" t="s">
        <v>1175</v>
      </c>
      <c r="E71" s="3284" t="s">
        <v>1166</v>
      </c>
      <c r="F71" s="3268" t="s">
        <v>1315</v>
      </c>
      <c r="G71" s="3330">
        <v>8888800585</v>
      </c>
      <c r="H71" s="3331" t="s">
        <v>1316</v>
      </c>
      <c r="I71" s="3268" t="s">
        <v>1245</v>
      </c>
      <c r="J71" s="3280" t="s">
        <v>80</v>
      </c>
      <c r="K71" s="3268" t="s">
        <v>157</v>
      </c>
      <c r="L71" s="3268" t="s">
        <v>1317</v>
      </c>
      <c r="M71" s="3320">
        <v>45659</v>
      </c>
      <c r="N71" s="3279">
        <v>2346200</v>
      </c>
      <c r="O71" s="3279" t="s">
        <v>7</v>
      </c>
      <c r="P71" s="3279" t="s">
        <v>25</v>
      </c>
      <c r="Q71" s="3310">
        <v>1</v>
      </c>
      <c r="R71" s="3279" t="s">
        <v>1318</v>
      </c>
      <c r="S71" s="3279" t="s">
        <v>1319</v>
      </c>
      <c r="T71" s="3279">
        <v>2350000</v>
      </c>
      <c r="U71" s="3279" t="s">
        <v>25</v>
      </c>
      <c r="V71" s="3276">
        <v>0</v>
      </c>
      <c r="W71" s="3279" t="s">
        <v>1320</v>
      </c>
      <c r="X71" s="3279" t="s">
        <v>1166</v>
      </c>
      <c r="Y71" s="3309" t="s">
        <v>1166</v>
      </c>
      <c r="Z71" s="3105" t="s">
        <v>157</v>
      </c>
      <c r="AA71" s="3104" t="s">
        <v>157</v>
      </c>
      <c r="AB71" s="3048"/>
      <c r="AC71" s="3048"/>
      <c r="AD71" s="3048"/>
      <c r="AE71" s="3048"/>
      <c r="AF71" s="3048"/>
      <c r="AG71" s="3048"/>
      <c r="AH71" s="3048"/>
      <c r="AI71" s="3048"/>
      <c r="AJ71" s="3048"/>
      <c r="AK71" s="3048"/>
      <c r="AL71" s="3048"/>
      <c r="AM71" s="3048"/>
      <c r="AN71" s="3048"/>
      <c r="AO71" s="3048"/>
      <c r="AP71" s="3048"/>
      <c r="AQ71" s="3048"/>
      <c r="AR71" s="3048"/>
      <c r="AS71" s="3048"/>
      <c r="AT71" s="3048"/>
      <c r="AU71" s="3048"/>
    </row>
    <row r="72" spans="1:47">
      <c r="A72" s="3279">
        <v>66</v>
      </c>
      <c r="B72" s="3287">
        <v>45659</v>
      </c>
      <c r="C72" s="3443" t="s">
        <v>1157</v>
      </c>
      <c r="D72" s="3284" t="s">
        <v>1175</v>
      </c>
      <c r="E72" s="3284" t="s">
        <v>1166</v>
      </c>
      <c r="F72" s="3332" t="s">
        <v>1315</v>
      </c>
      <c r="G72" s="3333">
        <v>8888800585</v>
      </c>
      <c r="H72" s="3334" t="s">
        <v>1316</v>
      </c>
      <c r="I72" s="3268" t="s">
        <v>1245</v>
      </c>
      <c r="J72" s="3280" t="s">
        <v>80</v>
      </c>
      <c r="K72" s="3268" t="s">
        <v>157</v>
      </c>
      <c r="L72" s="3332" t="s">
        <v>1321</v>
      </c>
      <c r="M72" s="3320">
        <v>45659</v>
      </c>
      <c r="N72" s="3279">
        <v>292500</v>
      </c>
      <c r="O72" s="3279" t="s">
        <v>7</v>
      </c>
      <c r="P72" s="3279" t="s">
        <v>28</v>
      </c>
      <c r="Q72" s="3310">
        <v>1</v>
      </c>
      <c r="R72" s="3279">
        <v>4501525563</v>
      </c>
      <c r="S72" s="3279" t="s">
        <v>1322</v>
      </c>
      <c r="T72" s="3279">
        <v>292500</v>
      </c>
      <c r="U72" s="3279" t="s">
        <v>25</v>
      </c>
      <c r="V72" s="3276">
        <v>0</v>
      </c>
      <c r="W72" s="3279" t="s">
        <v>1323</v>
      </c>
      <c r="X72" s="3279" t="s">
        <v>1166</v>
      </c>
      <c r="Y72" s="3299" t="s">
        <v>1166</v>
      </c>
      <c r="Z72" s="3105" t="s">
        <v>1166</v>
      </c>
      <c r="AA72" s="3104" t="s">
        <v>1166</v>
      </c>
      <c r="AB72" s="3048"/>
      <c r="AC72" s="3048"/>
      <c r="AD72" s="3048"/>
      <c r="AE72" s="3048"/>
      <c r="AF72" s="3048"/>
      <c r="AG72" s="3048"/>
      <c r="AH72" s="3048"/>
      <c r="AI72" s="3048"/>
      <c r="AJ72" s="3048"/>
      <c r="AK72" s="3048"/>
      <c r="AL72" s="3048"/>
      <c r="AM72" s="3048"/>
      <c r="AN72" s="3048"/>
      <c r="AO72" s="3048"/>
      <c r="AP72" s="3048"/>
      <c r="AQ72" s="3048"/>
      <c r="AR72" s="3048"/>
      <c r="AS72" s="3048"/>
      <c r="AT72" s="3048"/>
      <c r="AU72" s="3048"/>
    </row>
    <row r="73" spans="1:47">
      <c r="A73" s="3279">
        <v>67</v>
      </c>
      <c r="B73" s="3287">
        <v>45659</v>
      </c>
      <c r="C73" s="3443" t="s">
        <v>733</v>
      </c>
      <c r="D73" s="3284" t="s">
        <v>304</v>
      </c>
      <c r="E73" s="3284" t="s">
        <v>1166</v>
      </c>
      <c r="F73" s="3267" t="s">
        <v>1324</v>
      </c>
      <c r="G73" s="3335">
        <v>9326387581</v>
      </c>
      <c r="H73" s="3336" t="s">
        <v>1325</v>
      </c>
      <c r="I73" s="3268" t="s">
        <v>1326</v>
      </c>
      <c r="J73" s="3280" t="s">
        <v>73</v>
      </c>
      <c r="K73" s="3268" t="s">
        <v>138</v>
      </c>
      <c r="L73" s="3268" t="s">
        <v>1327</v>
      </c>
      <c r="M73" s="3320">
        <v>45659</v>
      </c>
      <c r="N73" s="3279">
        <v>68900</v>
      </c>
      <c r="O73" s="3279" t="s">
        <v>7</v>
      </c>
      <c r="P73" s="3279" t="s">
        <v>18</v>
      </c>
      <c r="Q73" s="3310">
        <v>1</v>
      </c>
      <c r="R73" s="3279">
        <v>6000057329</v>
      </c>
      <c r="S73" s="3279" t="s">
        <v>1328</v>
      </c>
      <c r="T73" s="3279">
        <v>66144</v>
      </c>
      <c r="U73" s="3279" t="s">
        <v>7</v>
      </c>
      <c r="V73" s="3276">
        <v>0</v>
      </c>
      <c r="W73" s="3279" t="s">
        <v>1166</v>
      </c>
      <c r="X73" s="3279" t="s">
        <v>1166</v>
      </c>
      <c r="Y73" s="3283" t="s">
        <v>1166</v>
      </c>
      <c r="Z73" s="3105" t="s">
        <v>1166</v>
      </c>
      <c r="AA73" s="3104" t="s">
        <v>1166</v>
      </c>
      <c r="AB73" s="3048"/>
      <c r="AC73" s="3048"/>
      <c r="AD73" s="3048"/>
      <c r="AE73" s="3048"/>
      <c r="AF73" s="3048"/>
      <c r="AG73" s="3048"/>
      <c r="AH73" s="3048"/>
      <c r="AI73" s="3048"/>
      <c r="AJ73" s="3048"/>
      <c r="AK73" s="3048"/>
      <c r="AL73" s="3048"/>
      <c r="AM73" s="3048"/>
      <c r="AN73" s="3048"/>
      <c r="AO73" s="3048"/>
      <c r="AP73" s="3048"/>
      <c r="AQ73" s="3048"/>
      <c r="AR73" s="3048"/>
      <c r="AS73" s="3048"/>
      <c r="AT73" s="3048"/>
      <c r="AU73" s="3048"/>
    </row>
    <row r="74" spans="1:47">
      <c r="A74" s="3279">
        <v>68</v>
      </c>
      <c r="B74" s="3279" t="s">
        <v>1166</v>
      </c>
      <c r="C74" s="3443" t="s">
        <v>733</v>
      </c>
      <c r="D74" s="3284" t="s">
        <v>304</v>
      </c>
      <c r="E74" s="3284" t="s">
        <v>1166</v>
      </c>
      <c r="F74" s="3337" t="s">
        <v>1324</v>
      </c>
      <c r="G74" s="3338">
        <v>9326387581</v>
      </c>
      <c r="H74" s="3339" t="s">
        <v>1325</v>
      </c>
      <c r="I74" s="3268" t="s">
        <v>1329</v>
      </c>
      <c r="J74" s="3280" t="s">
        <v>73</v>
      </c>
      <c r="K74" s="3268" t="s">
        <v>138</v>
      </c>
      <c r="L74" s="3268" t="s">
        <v>1327</v>
      </c>
      <c r="M74" s="3320">
        <v>45659</v>
      </c>
      <c r="N74" s="3279">
        <v>68900</v>
      </c>
      <c r="O74" s="3279" t="s">
        <v>7</v>
      </c>
      <c r="P74" s="3279" t="s">
        <v>18</v>
      </c>
      <c r="Q74" s="3310">
        <v>1</v>
      </c>
      <c r="R74" s="3279">
        <v>6000057329</v>
      </c>
      <c r="S74" s="3279" t="s">
        <v>1328</v>
      </c>
      <c r="T74" s="3279">
        <v>66144</v>
      </c>
      <c r="U74" s="3279" t="s">
        <v>7</v>
      </c>
      <c r="V74" s="3276">
        <v>0</v>
      </c>
      <c r="W74" s="3279" t="s">
        <v>1166</v>
      </c>
      <c r="X74" s="3279" t="s">
        <v>1166</v>
      </c>
      <c r="Y74" s="3283" t="s">
        <v>1166</v>
      </c>
      <c r="Z74" s="3105" t="s">
        <v>1166</v>
      </c>
      <c r="AA74" s="3104" t="s">
        <v>1166</v>
      </c>
      <c r="AB74" s="3048"/>
      <c r="AC74" s="3048"/>
      <c r="AD74" s="3048"/>
      <c r="AE74" s="3048"/>
      <c r="AF74" s="3048"/>
      <c r="AG74" s="3048"/>
      <c r="AH74" s="3048"/>
      <c r="AI74" s="3048"/>
      <c r="AJ74" s="3048"/>
      <c r="AK74" s="3048"/>
      <c r="AL74" s="3048"/>
      <c r="AM74" s="3048"/>
      <c r="AN74" s="3048"/>
      <c r="AO74" s="3048"/>
      <c r="AP74" s="3048"/>
      <c r="AQ74" s="3048"/>
      <c r="AR74" s="3048"/>
      <c r="AS74" s="3048"/>
      <c r="AT74" s="3048"/>
      <c r="AU74" s="3048"/>
    </row>
    <row r="75" spans="1:47">
      <c r="A75" s="3265">
        <v>69</v>
      </c>
      <c r="B75" s="3279" t="s">
        <v>1166</v>
      </c>
      <c r="C75" s="3443" t="s">
        <v>733</v>
      </c>
      <c r="D75" s="3284" t="s">
        <v>304</v>
      </c>
      <c r="E75" s="3284" t="s">
        <v>1166</v>
      </c>
      <c r="F75" s="3337" t="s">
        <v>1324</v>
      </c>
      <c r="G75" s="3338">
        <v>9326387581</v>
      </c>
      <c r="H75" s="3339" t="s">
        <v>1325</v>
      </c>
      <c r="I75" s="3268" t="s">
        <v>736</v>
      </c>
      <c r="J75" s="3280" t="s">
        <v>73</v>
      </c>
      <c r="K75" s="3268" t="s">
        <v>138</v>
      </c>
      <c r="L75" s="3268" t="s">
        <v>1327</v>
      </c>
      <c r="M75" s="3320">
        <v>45659</v>
      </c>
      <c r="N75" s="3279">
        <v>68900</v>
      </c>
      <c r="O75" s="3279" t="s">
        <v>7</v>
      </c>
      <c r="P75" s="3279" t="s">
        <v>18</v>
      </c>
      <c r="Q75" s="3310">
        <v>1</v>
      </c>
      <c r="R75" s="3279">
        <v>6000057329</v>
      </c>
      <c r="S75" s="3279" t="s">
        <v>1328</v>
      </c>
      <c r="T75" s="3279">
        <v>66144</v>
      </c>
      <c r="U75" s="3279" t="s">
        <v>7</v>
      </c>
      <c r="V75" s="3276">
        <v>0</v>
      </c>
      <c r="W75" s="3279" t="s">
        <v>1166</v>
      </c>
      <c r="X75" s="3279" t="s">
        <v>1166</v>
      </c>
      <c r="Y75" s="3283" t="s">
        <v>1166</v>
      </c>
      <c r="Z75" s="3105" t="s">
        <v>1166</v>
      </c>
      <c r="AA75" s="3104" t="s">
        <v>1166</v>
      </c>
      <c r="AB75" s="3048"/>
      <c r="AC75" s="3048"/>
      <c r="AD75" s="3048"/>
      <c r="AE75" s="3048"/>
      <c r="AF75" s="3048"/>
      <c r="AG75" s="3048"/>
      <c r="AH75" s="3048"/>
      <c r="AI75" s="3048"/>
      <c r="AJ75" s="3048"/>
      <c r="AK75" s="3048"/>
      <c r="AL75" s="3048"/>
      <c r="AM75" s="3048"/>
      <c r="AN75" s="3048"/>
      <c r="AO75" s="3048"/>
      <c r="AP75" s="3048"/>
      <c r="AQ75" s="3048"/>
      <c r="AR75" s="3048"/>
      <c r="AS75" s="3048"/>
      <c r="AT75" s="3048"/>
      <c r="AU75" s="3048"/>
    </row>
    <row r="76" spans="1:47">
      <c r="A76" s="3279">
        <v>70</v>
      </c>
      <c r="B76" s="3279" t="s">
        <v>1166</v>
      </c>
      <c r="C76" s="3443" t="s">
        <v>733</v>
      </c>
      <c r="D76" s="3284" t="s">
        <v>304</v>
      </c>
      <c r="E76" s="3284" t="s">
        <v>1166</v>
      </c>
      <c r="F76" s="3337" t="s">
        <v>1324</v>
      </c>
      <c r="G76" s="3338">
        <v>9326387581</v>
      </c>
      <c r="H76" s="3339" t="s">
        <v>1325</v>
      </c>
      <c r="I76" s="3268" t="s">
        <v>1330</v>
      </c>
      <c r="J76" s="3280" t="s">
        <v>73</v>
      </c>
      <c r="K76" s="3268" t="s">
        <v>138</v>
      </c>
      <c r="L76" s="3268" t="s">
        <v>1327</v>
      </c>
      <c r="M76" s="3320">
        <v>45659</v>
      </c>
      <c r="N76" s="3279">
        <v>68900</v>
      </c>
      <c r="O76" s="3279" t="s">
        <v>7</v>
      </c>
      <c r="P76" s="3279" t="s">
        <v>18</v>
      </c>
      <c r="Q76" s="3310">
        <v>1</v>
      </c>
      <c r="R76" s="3279">
        <v>6000057329</v>
      </c>
      <c r="S76" s="3279" t="s">
        <v>1328</v>
      </c>
      <c r="T76" s="3279">
        <v>66144</v>
      </c>
      <c r="U76" s="3279" t="s">
        <v>7</v>
      </c>
      <c r="V76" s="3276">
        <v>0</v>
      </c>
      <c r="W76" s="3279" t="s">
        <v>1166</v>
      </c>
      <c r="X76" s="3279" t="s">
        <v>1166</v>
      </c>
      <c r="Y76" s="3283" t="s">
        <v>1166</v>
      </c>
      <c r="Z76" s="3105" t="s">
        <v>1166</v>
      </c>
      <c r="AA76" s="3104" t="s">
        <v>1166</v>
      </c>
      <c r="AB76" s="3048"/>
      <c r="AC76" s="3048"/>
      <c r="AD76" s="3048"/>
      <c r="AE76" s="3048"/>
      <c r="AF76" s="3048"/>
      <c r="AG76" s="3048"/>
      <c r="AH76" s="3048"/>
      <c r="AI76" s="3048"/>
      <c r="AJ76" s="3048"/>
      <c r="AK76" s="3048"/>
      <c r="AL76" s="3048"/>
      <c r="AM76" s="3048"/>
      <c r="AN76" s="3048"/>
      <c r="AO76" s="3048"/>
      <c r="AP76" s="3048"/>
      <c r="AQ76" s="3048"/>
      <c r="AR76" s="3048"/>
      <c r="AS76" s="3048"/>
      <c r="AT76" s="3048"/>
      <c r="AU76" s="3048"/>
    </row>
    <row r="77" spans="1:47">
      <c r="A77" s="3279">
        <v>71</v>
      </c>
      <c r="B77" s="3287">
        <v>45659</v>
      </c>
      <c r="C77" s="3443" t="s">
        <v>1250</v>
      </c>
      <c r="D77" s="3284" t="s">
        <v>1158</v>
      </c>
      <c r="E77" s="3284" t="s">
        <v>1331</v>
      </c>
      <c r="F77" s="3267" t="s">
        <v>1332</v>
      </c>
      <c r="G77" s="3330">
        <v>9823395295</v>
      </c>
      <c r="H77" s="3336" t="s">
        <v>1333</v>
      </c>
      <c r="I77" s="3268" t="s">
        <v>1334</v>
      </c>
      <c r="J77" s="3280" t="s">
        <v>73</v>
      </c>
      <c r="K77" s="3268" t="s">
        <v>138</v>
      </c>
      <c r="L77" s="3268" t="s">
        <v>1335</v>
      </c>
      <c r="M77" s="3320">
        <v>45659</v>
      </c>
      <c r="N77" s="3279">
        <v>73500</v>
      </c>
      <c r="O77" s="3279" t="s">
        <v>7</v>
      </c>
      <c r="P77" s="3279" t="s">
        <v>25</v>
      </c>
      <c r="Q77" s="3310">
        <v>1</v>
      </c>
      <c r="R77" s="3279">
        <v>85385903</v>
      </c>
      <c r="S77" s="3279" t="s">
        <v>1336</v>
      </c>
      <c r="T77" s="3279">
        <v>73500</v>
      </c>
      <c r="U77" s="3279" t="s">
        <v>18</v>
      </c>
      <c r="V77" s="3276">
        <v>0</v>
      </c>
      <c r="W77" s="3279" t="s">
        <v>1166</v>
      </c>
      <c r="X77" s="3279" t="s">
        <v>1166</v>
      </c>
      <c r="Y77" s="3283" t="s">
        <v>1166</v>
      </c>
      <c r="Z77" s="3105" t="s">
        <v>1166</v>
      </c>
      <c r="AA77" s="3104" t="s">
        <v>1166</v>
      </c>
      <c r="AB77" s="3048"/>
      <c r="AC77" s="3048"/>
      <c r="AD77" s="3048"/>
      <c r="AE77" s="3048"/>
      <c r="AF77" s="3048"/>
      <c r="AG77" s="3048"/>
      <c r="AH77" s="3048"/>
      <c r="AI77" s="3048"/>
      <c r="AJ77" s="3048"/>
      <c r="AK77" s="3048"/>
      <c r="AL77" s="3048"/>
      <c r="AM77" s="3048"/>
      <c r="AN77" s="3048"/>
      <c r="AO77" s="3048"/>
      <c r="AP77" s="3048"/>
      <c r="AQ77" s="3048"/>
      <c r="AR77" s="3048"/>
      <c r="AS77" s="3048"/>
      <c r="AT77" s="3048"/>
      <c r="AU77" s="3048"/>
    </row>
    <row r="78" spans="1:47">
      <c r="A78" s="3279">
        <v>72</v>
      </c>
      <c r="B78" s="3279" t="s">
        <v>1166</v>
      </c>
      <c r="C78" s="3443" t="s">
        <v>1250</v>
      </c>
      <c r="D78" s="3284" t="s">
        <v>1158</v>
      </c>
      <c r="E78" s="3284" t="s">
        <v>1337</v>
      </c>
      <c r="F78" s="3337" t="s">
        <v>1332</v>
      </c>
      <c r="G78" s="3333">
        <v>9823395295</v>
      </c>
      <c r="H78" s="3339" t="s">
        <v>1333</v>
      </c>
      <c r="I78" s="3268">
        <v>101001594</v>
      </c>
      <c r="J78" s="3280" t="s">
        <v>73</v>
      </c>
      <c r="K78" s="3268" t="s">
        <v>138</v>
      </c>
      <c r="L78" s="3268" t="s">
        <v>1335</v>
      </c>
      <c r="M78" s="3320">
        <v>45659</v>
      </c>
      <c r="N78" s="3279">
        <v>73500</v>
      </c>
      <c r="O78" s="3279" t="s">
        <v>7</v>
      </c>
      <c r="P78" s="3279" t="s">
        <v>25</v>
      </c>
      <c r="Q78" s="3310">
        <v>1</v>
      </c>
      <c r="R78" s="3279">
        <v>85385903</v>
      </c>
      <c r="S78" s="3279" t="s">
        <v>1336</v>
      </c>
      <c r="T78" s="3279">
        <v>73500</v>
      </c>
      <c r="U78" s="3279" t="s">
        <v>18</v>
      </c>
      <c r="V78" s="3276">
        <v>0</v>
      </c>
      <c r="W78" s="3279" t="s">
        <v>1166</v>
      </c>
      <c r="X78" s="3279" t="s">
        <v>1166</v>
      </c>
      <c r="Y78" s="3283" t="s">
        <v>1166</v>
      </c>
      <c r="Z78" s="3105" t="s">
        <v>1166</v>
      </c>
      <c r="AA78" s="3104" t="s">
        <v>1166</v>
      </c>
      <c r="AB78" s="3048"/>
      <c r="AC78" s="3048"/>
      <c r="AD78" s="3048"/>
      <c r="AE78" s="3048"/>
      <c r="AF78" s="3048"/>
      <c r="AG78" s="3048"/>
      <c r="AH78" s="3048"/>
      <c r="AI78" s="3048"/>
      <c r="AJ78" s="3048"/>
      <c r="AK78" s="3048"/>
      <c r="AL78" s="3048"/>
      <c r="AM78" s="3048"/>
      <c r="AN78" s="3048"/>
      <c r="AO78" s="3048"/>
      <c r="AP78" s="3048"/>
      <c r="AQ78" s="3048"/>
      <c r="AR78" s="3048"/>
      <c r="AS78" s="3048"/>
      <c r="AT78" s="3048"/>
      <c r="AU78" s="3048"/>
    </row>
    <row r="79" spans="1:47">
      <c r="A79" s="3265">
        <v>73</v>
      </c>
      <c r="B79" s="3287">
        <v>45658</v>
      </c>
      <c r="C79" s="3442" t="s">
        <v>687</v>
      </c>
      <c r="D79" s="3280" t="s">
        <v>304</v>
      </c>
      <c r="E79" s="3284" t="s">
        <v>1338</v>
      </c>
      <c r="F79" s="3269" t="s">
        <v>1339</v>
      </c>
      <c r="G79" s="3269">
        <v>9422906585</v>
      </c>
      <c r="H79" s="3340" t="s">
        <v>1340</v>
      </c>
      <c r="I79" s="3268" t="s">
        <v>1341</v>
      </c>
      <c r="J79" s="3280" t="s">
        <v>73</v>
      </c>
      <c r="K79" s="3268" t="s">
        <v>138</v>
      </c>
      <c r="L79" s="3268" t="s">
        <v>1342</v>
      </c>
      <c r="M79" s="3341">
        <v>45659</v>
      </c>
      <c r="N79" s="3279">
        <v>73063</v>
      </c>
      <c r="O79" s="3279" t="s">
        <v>7</v>
      </c>
      <c r="P79" s="3279" t="s">
        <v>18</v>
      </c>
      <c r="Q79" s="3310">
        <v>1</v>
      </c>
      <c r="R79" s="3279">
        <v>9708949653</v>
      </c>
      <c r="S79" s="3279" t="s">
        <v>1343</v>
      </c>
      <c r="T79" s="3279">
        <v>73063</v>
      </c>
      <c r="U79" s="3279" t="s">
        <v>7</v>
      </c>
      <c r="V79" s="3276">
        <v>0</v>
      </c>
      <c r="W79" s="3279" t="s">
        <v>1166</v>
      </c>
      <c r="X79" s="3279" t="s">
        <v>1166</v>
      </c>
      <c r="Y79" s="3283" t="s">
        <v>1166</v>
      </c>
      <c r="Z79" s="3105" t="s">
        <v>1166</v>
      </c>
      <c r="AA79" s="3104" t="s">
        <v>1166</v>
      </c>
      <c r="AB79" s="3048"/>
      <c r="AC79" s="3048"/>
      <c r="AD79" s="3048"/>
      <c r="AE79" s="3048"/>
      <c r="AF79" s="3048"/>
      <c r="AG79" s="3048"/>
      <c r="AH79" s="3048"/>
      <c r="AI79" s="3048"/>
      <c r="AJ79" s="3048"/>
      <c r="AK79" s="3048"/>
      <c r="AL79" s="3048"/>
      <c r="AM79" s="3048"/>
      <c r="AN79" s="3048"/>
      <c r="AO79" s="3048"/>
      <c r="AP79" s="3048"/>
      <c r="AQ79" s="3048"/>
      <c r="AR79" s="3048"/>
      <c r="AS79" s="3048"/>
      <c r="AT79" s="3048"/>
      <c r="AU79" s="3048"/>
    </row>
    <row r="80" spans="1:47">
      <c r="A80" s="3279">
        <v>74</v>
      </c>
      <c r="B80" s="3279" t="s">
        <v>1166</v>
      </c>
      <c r="C80" s="3442" t="s">
        <v>687</v>
      </c>
      <c r="D80" s="3280" t="s">
        <v>304</v>
      </c>
      <c r="E80" s="3284" t="s">
        <v>1338</v>
      </c>
      <c r="F80" s="3267" t="s">
        <v>1339</v>
      </c>
      <c r="G80" s="3267">
        <v>9422906585</v>
      </c>
      <c r="H80" s="3286" t="s">
        <v>1340</v>
      </c>
      <c r="I80" s="3268" t="s">
        <v>1344</v>
      </c>
      <c r="J80" s="3280" t="s">
        <v>73</v>
      </c>
      <c r="K80" s="3268" t="s">
        <v>138</v>
      </c>
      <c r="L80" s="3268" t="s">
        <v>1342</v>
      </c>
      <c r="M80" s="3341">
        <v>45659</v>
      </c>
      <c r="N80" s="3279">
        <v>73063</v>
      </c>
      <c r="O80" s="3279" t="s">
        <v>7</v>
      </c>
      <c r="P80" s="3279" t="s">
        <v>18</v>
      </c>
      <c r="Q80" s="3310">
        <v>1</v>
      </c>
      <c r="R80" s="3279">
        <v>9708949653</v>
      </c>
      <c r="S80" s="3279" t="s">
        <v>1343</v>
      </c>
      <c r="T80" s="3279">
        <v>73063</v>
      </c>
      <c r="U80" s="3279" t="s">
        <v>7</v>
      </c>
      <c r="V80" s="3276">
        <v>0</v>
      </c>
      <c r="W80" s="3279" t="s">
        <v>1166</v>
      </c>
      <c r="X80" s="3279" t="s">
        <v>1166</v>
      </c>
      <c r="Y80" s="3283" t="s">
        <v>1166</v>
      </c>
      <c r="Z80" s="3105" t="s">
        <v>1166</v>
      </c>
      <c r="AA80" s="3104" t="s">
        <v>1166</v>
      </c>
      <c r="AB80" s="3048"/>
      <c r="AC80" s="3048"/>
      <c r="AD80" s="3048"/>
      <c r="AE80" s="3048"/>
      <c r="AF80" s="3048"/>
      <c r="AG80" s="3048"/>
      <c r="AH80" s="3048"/>
      <c r="AI80" s="3048"/>
      <c r="AJ80" s="3048"/>
      <c r="AK80" s="3048"/>
      <c r="AL80" s="3048"/>
      <c r="AM80" s="3048"/>
      <c r="AN80" s="3048"/>
      <c r="AO80" s="3048"/>
      <c r="AP80" s="3048"/>
      <c r="AQ80" s="3048"/>
      <c r="AR80" s="3048"/>
      <c r="AS80" s="3048"/>
      <c r="AT80" s="3048"/>
      <c r="AU80" s="3048"/>
    </row>
    <row r="81" spans="1:214">
      <c r="A81" s="3279">
        <v>75</v>
      </c>
      <c r="B81" s="3279" t="s">
        <v>1166</v>
      </c>
      <c r="C81" s="3443" t="s">
        <v>687</v>
      </c>
      <c r="D81" s="3284" t="s">
        <v>304</v>
      </c>
      <c r="E81" s="3284" t="s">
        <v>1338</v>
      </c>
      <c r="F81" s="3269" t="s">
        <v>1339</v>
      </c>
      <c r="G81" s="3269">
        <v>9422906585</v>
      </c>
      <c r="H81" s="3340" t="s">
        <v>1340</v>
      </c>
      <c r="I81" s="3268" t="s">
        <v>1345</v>
      </c>
      <c r="J81" s="3285" t="s">
        <v>73</v>
      </c>
      <c r="K81" s="3268" t="s">
        <v>138</v>
      </c>
      <c r="L81" s="3268" t="s">
        <v>1342</v>
      </c>
      <c r="M81" s="3341">
        <v>45659</v>
      </c>
      <c r="N81" s="3279">
        <v>73063</v>
      </c>
      <c r="O81" s="3279" t="s">
        <v>7</v>
      </c>
      <c r="P81" s="3279" t="s">
        <v>18</v>
      </c>
      <c r="Q81" s="3310">
        <v>1</v>
      </c>
      <c r="R81" s="3279">
        <v>9708949653</v>
      </c>
      <c r="S81" s="3279" t="s">
        <v>1343</v>
      </c>
      <c r="T81" s="3279">
        <v>73063</v>
      </c>
      <c r="U81" s="3279" t="s">
        <v>7</v>
      </c>
      <c r="V81" s="3276">
        <v>0</v>
      </c>
      <c r="W81" s="3279" t="s">
        <v>1166</v>
      </c>
      <c r="X81" s="3279" t="s">
        <v>1166</v>
      </c>
      <c r="Y81" s="3283" t="s">
        <v>1166</v>
      </c>
      <c r="Z81" s="3105" t="s">
        <v>1166</v>
      </c>
      <c r="AA81" s="3104" t="s">
        <v>1166</v>
      </c>
      <c r="AB81" s="3048"/>
      <c r="AC81" s="3048"/>
      <c r="AD81" s="3048"/>
      <c r="AE81" s="3048"/>
      <c r="AF81" s="3048"/>
      <c r="AG81" s="3048"/>
      <c r="AH81" s="3048"/>
      <c r="AI81" s="3048"/>
      <c r="AJ81" s="3048"/>
      <c r="AK81" s="3048"/>
      <c r="AL81" s="3048"/>
      <c r="AM81" s="3048"/>
      <c r="AN81" s="3048"/>
      <c r="AO81" s="3048"/>
      <c r="AP81" s="3048"/>
      <c r="AQ81" s="3048"/>
      <c r="AR81" s="3048"/>
      <c r="AS81" s="3048"/>
      <c r="AT81" s="3048"/>
      <c r="AU81" s="3048"/>
    </row>
    <row r="82" spans="1:214">
      <c r="A82" s="3279">
        <v>76</v>
      </c>
      <c r="B82" s="3279" t="s">
        <v>1166</v>
      </c>
      <c r="C82" s="3443" t="s">
        <v>687</v>
      </c>
      <c r="D82" s="3284" t="s">
        <v>304</v>
      </c>
      <c r="E82" s="3284" t="s">
        <v>1338</v>
      </c>
      <c r="F82" s="3267" t="s">
        <v>1339</v>
      </c>
      <c r="G82" s="3267">
        <v>9422906585</v>
      </c>
      <c r="H82" s="3286" t="s">
        <v>1340</v>
      </c>
      <c r="I82" s="3268" t="s">
        <v>1346</v>
      </c>
      <c r="J82" s="3285" t="s">
        <v>73</v>
      </c>
      <c r="K82" s="3268" t="s">
        <v>138</v>
      </c>
      <c r="L82" s="3268" t="s">
        <v>1342</v>
      </c>
      <c r="M82" s="3341">
        <v>45659</v>
      </c>
      <c r="N82" s="3279">
        <v>73063</v>
      </c>
      <c r="O82" s="3279" t="s">
        <v>7</v>
      </c>
      <c r="P82" s="3279" t="s">
        <v>18</v>
      </c>
      <c r="Q82" s="3310">
        <v>1</v>
      </c>
      <c r="R82" s="3279">
        <v>9708949653</v>
      </c>
      <c r="S82" s="3279" t="s">
        <v>1343</v>
      </c>
      <c r="T82" s="3279">
        <v>73063</v>
      </c>
      <c r="U82" s="3279" t="s">
        <v>7</v>
      </c>
      <c r="V82" s="3276">
        <v>0</v>
      </c>
      <c r="W82" s="3279" t="s">
        <v>1166</v>
      </c>
      <c r="X82" s="3279" t="s">
        <v>1166</v>
      </c>
      <c r="Y82" s="3283" t="s">
        <v>1166</v>
      </c>
      <c r="Z82" s="3105" t="s">
        <v>1166</v>
      </c>
      <c r="AA82" s="3104" t="s">
        <v>1166</v>
      </c>
      <c r="AB82" s="3048"/>
      <c r="AC82" s="3048"/>
      <c r="AD82" s="3048"/>
      <c r="AE82" s="3048"/>
      <c r="AF82" s="3048"/>
      <c r="AG82" s="3048"/>
      <c r="AH82" s="3048"/>
      <c r="AI82" s="3048"/>
      <c r="AJ82" s="3048"/>
      <c r="AK82" s="3048"/>
      <c r="AL82" s="3048"/>
      <c r="AM82" s="3048"/>
      <c r="AN82" s="3048"/>
      <c r="AO82" s="3048"/>
      <c r="AP82" s="3048"/>
      <c r="AQ82" s="3048"/>
      <c r="AR82" s="3048"/>
      <c r="AS82" s="3048"/>
      <c r="AT82" s="3048"/>
      <c r="AU82" s="3048"/>
    </row>
    <row r="83" spans="1:214">
      <c r="A83" s="3265">
        <v>77</v>
      </c>
      <c r="B83" s="3287">
        <v>45668</v>
      </c>
      <c r="C83" s="3443" t="s">
        <v>687</v>
      </c>
      <c r="D83" s="3284" t="s">
        <v>1175</v>
      </c>
      <c r="E83" s="3284" t="s">
        <v>1166</v>
      </c>
      <c r="F83" s="3325" t="s">
        <v>1307</v>
      </c>
      <c r="G83" s="3325">
        <v>9096796959</v>
      </c>
      <c r="H83" s="3326" t="s">
        <v>1308</v>
      </c>
      <c r="I83" s="3268" t="s">
        <v>1309</v>
      </c>
      <c r="J83" s="3285" t="s">
        <v>75</v>
      </c>
      <c r="K83" s="3268" t="s">
        <v>157</v>
      </c>
      <c r="L83" s="3268" t="s">
        <v>1347</v>
      </c>
      <c r="M83" s="3320">
        <v>45668</v>
      </c>
      <c r="N83" s="3279">
        <v>256700</v>
      </c>
      <c r="O83" s="3279" t="s">
        <v>7</v>
      </c>
      <c r="P83" s="3279" t="s">
        <v>25</v>
      </c>
      <c r="Q83" s="3310">
        <v>1</v>
      </c>
      <c r="R83" s="3283">
        <v>9709012590</v>
      </c>
      <c r="S83" s="3283" t="s">
        <v>1348</v>
      </c>
      <c r="T83" s="3279">
        <v>246432</v>
      </c>
      <c r="U83" s="3279" t="s">
        <v>18</v>
      </c>
      <c r="V83" s="3276">
        <v>0</v>
      </c>
      <c r="W83" s="3279" t="s">
        <v>1166</v>
      </c>
      <c r="X83" s="3279" t="s">
        <v>1166</v>
      </c>
      <c r="Y83" s="3283" t="s">
        <v>1166</v>
      </c>
      <c r="Z83" s="3105" t="s">
        <v>1166</v>
      </c>
      <c r="AA83" s="3104" t="s">
        <v>1166</v>
      </c>
      <c r="AB83" s="3048"/>
      <c r="AC83" s="3048"/>
      <c r="AD83" s="3048"/>
      <c r="AE83" s="3048"/>
      <c r="AF83" s="3048"/>
      <c r="AG83" s="3048"/>
      <c r="AH83" s="3048"/>
      <c r="AI83" s="3048"/>
      <c r="AJ83" s="3048"/>
      <c r="AK83" s="3048"/>
      <c r="AL83" s="3048"/>
      <c r="AM83" s="3048"/>
      <c r="AN83" s="3048"/>
      <c r="AO83" s="3048"/>
      <c r="AP83" s="3048"/>
      <c r="AQ83" s="3048"/>
      <c r="AR83" s="3048"/>
      <c r="AS83" s="3048"/>
      <c r="AT83" s="3048"/>
      <c r="AU83" s="3048"/>
    </row>
    <row r="84" spans="1:214">
      <c r="A84" s="3288">
        <v>78</v>
      </c>
      <c r="B84" s="3288" t="s">
        <v>1349</v>
      </c>
      <c r="C84" s="3445" t="s">
        <v>1350</v>
      </c>
      <c r="D84" s="3290" t="s">
        <v>1158</v>
      </c>
      <c r="E84" s="3290" t="s">
        <v>1166</v>
      </c>
      <c r="F84" s="3290" t="s">
        <v>1351</v>
      </c>
      <c r="G84" s="3290">
        <v>9623101254</v>
      </c>
      <c r="H84" s="3342" t="s">
        <v>1352</v>
      </c>
      <c r="I84" s="3293" t="s">
        <v>1353</v>
      </c>
      <c r="J84" s="3343" t="s">
        <v>77</v>
      </c>
      <c r="K84" s="3293" t="s">
        <v>138</v>
      </c>
      <c r="L84" s="3293" t="s">
        <v>1354</v>
      </c>
      <c r="M84" s="3344" t="s">
        <v>1355</v>
      </c>
      <c r="N84" s="3288">
        <v>0</v>
      </c>
      <c r="O84" s="3288" t="s">
        <v>7</v>
      </c>
      <c r="P84" s="3288" t="s">
        <v>28</v>
      </c>
      <c r="Q84" s="3297">
        <v>0.3</v>
      </c>
      <c r="R84" s="3288" t="s">
        <v>1166</v>
      </c>
      <c r="S84" s="3288" t="s">
        <v>1166</v>
      </c>
      <c r="T84" s="3288" t="s">
        <v>1166</v>
      </c>
      <c r="U84" s="3288" t="s">
        <v>1166</v>
      </c>
      <c r="V84" s="3298">
        <v>0</v>
      </c>
      <c r="W84" s="3288" t="s">
        <v>1261</v>
      </c>
      <c r="X84" s="3306" t="s">
        <v>1166</v>
      </c>
      <c r="Y84" s="3309" t="s">
        <v>1166</v>
      </c>
      <c r="Z84" s="3105" t="s">
        <v>1166</v>
      </c>
      <c r="AA84" s="3104" t="s">
        <v>1166</v>
      </c>
      <c r="AB84" s="3048"/>
      <c r="AC84" s="3048"/>
      <c r="AD84" s="3048"/>
      <c r="AE84" s="3048"/>
      <c r="AF84" s="3048"/>
      <c r="AG84" s="3048"/>
      <c r="AH84" s="3048"/>
      <c r="AI84" s="3048"/>
      <c r="AJ84" s="3048"/>
      <c r="AK84" s="3048"/>
      <c r="AL84" s="3048"/>
      <c r="AM84" s="3048"/>
      <c r="AN84" s="3048"/>
      <c r="AO84" s="3048"/>
      <c r="AP84" s="3048"/>
      <c r="AQ84" s="3048"/>
      <c r="AR84" s="3048"/>
      <c r="AS84" s="3048"/>
      <c r="AT84" s="3048"/>
      <c r="AU84" s="3048"/>
    </row>
    <row r="85" spans="1:214">
      <c r="A85" s="3279">
        <v>79</v>
      </c>
      <c r="B85" s="3279" t="s">
        <v>1349</v>
      </c>
      <c r="C85" s="3443" t="s">
        <v>1350</v>
      </c>
      <c r="D85" s="3284" t="s">
        <v>1158</v>
      </c>
      <c r="E85" s="3284" t="s">
        <v>1166</v>
      </c>
      <c r="F85" s="3284" t="s">
        <v>1351</v>
      </c>
      <c r="G85" s="3284">
        <v>9623101254</v>
      </c>
      <c r="H85" s="3326" t="s">
        <v>1352</v>
      </c>
      <c r="I85" s="3268" t="s">
        <v>1356</v>
      </c>
      <c r="J85" s="3280" t="s">
        <v>83</v>
      </c>
      <c r="K85" s="3268" t="s">
        <v>157</v>
      </c>
      <c r="L85" s="3268" t="s">
        <v>1357</v>
      </c>
      <c r="M85" s="3313" t="s">
        <v>1355</v>
      </c>
      <c r="N85" s="3279">
        <v>1759910</v>
      </c>
      <c r="O85" s="3279" t="s">
        <v>7</v>
      </c>
      <c r="P85" s="3279" t="s">
        <v>34</v>
      </c>
      <c r="Q85" s="3310">
        <v>1</v>
      </c>
      <c r="R85" s="3283">
        <v>4250001498</v>
      </c>
      <c r="S85" s="3283" t="s">
        <v>1358</v>
      </c>
      <c r="T85" s="3279">
        <v>1636717</v>
      </c>
      <c r="U85" s="3279" t="s">
        <v>25</v>
      </c>
      <c r="V85" s="3276">
        <v>0</v>
      </c>
      <c r="W85" s="3279" t="s">
        <v>1166</v>
      </c>
      <c r="X85" s="3279" t="s">
        <v>1166</v>
      </c>
      <c r="Y85" s="3283" t="s">
        <v>1166</v>
      </c>
      <c r="Z85" s="3105" t="s">
        <v>157</v>
      </c>
      <c r="AA85" s="3104" t="s">
        <v>157</v>
      </c>
      <c r="AB85" s="3048"/>
      <c r="AC85" s="3048"/>
      <c r="AD85" s="3048"/>
      <c r="AE85" s="3048"/>
      <c r="AF85" s="3048"/>
      <c r="AG85" s="3048"/>
      <c r="AH85" s="3048"/>
      <c r="AI85" s="3048"/>
      <c r="AJ85" s="3048"/>
      <c r="AK85" s="3048"/>
      <c r="AL85" s="3048"/>
      <c r="AM85" s="3048"/>
      <c r="AN85" s="3048"/>
      <c r="AO85" s="3048"/>
      <c r="AP85" s="3048"/>
      <c r="AQ85" s="3048"/>
      <c r="AR85" s="3048"/>
      <c r="AS85" s="3048"/>
      <c r="AT85" s="3048"/>
      <c r="AU85" s="3048"/>
    </row>
    <row r="86" spans="1:214">
      <c r="A86" s="3279">
        <v>80</v>
      </c>
      <c r="B86" s="3279" t="s">
        <v>1359</v>
      </c>
      <c r="C86" s="3443" t="s">
        <v>1250</v>
      </c>
      <c r="D86" s="3284" t="s">
        <v>1158</v>
      </c>
      <c r="E86" s="3284" t="s">
        <v>1166</v>
      </c>
      <c r="F86" s="3284" t="s">
        <v>1360</v>
      </c>
      <c r="G86" s="3284">
        <v>9595134464</v>
      </c>
      <c r="H86" s="3326" t="s">
        <v>1361</v>
      </c>
      <c r="I86" s="3268" t="s">
        <v>1166</v>
      </c>
      <c r="J86" s="3280" t="s">
        <v>1362</v>
      </c>
      <c r="K86" s="3268" t="s">
        <v>157</v>
      </c>
      <c r="L86" s="3345" t="s">
        <v>1363</v>
      </c>
      <c r="M86" s="3313" t="s">
        <v>1239</v>
      </c>
      <c r="N86" s="3279">
        <v>22776</v>
      </c>
      <c r="O86" s="3279" t="s">
        <v>7</v>
      </c>
      <c r="P86" s="3279" t="s">
        <v>18</v>
      </c>
      <c r="Q86" s="3310">
        <v>1</v>
      </c>
      <c r="R86" s="3321" t="s">
        <v>1364</v>
      </c>
      <c r="S86" s="3279" t="s">
        <v>1239</v>
      </c>
      <c r="T86" s="3279">
        <v>22776</v>
      </c>
      <c r="U86" s="3279" t="s">
        <v>7</v>
      </c>
      <c r="V86" s="3276">
        <v>0</v>
      </c>
      <c r="W86" s="3323" t="s">
        <v>1166</v>
      </c>
      <c r="X86" s="3323" t="s">
        <v>1166</v>
      </c>
      <c r="Y86" s="3346" t="s">
        <v>1365</v>
      </c>
      <c r="Z86" s="3105" t="s">
        <v>1166</v>
      </c>
      <c r="AA86" s="3104" t="s">
        <v>1166</v>
      </c>
      <c r="AB86" s="3048"/>
      <c r="AC86" s="3048"/>
      <c r="AD86" s="3048"/>
      <c r="AE86" s="3048"/>
      <c r="AF86" s="3048"/>
      <c r="AG86" s="3048"/>
      <c r="AH86" s="3048"/>
      <c r="AI86" s="3048"/>
      <c r="AJ86" s="3048"/>
      <c r="AK86" s="3048"/>
      <c r="AL86" s="3048"/>
      <c r="AM86" s="3048"/>
      <c r="AN86" s="3048"/>
      <c r="AO86" s="3048"/>
      <c r="AP86" s="3048"/>
      <c r="AQ86" s="3048"/>
      <c r="AR86" s="3048"/>
      <c r="AS86" s="3048"/>
      <c r="AT86" s="3048"/>
      <c r="AU86" s="3048"/>
    </row>
    <row r="87" spans="1:214">
      <c r="A87" s="3265">
        <v>81</v>
      </c>
      <c r="B87" s="3279" t="s">
        <v>1256</v>
      </c>
      <c r="C87" s="3443" t="s">
        <v>173</v>
      </c>
      <c r="D87" s="3284" t="s">
        <v>1175</v>
      </c>
      <c r="E87" s="3284" t="s">
        <v>1166</v>
      </c>
      <c r="F87" s="3267" t="s">
        <v>1231</v>
      </c>
      <c r="G87" s="3267">
        <v>7757057351</v>
      </c>
      <c r="H87" s="3282" t="s">
        <v>1232</v>
      </c>
      <c r="I87" s="3268" t="s">
        <v>1233</v>
      </c>
      <c r="J87" s="3280" t="s">
        <v>83</v>
      </c>
      <c r="K87" s="3268" t="s">
        <v>157</v>
      </c>
      <c r="L87" s="3268" t="s">
        <v>1366</v>
      </c>
      <c r="M87" s="3313" t="s">
        <v>1367</v>
      </c>
      <c r="N87" s="3279">
        <v>610160</v>
      </c>
      <c r="O87" s="3279" t="s">
        <v>7</v>
      </c>
      <c r="P87" s="3279" t="s">
        <v>25</v>
      </c>
      <c r="Q87" s="3310">
        <v>1</v>
      </c>
      <c r="R87" s="3279" t="s">
        <v>1368</v>
      </c>
      <c r="S87" s="3279" t="s">
        <v>1256</v>
      </c>
      <c r="T87" s="3279">
        <v>432566</v>
      </c>
      <c r="U87" s="3279" t="s">
        <v>7</v>
      </c>
      <c r="V87" s="3276">
        <v>0</v>
      </c>
      <c r="W87" s="3279" t="s">
        <v>1166</v>
      </c>
      <c r="X87" s="3279" t="s">
        <v>1166</v>
      </c>
      <c r="Y87" s="3283" t="s">
        <v>1166</v>
      </c>
      <c r="Z87" s="3108" t="s">
        <v>157</v>
      </c>
      <c r="AA87" s="3109" t="s">
        <v>157</v>
      </c>
      <c r="AB87" s="3048"/>
      <c r="AC87" s="3048"/>
      <c r="AD87" s="3048"/>
      <c r="AE87" s="3048"/>
      <c r="AF87" s="3048"/>
      <c r="AG87" s="3048"/>
      <c r="AH87" s="3048"/>
      <c r="AI87" s="3048"/>
      <c r="AJ87" s="3048"/>
      <c r="AK87" s="3048"/>
      <c r="AL87" s="3048"/>
      <c r="AM87" s="3048"/>
      <c r="AN87" s="3048"/>
      <c r="AO87" s="3048"/>
      <c r="AP87" s="3048"/>
      <c r="AQ87" s="3048"/>
      <c r="AR87" s="3048"/>
      <c r="AS87" s="3048"/>
      <c r="AT87" s="3048"/>
      <c r="AU87" s="3048"/>
    </row>
    <row r="88" spans="1:214">
      <c r="A88" s="3279">
        <v>82</v>
      </c>
      <c r="B88" s="3279" t="s">
        <v>1256</v>
      </c>
      <c r="C88" s="3443" t="s">
        <v>1267</v>
      </c>
      <c r="D88" s="3284" t="s">
        <v>304</v>
      </c>
      <c r="E88" s="3284" t="s">
        <v>1166</v>
      </c>
      <c r="F88" s="3267" t="s">
        <v>1283</v>
      </c>
      <c r="G88" s="3267">
        <v>9011049428</v>
      </c>
      <c r="H88" s="3347" t="s">
        <v>1284</v>
      </c>
      <c r="I88" s="3268" t="s">
        <v>1285</v>
      </c>
      <c r="J88" s="3280" t="s">
        <v>83</v>
      </c>
      <c r="K88" s="3268" t="s">
        <v>157</v>
      </c>
      <c r="L88" s="3268" t="s">
        <v>1369</v>
      </c>
      <c r="M88" s="3313" t="s">
        <v>1367</v>
      </c>
      <c r="N88" s="3279">
        <v>1185738</v>
      </c>
      <c r="O88" s="3279" t="s">
        <v>7</v>
      </c>
      <c r="P88" s="3279" t="s">
        <v>28</v>
      </c>
      <c r="Q88" s="3310">
        <v>1</v>
      </c>
      <c r="R88" s="3279" t="s">
        <v>1370</v>
      </c>
      <c r="S88" s="3279" t="s">
        <v>1371</v>
      </c>
      <c r="T88" s="3279">
        <v>650697</v>
      </c>
      <c r="U88" s="3279" t="s">
        <v>28</v>
      </c>
      <c r="V88" s="3276">
        <v>0</v>
      </c>
      <c r="W88" s="3279" t="s">
        <v>1166</v>
      </c>
      <c r="X88" s="3279" t="s">
        <v>1166</v>
      </c>
      <c r="Y88" s="3283" t="s">
        <v>1166</v>
      </c>
      <c r="Z88" s="3105" t="s">
        <v>157</v>
      </c>
      <c r="AA88" s="3104" t="s">
        <v>157</v>
      </c>
      <c r="AB88" s="3048"/>
      <c r="AC88" s="3048"/>
      <c r="AD88" s="3048"/>
      <c r="AE88" s="3048"/>
      <c r="AF88" s="3048"/>
      <c r="AG88" s="3048"/>
      <c r="AH88" s="3048"/>
      <c r="AI88" s="3048"/>
      <c r="AJ88" s="3048"/>
      <c r="AK88" s="3048"/>
      <c r="AL88" s="3048"/>
      <c r="AM88" s="3048"/>
      <c r="AN88" s="3048"/>
      <c r="AO88" s="3048"/>
      <c r="AP88" s="3048"/>
      <c r="AQ88" s="3048"/>
      <c r="AR88" s="3048"/>
      <c r="AS88" s="3048"/>
      <c r="AT88" s="3048"/>
      <c r="AU88" s="3048"/>
    </row>
    <row r="89" spans="1:214">
      <c r="A89" s="3279">
        <v>83</v>
      </c>
      <c r="B89" s="3287">
        <v>45700</v>
      </c>
      <c r="C89" s="3443" t="s">
        <v>782</v>
      </c>
      <c r="D89" s="3284" t="s">
        <v>304</v>
      </c>
      <c r="E89" s="3284" t="s">
        <v>1166</v>
      </c>
      <c r="F89" s="3284" t="s">
        <v>1372</v>
      </c>
      <c r="G89" s="3348">
        <v>8879743946</v>
      </c>
      <c r="H89" s="3326" t="s">
        <v>1373</v>
      </c>
      <c r="I89" s="3330" t="s">
        <v>786</v>
      </c>
      <c r="J89" s="3280" t="s">
        <v>74</v>
      </c>
      <c r="K89" s="3268" t="s">
        <v>138</v>
      </c>
      <c r="L89" s="3268" t="s">
        <v>1374</v>
      </c>
      <c r="M89" s="3320">
        <v>45700</v>
      </c>
      <c r="N89" s="3279">
        <v>45900</v>
      </c>
      <c r="O89" s="3279" t="s">
        <v>18</v>
      </c>
      <c r="P89" s="3279" t="s">
        <v>25</v>
      </c>
      <c r="Q89" s="3310">
        <v>1</v>
      </c>
      <c r="R89" s="3279" t="s">
        <v>1375</v>
      </c>
      <c r="S89" s="3279" t="s">
        <v>1376</v>
      </c>
      <c r="T89" s="3279">
        <v>45900</v>
      </c>
      <c r="U89" s="3279" t="s">
        <v>18</v>
      </c>
      <c r="V89" s="3276">
        <v>0</v>
      </c>
      <c r="W89" s="3279" t="s">
        <v>1166</v>
      </c>
      <c r="X89" s="3279" t="s">
        <v>1166</v>
      </c>
      <c r="Y89" s="3283" t="s">
        <v>1300</v>
      </c>
      <c r="Z89" s="3105" t="s">
        <v>1166</v>
      </c>
      <c r="AA89" s="3104" t="s">
        <v>1166</v>
      </c>
      <c r="AB89" s="3048"/>
      <c r="AC89" s="3048"/>
      <c r="AD89" s="3048"/>
      <c r="AE89" s="3048"/>
      <c r="AF89" s="3048"/>
      <c r="AG89" s="3048"/>
      <c r="AH89" s="3048"/>
      <c r="AI89" s="3048"/>
      <c r="AJ89" s="3048"/>
      <c r="AK89" s="3048"/>
      <c r="AL89" s="3048"/>
      <c r="AM89" s="3048"/>
      <c r="AN89" s="3048"/>
      <c r="AO89" s="3048"/>
      <c r="AP89" s="3048"/>
      <c r="AQ89" s="3048"/>
      <c r="AR89" s="3048"/>
      <c r="AS89" s="3048"/>
      <c r="AT89" s="3048"/>
      <c r="AU89" s="3048"/>
    </row>
    <row r="90" spans="1:214">
      <c r="A90" s="3288">
        <v>84</v>
      </c>
      <c r="B90" s="3289">
        <v>45700</v>
      </c>
      <c r="C90" s="3445" t="s">
        <v>782</v>
      </c>
      <c r="D90" s="3290" t="s">
        <v>304</v>
      </c>
      <c r="E90" s="3290" t="s">
        <v>1166</v>
      </c>
      <c r="F90" s="3290" t="s">
        <v>1372</v>
      </c>
      <c r="G90" s="3349">
        <v>8879743946</v>
      </c>
      <c r="H90" s="3342" t="s">
        <v>1373</v>
      </c>
      <c r="I90" s="3350" t="s">
        <v>786</v>
      </c>
      <c r="J90" s="3343" t="s">
        <v>79</v>
      </c>
      <c r="K90" s="3293" t="s">
        <v>138</v>
      </c>
      <c r="L90" s="3293" t="s">
        <v>1377</v>
      </c>
      <c r="M90" s="3351">
        <v>45700</v>
      </c>
      <c r="N90" s="3288">
        <v>0</v>
      </c>
      <c r="O90" s="3288" t="s">
        <v>18</v>
      </c>
      <c r="P90" s="3288" t="s">
        <v>25</v>
      </c>
      <c r="Q90" s="3297">
        <v>0.4</v>
      </c>
      <c r="R90" s="3288" t="s">
        <v>1166</v>
      </c>
      <c r="S90" s="3288" t="s">
        <v>1166</v>
      </c>
      <c r="T90" s="3288" t="s">
        <v>1166</v>
      </c>
      <c r="U90" s="3288" t="s">
        <v>1166</v>
      </c>
      <c r="V90" s="3298">
        <v>0</v>
      </c>
      <c r="W90" s="3306" t="s">
        <v>1378</v>
      </c>
      <c r="X90" s="3306" t="s">
        <v>1166</v>
      </c>
      <c r="Y90" s="3309" t="s">
        <v>1166</v>
      </c>
      <c r="Z90" s="3105" t="s">
        <v>1166</v>
      </c>
      <c r="AA90" s="3104" t="s">
        <v>1166</v>
      </c>
      <c r="AB90" s="3048"/>
      <c r="AC90" s="3048"/>
      <c r="AD90" s="3048"/>
      <c r="AE90" s="3048"/>
      <c r="AF90" s="3048"/>
      <c r="AG90" s="3048"/>
      <c r="AH90" s="3048"/>
      <c r="AI90" s="3048"/>
      <c r="AJ90" s="3048"/>
      <c r="AK90" s="3048"/>
      <c r="AL90" s="3048"/>
      <c r="AM90" s="3048"/>
      <c r="AN90" s="3048"/>
      <c r="AO90" s="3048"/>
      <c r="AP90" s="3048"/>
      <c r="AQ90" s="3048"/>
      <c r="AR90" s="3048"/>
      <c r="AS90" s="3048"/>
      <c r="AT90" s="3048"/>
      <c r="AU90" s="3048"/>
    </row>
    <row r="91" spans="1:214">
      <c r="A91" s="3265">
        <v>85</v>
      </c>
      <c r="B91" s="3287">
        <v>45700</v>
      </c>
      <c r="C91" s="3443" t="s">
        <v>1157</v>
      </c>
      <c r="D91" s="3284" t="s">
        <v>1158</v>
      </c>
      <c r="E91" s="3284" t="s">
        <v>1166</v>
      </c>
      <c r="F91" s="3280" t="s">
        <v>1160</v>
      </c>
      <c r="G91" s="3281">
        <v>251674799</v>
      </c>
      <c r="H91" s="3282" t="s">
        <v>1161</v>
      </c>
      <c r="I91" s="3268" t="s">
        <v>1169</v>
      </c>
      <c r="J91" s="3280" t="s">
        <v>74</v>
      </c>
      <c r="K91" s="3268" t="s">
        <v>812</v>
      </c>
      <c r="L91" s="3345" t="s">
        <v>1379</v>
      </c>
      <c r="M91" s="3320">
        <v>45700</v>
      </c>
      <c r="N91" s="3279">
        <v>100000</v>
      </c>
      <c r="O91" s="3279" t="s">
        <v>18</v>
      </c>
      <c r="P91" s="3279" t="s">
        <v>18</v>
      </c>
      <c r="Q91" s="3310">
        <v>1</v>
      </c>
      <c r="R91" s="3279">
        <v>4501289944</v>
      </c>
      <c r="S91" s="3287">
        <v>45700</v>
      </c>
      <c r="T91" s="3279">
        <v>100000</v>
      </c>
      <c r="U91" s="3279" t="s">
        <v>18</v>
      </c>
      <c r="V91" s="3276">
        <v>0</v>
      </c>
      <c r="W91" s="3279" t="s">
        <v>1166</v>
      </c>
      <c r="X91" s="3279" t="s">
        <v>1166</v>
      </c>
      <c r="Y91" s="3324">
        <v>45700</v>
      </c>
      <c r="Z91" s="3105" t="s">
        <v>1166</v>
      </c>
      <c r="AA91" s="3104" t="s">
        <v>1166</v>
      </c>
      <c r="AB91" s="3048"/>
      <c r="AC91" s="3048"/>
      <c r="AD91" s="3048"/>
      <c r="AE91" s="3048"/>
      <c r="AF91" s="3048"/>
      <c r="AG91" s="3048"/>
      <c r="AH91" s="3048"/>
      <c r="AI91" s="3048"/>
      <c r="AJ91" s="3048"/>
      <c r="AK91" s="3048"/>
      <c r="AL91" s="3048"/>
      <c r="AM91" s="3048"/>
      <c r="AN91" s="3048"/>
      <c r="AO91" s="3048"/>
      <c r="AP91" s="3048"/>
      <c r="AQ91" s="3048"/>
      <c r="AR91" s="3048"/>
      <c r="AS91" s="3048"/>
      <c r="AT91" s="3048"/>
      <c r="AU91" s="3048"/>
    </row>
    <row r="92" spans="1:214">
      <c r="A92" s="3279">
        <v>86</v>
      </c>
      <c r="B92" s="3279" t="s">
        <v>1300</v>
      </c>
      <c r="C92" s="3443" t="s">
        <v>1380</v>
      </c>
      <c r="D92" s="3284" t="s">
        <v>1158</v>
      </c>
      <c r="E92" s="3284" t="s">
        <v>1166</v>
      </c>
      <c r="F92" s="3284" t="s">
        <v>1381</v>
      </c>
      <c r="G92" s="3284">
        <v>7030919035</v>
      </c>
      <c r="H92" s="3326" t="s">
        <v>1382</v>
      </c>
      <c r="I92" s="3268" t="s">
        <v>1383</v>
      </c>
      <c r="J92" s="3280" t="s">
        <v>83</v>
      </c>
      <c r="K92" s="3268" t="s">
        <v>157</v>
      </c>
      <c r="L92" s="3268" t="s">
        <v>1384</v>
      </c>
      <c r="M92" s="3313" t="s">
        <v>1300</v>
      </c>
      <c r="N92" s="3279">
        <v>5183082</v>
      </c>
      <c r="O92" s="3279" t="s">
        <v>18</v>
      </c>
      <c r="P92" s="3279" t="s">
        <v>30</v>
      </c>
      <c r="Q92" s="3310">
        <v>1</v>
      </c>
      <c r="R92" s="3279">
        <v>2500237815</v>
      </c>
      <c r="S92" s="3279" t="s">
        <v>1385</v>
      </c>
      <c r="T92" s="3279">
        <v>989363</v>
      </c>
      <c r="U92" s="3279" t="s">
        <v>30</v>
      </c>
      <c r="V92" s="3276">
        <v>0</v>
      </c>
      <c r="W92" s="3279" t="s">
        <v>1386</v>
      </c>
      <c r="X92" s="3306" t="s">
        <v>1166</v>
      </c>
      <c r="Y92" s="3299" t="s">
        <v>1166</v>
      </c>
      <c r="Z92" s="3105" t="s">
        <v>157</v>
      </c>
      <c r="AA92" s="3104" t="s">
        <v>157</v>
      </c>
      <c r="AB92" s="3048"/>
      <c r="AC92" s="3048"/>
      <c r="AD92" s="3048"/>
      <c r="AE92" s="3048"/>
      <c r="AF92" s="3048"/>
      <c r="AG92" s="3048"/>
      <c r="AH92" s="3048"/>
      <c r="AI92" s="3048"/>
      <c r="AJ92" s="3048"/>
      <c r="AK92" s="3048"/>
      <c r="AL92" s="3048"/>
      <c r="AM92" s="3048"/>
      <c r="AN92" s="3048"/>
      <c r="AO92" s="3048"/>
      <c r="AP92" s="3048"/>
      <c r="AQ92" s="3048"/>
      <c r="AR92" s="3048"/>
      <c r="AS92" s="3048"/>
      <c r="AT92" s="3048"/>
      <c r="AU92" s="3048"/>
    </row>
    <row r="93" spans="1:214" s="243" customFormat="1">
      <c r="A93" s="3279">
        <v>87</v>
      </c>
      <c r="B93" s="3279" t="s">
        <v>1300</v>
      </c>
      <c r="C93" s="3443" t="s">
        <v>1387</v>
      </c>
      <c r="D93" s="3284" t="s">
        <v>1158</v>
      </c>
      <c r="E93" s="3284" t="s">
        <v>1166</v>
      </c>
      <c r="F93" s="3284" t="s">
        <v>1388</v>
      </c>
      <c r="G93" s="3285">
        <v>8788392320</v>
      </c>
      <c r="H93" s="3326" t="s">
        <v>1389</v>
      </c>
      <c r="I93" s="3268" t="s">
        <v>1390</v>
      </c>
      <c r="J93" s="3280" t="s">
        <v>83</v>
      </c>
      <c r="K93" s="3268" t="s">
        <v>157</v>
      </c>
      <c r="L93" s="3352" t="s">
        <v>1391</v>
      </c>
      <c r="M93" s="3313" t="s">
        <v>1300</v>
      </c>
      <c r="N93" s="3279">
        <v>839270</v>
      </c>
      <c r="O93" s="3279" t="s">
        <v>18</v>
      </c>
      <c r="P93" s="3279" t="s">
        <v>37</v>
      </c>
      <c r="Q93" s="3310">
        <v>1</v>
      </c>
      <c r="R93" s="3279">
        <v>3091040975</v>
      </c>
      <c r="S93" s="3279" t="s">
        <v>1392</v>
      </c>
      <c r="T93" s="3279">
        <v>460161</v>
      </c>
      <c r="U93" s="3279" t="s">
        <v>34</v>
      </c>
      <c r="V93" s="3276">
        <v>0</v>
      </c>
      <c r="W93" s="3279" t="s">
        <v>1393</v>
      </c>
      <c r="X93" s="3279" t="s">
        <v>1166</v>
      </c>
      <c r="Y93" s="3283" t="s">
        <v>1166</v>
      </c>
      <c r="Z93" s="3110" t="s">
        <v>157</v>
      </c>
      <c r="AA93" s="3104" t="s">
        <v>208</v>
      </c>
      <c r="AB93" s="3051"/>
      <c r="AC93" s="3051"/>
      <c r="AD93" s="3051"/>
      <c r="AE93" s="3051"/>
      <c r="AF93" s="3051"/>
      <c r="AG93" s="3051"/>
      <c r="AH93" s="3051"/>
      <c r="AI93" s="3051"/>
      <c r="AJ93" s="3051"/>
      <c r="AK93" s="3051"/>
      <c r="AL93" s="3051"/>
      <c r="AM93" s="3051"/>
      <c r="AN93" s="3051"/>
      <c r="AO93" s="3051"/>
      <c r="AP93" s="3051"/>
      <c r="AQ93" s="3051"/>
      <c r="AR93" s="3051"/>
      <c r="AS93" s="3051"/>
      <c r="AT93" s="3051"/>
      <c r="AU93" s="3051"/>
      <c r="AV93" s="445"/>
      <c r="AW93" s="445"/>
      <c r="AX93" s="445"/>
      <c r="AY93" s="445"/>
      <c r="AZ93" s="445"/>
      <c r="BA93" s="445"/>
      <c r="BB93" s="445"/>
      <c r="BC93" s="445"/>
      <c r="BD93" s="445"/>
      <c r="BE93" s="445"/>
      <c r="BF93" s="445"/>
      <c r="BG93" s="445"/>
      <c r="BH93" s="445"/>
      <c r="BI93" s="445"/>
      <c r="BJ93" s="445"/>
      <c r="BK93" s="445"/>
      <c r="BL93" s="445"/>
      <c r="BM93" s="445"/>
      <c r="BN93" s="445"/>
      <c r="BO93" s="445"/>
      <c r="BP93" s="445"/>
      <c r="BQ93" s="445"/>
      <c r="BR93" s="445"/>
      <c r="BS93" s="445"/>
      <c r="BT93" s="445"/>
      <c r="BU93" s="445"/>
      <c r="BV93" s="445"/>
      <c r="BW93" s="445"/>
      <c r="BX93" s="445"/>
      <c r="BY93" s="445"/>
      <c r="BZ93" s="445"/>
      <c r="CA93" s="445"/>
      <c r="CB93" s="445"/>
      <c r="CC93" s="445"/>
      <c r="CD93" s="445"/>
      <c r="CE93" s="445"/>
      <c r="CF93" s="445"/>
      <c r="CG93" s="445"/>
      <c r="CH93" s="445"/>
      <c r="CI93" s="445"/>
      <c r="CJ93" s="445"/>
      <c r="CK93" s="445"/>
      <c r="CL93" s="445"/>
      <c r="CM93" s="445"/>
      <c r="CN93" s="445"/>
      <c r="CO93" s="445"/>
      <c r="CP93" s="445"/>
      <c r="CQ93" s="445"/>
      <c r="CR93" s="445"/>
      <c r="CS93" s="445"/>
      <c r="CT93" s="445"/>
      <c r="CU93" s="445"/>
      <c r="CV93" s="445"/>
      <c r="CW93" s="445"/>
      <c r="CX93" s="445"/>
      <c r="CY93" s="445"/>
      <c r="CZ93" s="445"/>
      <c r="DA93" s="445"/>
      <c r="DB93" s="445"/>
      <c r="DC93" s="445"/>
      <c r="DD93" s="445"/>
      <c r="DE93" s="445"/>
      <c r="DF93" s="445"/>
      <c r="DG93" s="445"/>
      <c r="DH93" s="445"/>
      <c r="DI93" s="445"/>
      <c r="DJ93" s="445"/>
      <c r="DK93" s="445"/>
      <c r="DL93" s="445"/>
      <c r="DM93" s="445"/>
      <c r="DN93" s="445"/>
      <c r="DO93" s="445"/>
      <c r="DP93" s="445"/>
      <c r="DQ93" s="445"/>
      <c r="DR93" s="445"/>
      <c r="DS93" s="445"/>
      <c r="DT93" s="445"/>
      <c r="DU93" s="445"/>
      <c r="DV93" s="445"/>
      <c r="DW93" s="445"/>
      <c r="DX93" s="445"/>
      <c r="DY93" s="445"/>
      <c r="DZ93" s="445"/>
      <c r="EA93" s="445"/>
      <c r="EB93" s="445"/>
      <c r="EC93" s="445"/>
      <c r="ED93" s="445"/>
      <c r="EE93" s="445"/>
      <c r="EF93" s="445"/>
      <c r="EG93" s="445"/>
      <c r="EH93" s="445"/>
      <c r="EI93" s="445"/>
      <c r="EJ93" s="445"/>
      <c r="EK93" s="445"/>
      <c r="EL93" s="445"/>
      <c r="EM93" s="445"/>
      <c r="EN93" s="445"/>
      <c r="EO93" s="445"/>
      <c r="EP93" s="445"/>
      <c r="EQ93" s="445"/>
      <c r="ER93" s="445"/>
      <c r="ES93" s="445"/>
      <c r="ET93" s="445"/>
      <c r="EU93" s="445"/>
      <c r="EV93" s="445"/>
      <c r="EW93" s="445"/>
      <c r="EX93" s="445"/>
      <c r="EY93" s="445"/>
      <c r="EZ93" s="445"/>
      <c r="FA93" s="445"/>
      <c r="FB93" s="445"/>
      <c r="FC93" s="445"/>
      <c r="FD93" s="445"/>
      <c r="FE93" s="445"/>
      <c r="FF93" s="445"/>
      <c r="FG93" s="445"/>
      <c r="FH93" s="445"/>
      <c r="FI93" s="445"/>
      <c r="FJ93" s="445"/>
      <c r="FK93" s="445"/>
      <c r="FL93" s="445"/>
      <c r="FM93" s="445"/>
      <c r="FN93" s="445"/>
      <c r="FO93" s="445"/>
      <c r="FP93" s="445"/>
      <c r="FQ93" s="445"/>
      <c r="FR93" s="445"/>
      <c r="FS93" s="445"/>
      <c r="FT93" s="445"/>
      <c r="FU93" s="445"/>
      <c r="FV93" s="445"/>
      <c r="FW93" s="445"/>
      <c r="FX93" s="445"/>
      <c r="FY93" s="445"/>
      <c r="FZ93" s="445"/>
      <c r="GA93" s="445"/>
      <c r="GB93" s="445"/>
      <c r="GC93" s="445"/>
      <c r="GD93" s="445"/>
      <c r="GE93" s="445"/>
      <c r="GF93" s="445"/>
      <c r="GG93" s="445"/>
      <c r="GH93" s="445"/>
      <c r="GI93" s="445"/>
      <c r="GJ93" s="445"/>
      <c r="GK93" s="445"/>
      <c r="GL93" s="445"/>
      <c r="GM93" s="445"/>
      <c r="GN93" s="445"/>
      <c r="GO93" s="445"/>
      <c r="GP93" s="445"/>
      <c r="GQ93" s="445"/>
      <c r="GR93" s="445"/>
      <c r="GS93" s="445"/>
      <c r="GT93" s="445"/>
      <c r="GU93" s="445"/>
      <c r="GV93" s="445"/>
      <c r="GW93" s="445"/>
      <c r="GX93" s="445"/>
      <c r="GY93" s="445"/>
      <c r="GZ93" s="445"/>
      <c r="HA93" s="445"/>
      <c r="HB93" s="445"/>
      <c r="HC93" s="445"/>
      <c r="HD93" s="445"/>
      <c r="HE93" s="445"/>
      <c r="HF93" s="445"/>
    </row>
    <row r="94" spans="1:214">
      <c r="A94" s="3279">
        <v>88</v>
      </c>
      <c r="B94" s="3287">
        <v>45717</v>
      </c>
      <c r="C94" s="3443" t="s">
        <v>755</v>
      </c>
      <c r="D94" s="3284" t="s">
        <v>1158</v>
      </c>
      <c r="E94" s="3284" t="s">
        <v>1166</v>
      </c>
      <c r="F94" s="3284" t="s">
        <v>1394</v>
      </c>
      <c r="G94" s="3284">
        <v>9960460637</v>
      </c>
      <c r="H94" s="3326" t="s">
        <v>1263</v>
      </c>
      <c r="I94" s="3268" t="s">
        <v>1395</v>
      </c>
      <c r="J94" s="3280" t="s">
        <v>83</v>
      </c>
      <c r="K94" s="3268" t="s">
        <v>157</v>
      </c>
      <c r="L94" s="3353" t="s">
        <v>1396</v>
      </c>
      <c r="M94" s="3320">
        <v>45717</v>
      </c>
      <c r="N94" s="3279">
        <v>1137252</v>
      </c>
      <c r="O94" s="3279" t="s">
        <v>25</v>
      </c>
      <c r="P94" s="3279" t="s">
        <v>28</v>
      </c>
      <c r="Q94" s="3310">
        <v>1</v>
      </c>
      <c r="R94" s="3279">
        <v>4507499727</v>
      </c>
      <c r="S94" s="3279" t="s">
        <v>1397</v>
      </c>
      <c r="T94" s="3321">
        <v>802287</v>
      </c>
      <c r="U94" s="3279" t="s">
        <v>28</v>
      </c>
      <c r="V94" s="3276">
        <v>0</v>
      </c>
      <c r="W94" s="3279" t="s">
        <v>1166</v>
      </c>
      <c r="X94" s="3279" t="s">
        <v>1166</v>
      </c>
      <c r="Y94" s="3283" t="s">
        <v>1166</v>
      </c>
      <c r="Z94" s="3105" t="s">
        <v>157</v>
      </c>
      <c r="AA94" s="3104" t="s">
        <v>157</v>
      </c>
      <c r="AB94" s="3048"/>
      <c r="AC94" s="3048"/>
      <c r="AD94" s="3048"/>
      <c r="AE94" s="3048"/>
      <c r="AF94" s="3048"/>
      <c r="AG94" s="3048"/>
      <c r="AH94" s="3048"/>
      <c r="AI94" s="3048"/>
      <c r="AJ94" s="3048"/>
      <c r="AK94" s="3048"/>
      <c r="AL94" s="3048"/>
      <c r="AM94" s="3048"/>
      <c r="AN94" s="3048"/>
      <c r="AO94" s="3048"/>
      <c r="AP94" s="3048"/>
      <c r="AQ94" s="3048"/>
      <c r="AR94" s="3048"/>
      <c r="AS94" s="3048"/>
      <c r="AT94" s="3048"/>
      <c r="AU94" s="3048"/>
    </row>
    <row r="95" spans="1:214">
      <c r="A95" s="3300">
        <v>89</v>
      </c>
      <c r="B95" s="3301">
        <v>45726</v>
      </c>
      <c r="C95" s="3447" t="s">
        <v>1387</v>
      </c>
      <c r="D95" s="3302" t="s">
        <v>1158</v>
      </c>
      <c r="E95" s="3302" t="s">
        <v>1166</v>
      </c>
      <c r="F95" s="3302" t="s">
        <v>1398</v>
      </c>
      <c r="G95" s="3302">
        <v>9860892180</v>
      </c>
      <c r="H95" s="3354" t="s">
        <v>1399</v>
      </c>
      <c r="I95" s="3295" t="s">
        <v>1400</v>
      </c>
      <c r="J95" s="3315" t="s">
        <v>75</v>
      </c>
      <c r="K95" s="3295" t="s">
        <v>157</v>
      </c>
      <c r="L95" s="3295" t="s">
        <v>1401</v>
      </c>
      <c r="M95" s="3355">
        <v>45726</v>
      </c>
      <c r="N95" s="3306">
        <v>0</v>
      </c>
      <c r="O95" s="3306" t="s">
        <v>25</v>
      </c>
      <c r="P95" s="3306" t="s">
        <v>34</v>
      </c>
      <c r="Q95" s="3307">
        <v>0.4</v>
      </c>
      <c r="R95" s="3306" t="s">
        <v>1166</v>
      </c>
      <c r="S95" s="3306" t="s">
        <v>1166</v>
      </c>
      <c r="T95" s="3306" t="s">
        <v>1166</v>
      </c>
      <c r="U95" s="3306" t="s">
        <v>1166</v>
      </c>
      <c r="V95" s="3308">
        <v>0</v>
      </c>
      <c r="W95" s="3306" t="s">
        <v>1402</v>
      </c>
      <c r="X95" s="3306" t="s">
        <v>1166</v>
      </c>
      <c r="Y95" s="3309" t="s">
        <v>1166</v>
      </c>
      <c r="Z95" s="3105" t="s">
        <v>1166</v>
      </c>
      <c r="AA95" s="3104" t="s">
        <v>1166</v>
      </c>
      <c r="AB95" s="3048"/>
      <c r="AC95" s="3048"/>
      <c r="AD95" s="3048"/>
      <c r="AE95" s="3048"/>
      <c r="AF95" s="3048"/>
      <c r="AG95" s="3048"/>
      <c r="AH95" s="3048"/>
      <c r="AI95" s="3048"/>
      <c r="AJ95" s="3048"/>
      <c r="AK95" s="3048"/>
      <c r="AL95" s="3048"/>
      <c r="AM95" s="3048"/>
      <c r="AN95" s="3048"/>
      <c r="AO95" s="3048"/>
      <c r="AP95" s="3048"/>
      <c r="AQ95" s="3048"/>
      <c r="AR95" s="3048"/>
      <c r="AS95" s="3048"/>
      <c r="AT95" s="3048"/>
      <c r="AU95" s="3048"/>
    </row>
    <row r="96" spans="1:214">
      <c r="A96" s="3288">
        <v>90</v>
      </c>
      <c r="B96" s="3288" t="s">
        <v>1403</v>
      </c>
      <c r="C96" s="3445" t="s">
        <v>1250</v>
      </c>
      <c r="D96" s="3290" t="s">
        <v>1158</v>
      </c>
      <c r="E96" s="3290" t="s">
        <v>1166</v>
      </c>
      <c r="F96" s="3290" t="s">
        <v>1404</v>
      </c>
      <c r="G96" s="3290">
        <v>9607001672</v>
      </c>
      <c r="H96" s="3342" t="s">
        <v>1405</v>
      </c>
      <c r="I96" s="3293" t="s">
        <v>1406</v>
      </c>
      <c r="J96" s="3343" t="s">
        <v>83</v>
      </c>
      <c r="K96" s="3293" t="s">
        <v>157</v>
      </c>
      <c r="L96" s="3356" t="s">
        <v>1407</v>
      </c>
      <c r="M96" s="3344" t="s">
        <v>1403</v>
      </c>
      <c r="N96" s="3288">
        <v>625800</v>
      </c>
      <c r="O96" s="3288" t="s">
        <v>25</v>
      </c>
      <c r="P96" s="3288" t="s">
        <v>62</v>
      </c>
      <c r="Q96" s="3297">
        <v>0.3</v>
      </c>
      <c r="R96" s="3288" t="s">
        <v>1166</v>
      </c>
      <c r="S96" s="3288" t="s">
        <v>1166</v>
      </c>
      <c r="T96" s="3288" t="s">
        <v>1166</v>
      </c>
      <c r="U96" s="3288" t="s">
        <v>1166</v>
      </c>
      <c r="V96" s="3298">
        <v>625800</v>
      </c>
      <c r="W96" s="3306" t="s">
        <v>1166</v>
      </c>
      <c r="X96" s="3306" t="s">
        <v>1166</v>
      </c>
      <c r="Y96" s="3309" t="s">
        <v>1166</v>
      </c>
      <c r="Z96" s="3105" t="s">
        <v>157</v>
      </c>
      <c r="AA96" s="3104" t="s">
        <v>1166</v>
      </c>
      <c r="AB96" s="3048"/>
      <c r="AC96" s="3048"/>
      <c r="AD96" s="3048"/>
      <c r="AE96" s="3048"/>
      <c r="AF96" s="3048"/>
      <c r="AG96" s="3048"/>
      <c r="AH96" s="3048"/>
      <c r="AI96" s="3048"/>
      <c r="AJ96" s="3048"/>
      <c r="AK96" s="3048"/>
      <c r="AL96" s="3048"/>
      <c r="AM96" s="3048"/>
      <c r="AN96" s="3048"/>
      <c r="AO96" s="3048"/>
      <c r="AP96" s="3048"/>
      <c r="AQ96" s="3048"/>
      <c r="AR96" s="3048"/>
      <c r="AS96" s="3048"/>
      <c r="AT96" s="3048"/>
      <c r="AU96" s="3048"/>
    </row>
    <row r="97" spans="1:47">
      <c r="A97" s="3279">
        <v>91</v>
      </c>
      <c r="B97" s="3279" t="s">
        <v>1408</v>
      </c>
      <c r="C97" s="3443" t="s">
        <v>1387</v>
      </c>
      <c r="D97" s="3284" t="s">
        <v>1158</v>
      </c>
      <c r="E97" s="3284" t="s">
        <v>1166</v>
      </c>
      <c r="F97" s="3284" t="s">
        <v>1388</v>
      </c>
      <c r="G97" s="3285">
        <v>8788392320</v>
      </c>
      <c r="H97" s="3326" t="s">
        <v>1389</v>
      </c>
      <c r="I97" s="3268" t="s">
        <v>1390</v>
      </c>
      <c r="J97" s="3280" t="s">
        <v>73</v>
      </c>
      <c r="K97" s="3268" t="s">
        <v>138</v>
      </c>
      <c r="L97" s="3268" t="s">
        <v>1409</v>
      </c>
      <c r="M97" s="3313" t="s">
        <v>1408</v>
      </c>
      <c r="N97" s="3279">
        <v>61500</v>
      </c>
      <c r="O97" s="3279" t="s">
        <v>25</v>
      </c>
      <c r="P97" s="3279" t="s">
        <v>28</v>
      </c>
      <c r="Q97" s="3310">
        <v>1</v>
      </c>
      <c r="R97" s="3279">
        <v>3791227950</v>
      </c>
      <c r="S97" s="3279" t="s">
        <v>1410</v>
      </c>
      <c r="T97" s="3279">
        <v>61500</v>
      </c>
      <c r="U97" s="3279" t="s">
        <v>28</v>
      </c>
      <c r="V97" s="3276">
        <v>0</v>
      </c>
      <c r="W97" s="3279" t="s">
        <v>1166</v>
      </c>
      <c r="X97" s="3306" t="s">
        <v>1166</v>
      </c>
      <c r="Y97" s="3309" t="s">
        <v>1166</v>
      </c>
      <c r="Z97" s="3105" t="s">
        <v>1166</v>
      </c>
      <c r="AA97" s="3104" t="s">
        <v>1166</v>
      </c>
      <c r="AB97" s="3048"/>
      <c r="AC97" s="3048"/>
      <c r="AD97" s="3048"/>
      <c r="AE97" s="3048"/>
      <c r="AF97" s="3048"/>
      <c r="AG97" s="3048"/>
      <c r="AH97" s="3048"/>
      <c r="AI97" s="3048"/>
      <c r="AJ97" s="3048"/>
      <c r="AK97" s="3048"/>
      <c r="AL97" s="3048"/>
      <c r="AM97" s="3048"/>
      <c r="AN97" s="3048"/>
      <c r="AO97" s="3048"/>
      <c r="AP97" s="3048"/>
      <c r="AQ97" s="3048"/>
      <c r="AR97" s="3048"/>
      <c r="AS97" s="3048"/>
      <c r="AT97" s="3048"/>
      <c r="AU97" s="3048"/>
    </row>
    <row r="98" spans="1:47">
      <c r="A98" s="3279">
        <v>92</v>
      </c>
      <c r="B98" s="3279" t="s">
        <v>1408</v>
      </c>
      <c r="C98" s="3443" t="s">
        <v>1411</v>
      </c>
      <c r="D98" s="3284" t="s">
        <v>304</v>
      </c>
      <c r="E98" s="3284" t="s">
        <v>1166</v>
      </c>
      <c r="F98" s="3284" t="s">
        <v>1412</v>
      </c>
      <c r="G98" s="3284">
        <v>8669908679</v>
      </c>
      <c r="H98" s="3326" t="s">
        <v>1413</v>
      </c>
      <c r="I98" s="3268" t="s">
        <v>1414</v>
      </c>
      <c r="J98" s="3280" t="s">
        <v>73</v>
      </c>
      <c r="K98" s="3268" t="s">
        <v>138</v>
      </c>
      <c r="L98" s="3268" t="s">
        <v>1415</v>
      </c>
      <c r="M98" s="3313" t="s">
        <v>1408</v>
      </c>
      <c r="N98" s="3279">
        <v>83000</v>
      </c>
      <c r="O98" s="3279" t="s">
        <v>25</v>
      </c>
      <c r="P98" s="3279" t="s">
        <v>28</v>
      </c>
      <c r="Q98" s="3310">
        <v>1</v>
      </c>
      <c r="R98" s="3279">
        <v>5000132738</v>
      </c>
      <c r="S98" s="3279" t="s">
        <v>1416</v>
      </c>
      <c r="T98" s="3279">
        <v>83000</v>
      </c>
      <c r="U98" s="3279" t="s">
        <v>28</v>
      </c>
      <c r="V98" s="3276">
        <v>0</v>
      </c>
      <c r="W98" s="3279" t="s">
        <v>1166</v>
      </c>
      <c r="X98" s="3306" t="s">
        <v>1166</v>
      </c>
      <c r="Y98" s="3306" t="s">
        <v>1166</v>
      </c>
      <c r="Z98" s="3105" t="s">
        <v>1166</v>
      </c>
      <c r="AA98" s="3104" t="s">
        <v>1166</v>
      </c>
      <c r="AB98" s="3048"/>
      <c r="AC98" s="3048"/>
      <c r="AD98" s="3048"/>
      <c r="AE98" s="3048"/>
      <c r="AF98" s="3048"/>
      <c r="AG98" s="3048"/>
      <c r="AH98" s="3048"/>
      <c r="AI98" s="3048"/>
      <c r="AJ98" s="3048"/>
      <c r="AK98" s="3048"/>
      <c r="AL98" s="3048"/>
      <c r="AM98" s="3048"/>
      <c r="AN98" s="3048"/>
      <c r="AO98" s="3048"/>
      <c r="AP98" s="3048"/>
      <c r="AQ98" s="3048"/>
      <c r="AR98" s="3048"/>
      <c r="AS98" s="3048"/>
      <c r="AT98" s="3048"/>
      <c r="AU98" s="3048"/>
    </row>
    <row r="99" spans="1:47">
      <c r="A99" s="3265">
        <v>93</v>
      </c>
      <c r="B99" s="3279" t="s">
        <v>1417</v>
      </c>
      <c r="C99" s="3443" t="s">
        <v>1350</v>
      </c>
      <c r="D99" s="3284" t="s">
        <v>1158</v>
      </c>
      <c r="E99" s="3284" t="s">
        <v>1166</v>
      </c>
      <c r="F99" s="3284" t="s">
        <v>1351</v>
      </c>
      <c r="G99" s="3284">
        <v>9623101254</v>
      </c>
      <c r="H99" s="3326" t="s">
        <v>1352</v>
      </c>
      <c r="I99" s="3268" t="s">
        <v>1353</v>
      </c>
      <c r="J99" s="3280" t="s">
        <v>73</v>
      </c>
      <c r="K99" s="3268" t="s">
        <v>138</v>
      </c>
      <c r="L99" s="3268" t="s">
        <v>1418</v>
      </c>
      <c r="M99" s="3313" t="s">
        <v>1417</v>
      </c>
      <c r="N99" s="3279">
        <v>75900</v>
      </c>
      <c r="O99" s="3279" t="s">
        <v>25</v>
      </c>
      <c r="P99" s="3279" t="s">
        <v>34</v>
      </c>
      <c r="Q99" s="3310">
        <v>1</v>
      </c>
      <c r="R99" s="3283">
        <v>4220019956</v>
      </c>
      <c r="S99" s="3283" t="s">
        <v>1419</v>
      </c>
      <c r="T99" s="3279">
        <v>72864</v>
      </c>
      <c r="U99" s="3283" t="s">
        <v>30</v>
      </c>
      <c r="V99" s="3276">
        <v>0</v>
      </c>
      <c r="W99" s="3279" t="s">
        <v>1166</v>
      </c>
      <c r="X99" s="3279" t="s">
        <v>1166</v>
      </c>
      <c r="Y99" s="3279" t="s">
        <v>1166</v>
      </c>
      <c r="Z99" s="3105" t="s">
        <v>1166</v>
      </c>
      <c r="AA99" s="3104" t="s">
        <v>1166</v>
      </c>
      <c r="AB99" s="3048"/>
      <c r="AC99" s="3048"/>
      <c r="AD99" s="3048"/>
      <c r="AE99" s="3048"/>
      <c r="AF99" s="3048"/>
      <c r="AG99" s="3048"/>
      <c r="AH99" s="3048"/>
      <c r="AI99" s="3048"/>
      <c r="AJ99" s="3048"/>
      <c r="AK99" s="3048"/>
      <c r="AL99" s="3048"/>
      <c r="AM99" s="3048"/>
      <c r="AN99" s="3048"/>
      <c r="AO99" s="3048"/>
      <c r="AP99" s="3048"/>
      <c r="AQ99" s="3048"/>
      <c r="AR99" s="3048"/>
      <c r="AS99" s="3048"/>
      <c r="AT99" s="3048"/>
      <c r="AU99" s="3048"/>
    </row>
    <row r="100" spans="1:47">
      <c r="A100" s="3279">
        <v>94</v>
      </c>
      <c r="B100" s="3279" t="s">
        <v>1166</v>
      </c>
      <c r="C100" s="3443" t="s">
        <v>1350</v>
      </c>
      <c r="D100" s="3284" t="s">
        <v>1158</v>
      </c>
      <c r="E100" s="3284" t="s">
        <v>1166</v>
      </c>
      <c r="F100" s="3284" t="s">
        <v>1351</v>
      </c>
      <c r="G100" s="3284">
        <v>9623101254</v>
      </c>
      <c r="H100" s="3326" t="s">
        <v>1352</v>
      </c>
      <c r="I100" s="3268" t="s">
        <v>1356</v>
      </c>
      <c r="J100" s="3280" t="s">
        <v>73</v>
      </c>
      <c r="K100" s="3268" t="s">
        <v>138</v>
      </c>
      <c r="L100" s="3268" t="s">
        <v>1418</v>
      </c>
      <c r="M100" s="3313" t="s">
        <v>1417</v>
      </c>
      <c r="N100" s="3279">
        <v>75900</v>
      </c>
      <c r="O100" s="3279" t="s">
        <v>25</v>
      </c>
      <c r="P100" s="3279" t="s">
        <v>34</v>
      </c>
      <c r="Q100" s="3310">
        <v>1</v>
      </c>
      <c r="R100" s="3283">
        <v>4220019956</v>
      </c>
      <c r="S100" s="3283" t="s">
        <v>1419</v>
      </c>
      <c r="T100" s="3279">
        <v>72864</v>
      </c>
      <c r="U100" s="3279" t="s">
        <v>30</v>
      </c>
      <c r="V100" s="3276">
        <v>0</v>
      </c>
      <c r="W100" s="3279" t="s">
        <v>1166</v>
      </c>
      <c r="X100" s="3279" t="s">
        <v>1166</v>
      </c>
      <c r="Y100" s="3279" t="s">
        <v>1166</v>
      </c>
      <c r="Z100" s="3105" t="s">
        <v>1166</v>
      </c>
      <c r="AA100" s="3104" t="s">
        <v>1166</v>
      </c>
      <c r="AB100" s="3048"/>
      <c r="AC100" s="3048"/>
      <c r="AD100" s="3048"/>
      <c r="AE100" s="3048"/>
      <c r="AF100" s="3048"/>
      <c r="AG100" s="3048"/>
      <c r="AH100" s="3048"/>
      <c r="AI100" s="3048"/>
      <c r="AJ100" s="3048"/>
      <c r="AK100" s="3048"/>
      <c r="AL100" s="3048"/>
      <c r="AM100" s="3048"/>
      <c r="AN100" s="3048"/>
      <c r="AO100" s="3048"/>
      <c r="AP100" s="3048"/>
      <c r="AQ100" s="3048"/>
      <c r="AR100" s="3048"/>
      <c r="AS100" s="3048"/>
      <c r="AT100" s="3048"/>
      <c r="AU100" s="3048"/>
    </row>
    <row r="101" spans="1:47">
      <c r="A101" s="3279">
        <v>95</v>
      </c>
      <c r="B101" s="3279" t="s">
        <v>1166</v>
      </c>
      <c r="C101" s="3443" t="s">
        <v>1350</v>
      </c>
      <c r="D101" s="3284" t="s">
        <v>1158</v>
      </c>
      <c r="E101" s="3284" t="s">
        <v>1166</v>
      </c>
      <c r="F101" s="3284" t="s">
        <v>1351</v>
      </c>
      <c r="G101" s="3284">
        <v>9623101254</v>
      </c>
      <c r="H101" s="3326" t="s">
        <v>1352</v>
      </c>
      <c r="I101" s="3268" t="s">
        <v>1420</v>
      </c>
      <c r="J101" s="3280" t="s">
        <v>73</v>
      </c>
      <c r="K101" s="3268" t="s">
        <v>138</v>
      </c>
      <c r="L101" s="3268" t="s">
        <v>1418</v>
      </c>
      <c r="M101" s="3313" t="s">
        <v>1417</v>
      </c>
      <c r="N101" s="3279">
        <v>75900</v>
      </c>
      <c r="O101" s="3279" t="s">
        <v>25</v>
      </c>
      <c r="P101" s="3279" t="s">
        <v>34</v>
      </c>
      <c r="Q101" s="3310">
        <v>1</v>
      </c>
      <c r="R101" s="3283">
        <v>4220019956</v>
      </c>
      <c r="S101" s="3283" t="s">
        <v>1419</v>
      </c>
      <c r="T101" s="3279">
        <v>72864</v>
      </c>
      <c r="U101" s="3279" t="s">
        <v>30</v>
      </c>
      <c r="V101" s="3276">
        <v>0</v>
      </c>
      <c r="W101" s="3279" t="s">
        <v>1166</v>
      </c>
      <c r="X101" s="3279" t="s">
        <v>1166</v>
      </c>
      <c r="Y101" s="3279" t="s">
        <v>1166</v>
      </c>
      <c r="Z101" s="3105" t="s">
        <v>1166</v>
      </c>
      <c r="AA101" s="3104" t="s">
        <v>1166</v>
      </c>
      <c r="AB101" s="3048"/>
      <c r="AC101" s="3048"/>
      <c r="AD101" s="3048"/>
      <c r="AE101" s="3048"/>
      <c r="AF101" s="3048"/>
      <c r="AG101" s="3048"/>
      <c r="AH101" s="3048"/>
      <c r="AI101" s="3048"/>
      <c r="AJ101" s="3048"/>
      <c r="AK101" s="3048"/>
      <c r="AL101" s="3048"/>
      <c r="AM101" s="3048"/>
      <c r="AN101" s="3048"/>
      <c r="AO101" s="3048"/>
      <c r="AP101" s="3048"/>
      <c r="AQ101" s="3048"/>
      <c r="AR101" s="3048"/>
      <c r="AS101" s="3048"/>
      <c r="AT101" s="3048"/>
      <c r="AU101" s="3048"/>
    </row>
    <row r="102" spans="1:47">
      <c r="A102" s="3288">
        <v>96</v>
      </c>
      <c r="B102" s="3288" t="s">
        <v>1417</v>
      </c>
      <c r="C102" s="3445" t="s">
        <v>1421</v>
      </c>
      <c r="D102" s="3290" t="s">
        <v>1158</v>
      </c>
      <c r="E102" s="3290" t="s">
        <v>1166</v>
      </c>
      <c r="F102" s="3290" t="s">
        <v>1422</v>
      </c>
      <c r="G102" s="3290">
        <v>9881887646</v>
      </c>
      <c r="H102" s="3357" t="s">
        <v>1166</v>
      </c>
      <c r="I102" s="3293">
        <v>500003929</v>
      </c>
      <c r="J102" s="3343" t="s">
        <v>77</v>
      </c>
      <c r="K102" s="3293" t="s">
        <v>138</v>
      </c>
      <c r="L102" s="3293" t="s">
        <v>1423</v>
      </c>
      <c r="M102" s="3344" t="s">
        <v>1417</v>
      </c>
      <c r="N102" s="3288">
        <v>0</v>
      </c>
      <c r="O102" s="3288" t="s">
        <v>25</v>
      </c>
      <c r="P102" s="3288" t="s">
        <v>25</v>
      </c>
      <c r="Q102" s="3297">
        <v>0.3</v>
      </c>
      <c r="R102" s="3288" t="s">
        <v>1166</v>
      </c>
      <c r="S102" s="3288" t="s">
        <v>1166</v>
      </c>
      <c r="T102" s="3288" t="s">
        <v>1166</v>
      </c>
      <c r="U102" s="3288" t="s">
        <v>1166</v>
      </c>
      <c r="V102" s="3298">
        <v>0</v>
      </c>
      <c r="W102" s="3288" t="s">
        <v>1261</v>
      </c>
      <c r="X102" s="3288" t="s">
        <v>1166</v>
      </c>
      <c r="Y102" s="3299" t="s">
        <v>1166</v>
      </c>
      <c r="Z102" s="3105" t="s">
        <v>1166</v>
      </c>
      <c r="AA102" s="3104" t="s">
        <v>1166</v>
      </c>
      <c r="AB102" s="3048"/>
      <c r="AC102" s="3048"/>
      <c r="AD102" s="3048"/>
      <c r="AE102" s="3048"/>
      <c r="AF102" s="3048"/>
      <c r="AG102" s="3048"/>
      <c r="AH102" s="3048"/>
      <c r="AI102" s="3048"/>
      <c r="AJ102" s="3048"/>
      <c r="AK102" s="3048"/>
      <c r="AL102" s="3048"/>
      <c r="AM102" s="3048"/>
      <c r="AN102" s="3048"/>
      <c r="AO102" s="3048"/>
      <c r="AP102" s="3048"/>
      <c r="AQ102" s="3048"/>
      <c r="AR102" s="3048"/>
      <c r="AS102" s="3048"/>
      <c r="AT102" s="3048"/>
      <c r="AU102" s="3048"/>
    </row>
    <row r="103" spans="1:47">
      <c r="A103" s="3265">
        <v>97</v>
      </c>
      <c r="B103" s="3279" t="s">
        <v>1424</v>
      </c>
      <c r="C103" s="3443" t="s">
        <v>1250</v>
      </c>
      <c r="D103" s="3284" t="s">
        <v>1158</v>
      </c>
      <c r="E103" s="3284" t="s">
        <v>1166</v>
      </c>
      <c r="F103" s="3284" t="s">
        <v>1425</v>
      </c>
      <c r="G103" s="3284">
        <v>7768004492</v>
      </c>
      <c r="H103" s="3326" t="s">
        <v>1426</v>
      </c>
      <c r="I103" s="3268" t="s">
        <v>1427</v>
      </c>
      <c r="J103" s="3280" t="s">
        <v>75</v>
      </c>
      <c r="K103" s="3268" t="s">
        <v>157</v>
      </c>
      <c r="L103" s="3268" t="s">
        <v>1428</v>
      </c>
      <c r="M103" s="3313" t="s">
        <v>1424</v>
      </c>
      <c r="N103" s="3279">
        <v>502180</v>
      </c>
      <c r="O103" s="3279" t="s">
        <v>25</v>
      </c>
      <c r="P103" s="3279" t="s">
        <v>28</v>
      </c>
      <c r="Q103" s="3310">
        <v>1</v>
      </c>
      <c r="R103" s="3279">
        <v>85391522</v>
      </c>
      <c r="S103" s="3279" t="s">
        <v>1429</v>
      </c>
      <c r="T103" s="3279">
        <v>502180</v>
      </c>
      <c r="U103" s="3279" t="s">
        <v>25</v>
      </c>
      <c r="V103" s="3276">
        <v>0</v>
      </c>
      <c r="W103" s="3279" t="s">
        <v>1166</v>
      </c>
      <c r="X103" s="3306" t="s">
        <v>1166</v>
      </c>
      <c r="Y103" s="3306" t="s">
        <v>1166</v>
      </c>
      <c r="Z103" s="3108" t="s">
        <v>208</v>
      </c>
      <c r="AA103" s="3109" t="s">
        <v>157</v>
      </c>
      <c r="AB103" s="3048"/>
      <c r="AC103" s="3048"/>
      <c r="AD103" s="3048"/>
      <c r="AE103" s="3048"/>
      <c r="AF103" s="3048"/>
      <c r="AG103" s="3048"/>
      <c r="AH103" s="3048"/>
      <c r="AI103" s="3048"/>
      <c r="AJ103" s="3048"/>
      <c r="AK103" s="3048"/>
      <c r="AL103" s="3048"/>
      <c r="AM103" s="3048"/>
      <c r="AN103" s="3048"/>
      <c r="AO103" s="3048"/>
      <c r="AP103" s="3048"/>
      <c r="AQ103" s="3048"/>
      <c r="AR103" s="3048"/>
      <c r="AS103" s="3048"/>
      <c r="AT103" s="3048"/>
      <c r="AU103" s="3048"/>
    </row>
    <row r="104" spans="1:47">
      <c r="A104" s="3288">
        <v>98</v>
      </c>
      <c r="B104" s="3288" t="s">
        <v>1430</v>
      </c>
      <c r="C104" s="3445" t="s">
        <v>173</v>
      </c>
      <c r="D104" s="3290" t="s">
        <v>1175</v>
      </c>
      <c r="E104" s="3290" t="s">
        <v>1166</v>
      </c>
      <c r="F104" s="3290" t="s">
        <v>1431</v>
      </c>
      <c r="G104" s="3290">
        <v>9881304588</v>
      </c>
      <c r="H104" s="3342" t="s">
        <v>1432</v>
      </c>
      <c r="I104" s="3293" t="s">
        <v>1433</v>
      </c>
      <c r="J104" s="3343" t="s">
        <v>83</v>
      </c>
      <c r="K104" s="3293" t="s">
        <v>157</v>
      </c>
      <c r="L104" s="3356" t="s">
        <v>1434</v>
      </c>
      <c r="M104" s="3344" t="s">
        <v>1430</v>
      </c>
      <c r="N104" s="3288">
        <v>393060</v>
      </c>
      <c r="O104" s="3288" t="s">
        <v>25</v>
      </c>
      <c r="P104" s="3288" t="s">
        <v>49</v>
      </c>
      <c r="Q104" s="3297">
        <v>0.4</v>
      </c>
      <c r="R104" s="3288" t="s">
        <v>1166</v>
      </c>
      <c r="S104" s="3288" t="s">
        <v>1166</v>
      </c>
      <c r="T104" s="3288" t="s">
        <v>1166</v>
      </c>
      <c r="U104" s="3288" t="s">
        <v>1166</v>
      </c>
      <c r="V104" s="3298">
        <v>393060</v>
      </c>
      <c r="W104" s="3306" t="s">
        <v>1166</v>
      </c>
      <c r="X104" s="3306" t="s">
        <v>1166</v>
      </c>
      <c r="Y104" s="3306" t="s">
        <v>1166</v>
      </c>
      <c r="Z104" s="3105" t="s">
        <v>1166</v>
      </c>
      <c r="AA104" s="3104" t="s">
        <v>1166</v>
      </c>
      <c r="AB104" s="3048"/>
      <c r="AC104" s="3048"/>
      <c r="AD104" s="3048"/>
      <c r="AE104" s="3048"/>
      <c r="AF104" s="3048"/>
      <c r="AG104" s="3048"/>
      <c r="AH104" s="3048"/>
      <c r="AI104" s="3048"/>
      <c r="AJ104" s="3048"/>
      <c r="AK104" s="3048"/>
      <c r="AL104" s="3048"/>
      <c r="AM104" s="3048"/>
      <c r="AN104" s="3048"/>
      <c r="AO104" s="3048"/>
      <c r="AP104" s="3048"/>
      <c r="AQ104" s="3048"/>
      <c r="AR104" s="3048"/>
      <c r="AS104" s="3048"/>
      <c r="AT104" s="3048"/>
      <c r="AU104" s="3048"/>
    </row>
    <row r="105" spans="1:47">
      <c r="A105" s="3306">
        <v>99</v>
      </c>
      <c r="B105" s="3306" t="s">
        <v>1435</v>
      </c>
      <c r="C105" s="3447" t="s">
        <v>1267</v>
      </c>
      <c r="D105" s="3302" t="s">
        <v>304</v>
      </c>
      <c r="E105" s="3302" t="s">
        <v>1166</v>
      </c>
      <c r="F105" s="3303" t="s">
        <v>1283</v>
      </c>
      <c r="G105" s="3303">
        <v>9011049428</v>
      </c>
      <c r="H105" s="3358" t="s">
        <v>1284</v>
      </c>
      <c r="I105" s="3295" t="s">
        <v>1288</v>
      </c>
      <c r="J105" s="3315" t="s">
        <v>83</v>
      </c>
      <c r="K105" s="3295" t="s">
        <v>157</v>
      </c>
      <c r="L105" s="3295" t="s">
        <v>1436</v>
      </c>
      <c r="M105" s="3316" t="s">
        <v>1435</v>
      </c>
      <c r="N105" s="3306">
        <v>299130</v>
      </c>
      <c r="O105" s="3306" t="s">
        <v>25</v>
      </c>
      <c r="P105" s="3306" t="s">
        <v>49</v>
      </c>
      <c r="Q105" s="3307">
        <v>0.4</v>
      </c>
      <c r="R105" s="3306" t="s">
        <v>1166</v>
      </c>
      <c r="S105" s="3306" t="s">
        <v>1166</v>
      </c>
      <c r="T105" s="3306" t="s">
        <v>1166</v>
      </c>
      <c r="U105" s="3306" t="s">
        <v>1166</v>
      </c>
      <c r="V105" s="3308">
        <v>299130</v>
      </c>
      <c r="W105" s="3306" t="s">
        <v>1166</v>
      </c>
      <c r="X105" s="3306" t="s">
        <v>1166</v>
      </c>
      <c r="Y105" s="3306" t="s">
        <v>1166</v>
      </c>
      <c r="Z105" s="3105" t="s">
        <v>1166</v>
      </c>
      <c r="AA105" s="3104" t="s">
        <v>1166</v>
      </c>
      <c r="AB105" s="3048"/>
      <c r="AC105" s="3048"/>
      <c r="AD105" s="3048"/>
      <c r="AE105" s="3048"/>
      <c r="AF105" s="3048"/>
      <c r="AG105" s="3048"/>
      <c r="AH105" s="3048"/>
      <c r="AI105" s="3048"/>
      <c r="AJ105" s="3048"/>
      <c r="AK105" s="3048"/>
      <c r="AL105" s="3048"/>
      <c r="AM105" s="3048"/>
      <c r="AN105" s="3048"/>
      <c r="AO105" s="3048"/>
      <c r="AP105" s="3048"/>
      <c r="AQ105" s="3048"/>
      <c r="AR105" s="3048"/>
      <c r="AS105" s="3048"/>
      <c r="AT105" s="3048"/>
      <c r="AU105" s="3048"/>
    </row>
    <row r="106" spans="1:47">
      <c r="A106" s="3359">
        <v>100</v>
      </c>
      <c r="B106" s="3360">
        <v>45748</v>
      </c>
      <c r="C106" s="3450" t="s">
        <v>1157</v>
      </c>
      <c r="D106" s="3361" t="s">
        <v>1158</v>
      </c>
      <c r="E106" s="3361" t="s">
        <v>1166</v>
      </c>
      <c r="F106" s="3362" t="s">
        <v>1160</v>
      </c>
      <c r="G106" s="3363">
        <v>251674799</v>
      </c>
      <c r="H106" s="3364" t="s">
        <v>1161</v>
      </c>
      <c r="I106" s="1398" t="s">
        <v>1169</v>
      </c>
      <c r="J106" s="3362" t="s">
        <v>79</v>
      </c>
      <c r="K106" s="1398" t="s">
        <v>138</v>
      </c>
      <c r="L106" s="1398" t="s">
        <v>1437</v>
      </c>
      <c r="M106" s="3365">
        <v>45748</v>
      </c>
      <c r="N106" s="3359">
        <v>80000</v>
      </c>
      <c r="O106" s="3359" t="s">
        <v>28</v>
      </c>
      <c r="P106" s="3359" t="s">
        <v>44</v>
      </c>
      <c r="Q106" s="3366">
        <v>1</v>
      </c>
      <c r="R106" s="3359" t="s">
        <v>1438</v>
      </c>
      <c r="S106" s="3359" t="s">
        <v>1439</v>
      </c>
      <c r="T106" s="3359">
        <v>80000</v>
      </c>
      <c r="U106" s="3359" t="s">
        <v>44</v>
      </c>
      <c r="V106" s="3367">
        <v>0</v>
      </c>
      <c r="W106" s="3359" t="s">
        <v>1166</v>
      </c>
      <c r="X106" s="3359" t="s">
        <v>1166</v>
      </c>
      <c r="Y106" s="3306" t="s">
        <v>1166</v>
      </c>
      <c r="Z106" s="3105" t="s">
        <v>1166</v>
      </c>
      <c r="AA106" s="3104" t="s">
        <v>1166</v>
      </c>
      <c r="AB106" s="3048"/>
      <c r="AC106" s="3048"/>
      <c r="AD106" s="3048"/>
      <c r="AE106" s="3048"/>
      <c r="AF106" s="3048"/>
      <c r="AG106" s="3048"/>
      <c r="AH106" s="3048"/>
      <c r="AI106" s="3048"/>
      <c r="AJ106" s="3048"/>
      <c r="AK106" s="3048"/>
      <c r="AL106" s="3048"/>
      <c r="AM106" s="3048"/>
      <c r="AN106" s="3048"/>
      <c r="AO106" s="3048"/>
      <c r="AP106" s="3048"/>
      <c r="AQ106" s="3048"/>
      <c r="AR106" s="3048"/>
      <c r="AS106" s="3048"/>
      <c r="AT106" s="3048"/>
      <c r="AU106" s="3048"/>
    </row>
    <row r="107" spans="1:47">
      <c r="A107" s="3265">
        <v>101</v>
      </c>
      <c r="B107" s="3287">
        <v>45750</v>
      </c>
      <c r="C107" s="3443" t="s">
        <v>733</v>
      </c>
      <c r="D107" s="3284" t="s">
        <v>304</v>
      </c>
      <c r="E107" s="3284" t="s">
        <v>1166</v>
      </c>
      <c r="F107" s="3284" t="s">
        <v>1440</v>
      </c>
      <c r="G107" s="3284">
        <v>9892096573</v>
      </c>
      <c r="H107" s="3326" t="s">
        <v>1441</v>
      </c>
      <c r="I107" s="3268" t="s">
        <v>1442</v>
      </c>
      <c r="J107" s="3313" t="s">
        <v>73</v>
      </c>
      <c r="K107" s="3268" t="s">
        <v>138</v>
      </c>
      <c r="L107" s="3268" t="s">
        <v>1443</v>
      </c>
      <c r="M107" s="3287">
        <v>45750</v>
      </c>
      <c r="N107" s="3279">
        <v>66144</v>
      </c>
      <c r="O107" s="3279" t="s">
        <v>28</v>
      </c>
      <c r="P107" s="3279" t="s">
        <v>28</v>
      </c>
      <c r="Q107" s="3310">
        <v>1</v>
      </c>
      <c r="R107" s="3279">
        <v>6000059199</v>
      </c>
      <c r="S107" s="3279" t="s">
        <v>1444</v>
      </c>
      <c r="T107" s="3279">
        <v>66144</v>
      </c>
      <c r="U107" s="3279" t="s">
        <v>28</v>
      </c>
      <c r="V107" s="3276">
        <v>0</v>
      </c>
      <c r="W107" s="3279" t="s">
        <v>1166</v>
      </c>
      <c r="X107" s="3279" t="s">
        <v>1166</v>
      </c>
      <c r="Y107" s="3306" t="s">
        <v>1166</v>
      </c>
      <c r="Z107" s="3105" t="s">
        <v>1166</v>
      </c>
      <c r="AA107" s="3104" t="s">
        <v>1166</v>
      </c>
      <c r="AB107" s="3048"/>
      <c r="AC107" s="3048"/>
      <c r="AD107" s="3048"/>
      <c r="AE107" s="3048"/>
      <c r="AF107" s="3048"/>
      <c r="AG107" s="3048"/>
      <c r="AH107" s="3048"/>
      <c r="AI107" s="3048"/>
      <c r="AJ107" s="3048"/>
      <c r="AK107" s="3048"/>
      <c r="AL107" s="3048"/>
      <c r="AM107" s="3048"/>
      <c r="AN107" s="3048"/>
      <c r="AO107" s="3048"/>
      <c r="AP107" s="3048"/>
      <c r="AQ107" s="3048"/>
      <c r="AR107" s="3048"/>
      <c r="AS107" s="3048"/>
      <c r="AT107" s="3048"/>
      <c r="AU107" s="3048"/>
    </row>
    <row r="108" spans="1:47">
      <c r="A108" s="3279">
        <v>102</v>
      </c>
      <c r="B108" s="3287">
        <v>45750</v>
      </c>
      <c r="C108" s="3443" t="s">
        <v>427</v>
      </c>
      <c r="D108" s="3284" t="s">
        <v>1445</v>
      </c>
      <c r="E108" s="3284" t="s">
        <v>1166</v>
      </c>
      <c r="F108" s="3284" t="s">
        <v>1446</v>
      </c>
      <c r="G108" s="3284">
        <v>8805061137</v>
      </c>
      <c r="H108" s="3326" t="s">
        <v>1447</v>
      </c>
      <c r="I108" s="3268" t="s">
        <v>1448</v>
      </c>
      <c r="J108" s="3280" t="s">
        <v>73</v>
      </c>
      <c r="K108" s="3268" t="s">
        <v>138</v>
      </c>
      <c r="L108" s="3268" t="s">
        <v>1449</v>
      </c>
      <c r="M108" s="3287">
        <v>45750</v>
      </c>
      <c r="N108" s="3279">
        <v>91000</v>
      </c>
      <c r="O108" s="3279" t="s">
        <v>28</v>
      </c>
      <c r="P108" s="3279" t="s">
        <v>28</v>
      </c>
      <c r="Q108" s="3310">
        <v>1</v>
      </c>
      <c r="R108" s="3279">
        <v>351002166</v>
      </c>
      <c r="S108" s="3287">
        <v>45758</v>
      </c>
      <c r="T108" s="3279">
        <v>84000</v>
      </c>
      <c r="U108" s="3279" t="s">
        <v>1450</v>
      </c>
      <c r="V108" s="3276">
        <v>0</v>
      </c>
      <c r="W108" s="3279" t="s">
        <v>1166</v>
      </c>
      <c r="X108" s="3279" t="s">
        <v>1166</v>
      </c>
      <c r="Y108" s="3306" t="s">
        <v>1166</v>
      </c>
      <c r="Z108" s="3105" t="s">
        <v>1166</v>
      </c>
      <c r="AA108" s="3104" t="s">
        <v>1166</v>
      </c>
      <c r="AB108" s="3048"/>
      <c r="AC108" s="3048"/>
      <c r="AD108" s="3048"/>
      <c r="AE108" s="3048"/>
      <c r="AF108" s="3048"/>
      <c r="AG108" s="3048"/>
      <c r="AH108" s="3048"/>
      <c r="AI108" s="3048"/>
      <c r="AJ108" s="3048"/>
      <c r="AK108" s="3048"/>
      <c r="AL108" s="3048"/>
      <c r="AM108" s="3048"/>
      <c r="AN108" s="3048"/>
      <c r="AO108" s="3048"/>
      <c r="AP108" s="3048"/>
      <c r="AQ108" s="3048"/>
      <c r="AR108" s="3048"/>
      <c r="AS108" s="3048"/>
      <c r="AT108" s="3048"/>
      <c r="AU108" s="3048"/>
    </row>
    <row r="109" spans="1:47">
      <c r="A109" s="3279">
        <v>103</v>
      </c>
      <c r="B109" s="3287">
        <v>45751</v>
      </c>
      <c r="C109" s="3443" t="s">
        <v>1380</v>
      </c>
      <c r="D109" s="3284" t="s">
        <v>1158</v>
      </c>
      <c r="E109" s="3284" t="s">
        <v>1166</v>
      </c>
      <c r="F109" s="3284" t="s">
        <v>1381</v>
      </c>
      <c r="G109" s="3284">
        <v>7030919035</v>
      </c>
      <c r="H109" s="3326" t="s">
        <v>1382</v>
      </c>
      <c r="I109" s="3268" t="s">
        <v>1383</v>
      </c>
      <c r="J109" s="3280" t="s">
        <v>73</v>
      </c>
      <c r="K109" s="3268" t="s">
        <v>138</v>
      </c>
      <c r="L109" s="3268" t="s">
        <v>1451</v>
      </c>
      <c r="M109" s="3287">
        <v>45751</v>
      </c>
      <c r="N109" s="3279">
        <v>98200</v>
      </c>
      <c r="O109" s="3279" t="s">
        <v>28</v>
      </c>
      <c r="P109" s="3279" t="s">
        <v>28</v>
      </c>
      <c r="Q109" s="3310">
        <v>1</v>
      </c>
      <c r="R109" s="3283">
        <v>2500235067</v>
      </c>
      <c r="S109" s="3283" t="s">
        <v>1444</v>
      </c>
      <c r="T109" s="3279">
        <v>94272</v>
      </c>
      <c r="U109" s="3279" t="s">
        <v>28</v>
      </c>
      <c r="V109" s="3276">
        <v>0</v>
      </c>
      <c r="W109" s="3279" t="s">
        <v>1166</v>
      </c>
      <c r="X109" s="3279" t="s">
        <v>1166</v>
      </c>
      <c r="Y109" s="3306" t="s">
        <v>1166</v>
      </c>
      <c r="Z109" s="3105" t="s">
        <v>1166</v>
      </c>
      <c r="AA109" s="3104" t="s">
        <v>1166</v>
      </c>
      <c r="AB109" s="3048"/>
      <c r="AC109" s="3048"/>
      <c r="AD109" s="3048"/>
      <c r="AE109" s="3048"/>
      <c r="AF109" s="3048"/>
      <c r="AG109" s="3048"/>
      <c r="AH109" s="3048"/>
      <c r="AI109" s="3048"/>
      <c r="AJ109" s="3048"/>
      <c r="AK109" s="3048"/>
      <c r="AL109" s="3048"/>
      <c r="AM109" s="3048"/>
      <c r="AN109" s="3048"/>
      <c r="AO109" s="3048"/>
      <c r="AP109" s="3048"/>
      <c r="AQ109" s="3048"/>
      <c r="AR109" s="3048"/>
      <c r="AS109" s="3048"/>
      <c r="AT109" s="3048"/>
      <c r="AU109" s="3048"/>
    </row>
    <row r="110" spans="1:47">
      <c r="A110" s="3279">
        <v>104</v>
      </c>
      <c r="B110" s="3279" t="s">
        <v>1166</v>
      </c>
      <c r="C110" s="3443" t="s">
        <v>1380</v>
      </c>
      <c r="D110" s="3284" t="s">
        <v>1158</v>
      </c>
      <c r="E110" s="3284" t="s">
        <v>1166</v>
      </c>
      <c r="F110" s="3284" t="s">
        <v>1381</v>
      </c>
      <c r="G110" s="3284">
        <v>7030919035</v>
      </c>
      <c r="H110" s="3326" t="s">
        <v>1382</v>
      </c>
      <c r="I110" s="3268" t="s">
        <v>1452</v>
      </c>
      <c r="J110" s="3280" t="s">
        <v>73</v>
      </c>
      <c r="K110" s="3268" t="s">
        <v>138</v>
      </c>
      <c r="L110" s="3268" t="s">
        <v>1451</v>
      </c>
      <c r="M110" s="3287">
        <v>45751</v>
      </c>
      <c r="N110" s="3279">
        <v>98200</v>
      </c>
      <c r="O110" s="3279" t="s">
        <v>28</v>
      </c>
      <c r="P110" s="3279" t="s">
        <v>28</v>
      </c>
      <c r="Q110" s="3310">
        <v>1</v>
      </c>
      <c r="R110" s="3283">
        <v>2500235067</v>
      </c>
      <c r="S110" s="3283" t="s">
        <v>1444</v>
      </c>
      <c r="T110" s="3279">
        <v>94272</v>
      </c>
      <c r="U110" s="3279" t="s">
        <v>28</v>
      </c>
      <c r="V110" s="3276">
        <v>0</v>
      </c>
      <c r="W110" s="3279" t="s">
        <v>1166</v>
      </c>
      <c r="X110" s="3279" t="s">
        <v>1166</v>
      </c>
      <c r="Y110" s="3306" t="s">
        <v>1166</v>
      </c>
      <c r="Z110" s="3105" t="s">
        <v>1166</v>
      </c>
      <c r="AA110" s="3104" t="s">
        <v>1166</v>
      </c>
      <c r="AB110" s="3048"/>
      <c r="AC110" s="3048"/>
      <c r="AD110" s="3048"/>
      <c r="AE110" s="3048"/>
      <c r="AF110" s="3048"/>
      <c r="AG110" s="3048"/>
      <c r="AH110" s="3048"/>
      <c r="AI110" s="3048"/>
      <c r="AJ110" s="3048"/>
      <c r="AK110" s="3048"/>
      <c r="AL110" s="3048"/>
      <c r="AM110" s="3048"/>
      <c r="AN110" s="3048"/>
      <c r="AO110" s="3048"/>
      <c r="AP110" s="3048"/>
      <c r="AQ110" s="3048"/>
      <c r="AR110" s="3048"/>
      <c r="AS110" s="3048"/>
      <c r="AT110" s="3048"/>
      <c r="AU110" s="3048"/>
    </row>
    <row r="111" spans="1:47">
      <c r="A111" s="3265">
        <v>105</v>
      </c>
      <c r="B111" s="3279" t="s">
        <v>1166</v>
      </c>
      <c r="C111" s="3443" t="s">
        <v>1380</v>
      </c>
      <c r="D111" s="3284" t="s">
        <v>1158</v>
      </c>
      <c r="E111" s="3284" t="s">
        <v>1166</v>
      </c>
      <c r="F111" s="3284" t="s">
        <v>1381</v>
      </c>
      <c r="G111" s="3284">
        <v>7030919035</v>
      </c>
      <c r="H111" s="3326" t="s">
        <v>1382</v>
      </c>
      <c r="I111" s="3268" t="s">
        <v>1453</v>
      </c>
      <c r="J111" s="3280" t="s">
        <v>73</v>
      </c>
      <c r="K111" s="3268" t="s">
        <v>138</v>
      </c>
      <c r="L111" s="3268" t="s">
        <v>1451</v>
      </c>
      <c r="M111" s="3287">
        <v>45751</v>
      </c>
      <c r="N111" s="3279">
        <v>98200</v>
      </c>
      <c r="O111" s="3279" t="s">
        <v>28</v>
      </c>
      <c r="P111" s="3279" t="s">
        <v>28</v>
      </c>
      <c r="Q111" s="3310">
        <v>1</v>
      </c>
      <c r="R111" s="3283">
        <v>2500235067</v>
      </c>
      <c r="S111" s="3283" t="s">
        <v>1444</v>
      </c>
      <c r="T111" s="3279">
        <v>94272</v>
      </c>
      <c r="U111" s="3279" t="s">
        <v>28</v>
      </c>
      <c r="V111" s="3276">
        <v>0</v>
      </c>
      <c r="W111" s="3279" t="s">
        <v>1166</v>
      </c>
      <c r="X111" s="3279" t="s">
        <v>1166</v>
      </c>
      <c r="Y111" s="3306" t="s">
        <v>1166</v>
      </c>
      <c r="Z111" s="3105" t="s">
        <v>1166</v>
      </c>
      <c r="AA111" s="3104" t="s">
        <v>1166</v>
      </c>
      <c r="AB111" s="3048"/>
      <c r="AC111" s="3048"/>
      <c r="AD111" s="3048"/>
      <c r="AE111" s="3048"/>
      <c r="AF111" s="3048"/>
      <c r="AG111" s="3048"/>
      <c r="AH111" s="3048"/>
      <c r="AI111" s="3048"/>
      <c r="AJ111" s="3048"/>
      <c r="AK111" s="3048"/>
      <c r="AL111" s="3048"/>
      <c r="AM111" s="3048"/>
      <c r="AN111" s="3048"/>
      <c r="AO111" s="3048"/>
      <c r="AP111" s="3048"/>
      <c r="AQ111" s="3048"/>
      <c r="AR111" s="3048"/>
      <c r="AS111" s="3048"/>
      <c r="AT111" s="3048"/>
      <c r="AU111" s="3048"/>
    </row>
    <row r="112" spans="1:47">
      <c r="A112" s="3279">
        <v>106</v>
      </c>
      <c r="B112" s="3279" t="s">
        <v>1454</v>
      </c>
      <c r="C112" s="3443" t="s">
        <v>755</v>
      </c>
      <c r="D112" s="3284" t="s">
        <v>1158</v>
      </c>
      <c r="E112" s="3284" t="s">
        <v>1166</v>
      </c>
      <c r="F112" s="3284" t="s">
        <v>1394</v>
      </c>
      <c r="G112" s="3284">
        <v>9960460637</v>
      </c>
      <c r="H112" s="3326" t="s">
        <v>1263</v>
      </c>
      <c r="I112" s="3268" t="s">
        <v>1264</v>
      </c>
      <c r="J112" s="3280" t="s">
        <v>75</v>
      </c>
      <c r="K112" s="3268" t="s">
        <v>157</v>
      </c>
      <c r="L112" s="3280" t="s">
        <v>1455</v>
      </c>
      <c r="M112" s="3313" t="s">
        <v>1454</v>
      </c>
      <c r="N112" s="3279">
        <v>309770</v>
      </c>
      <c r="O112" s="3279" t="s">
        <v>28</v>
      </c>
      <c r="P112" s="3279" t="s">
        <v>30</v>
      </c>
      <c r="Q112" s="3310">
        <v>1</v>
      </c>
      <c r="R112" s="3279" t="s">
        <v>1456</v>
      </c>
      <c r="S112" s="3279" t="s">
        <v>1385</v>
      </c>
      <c r="T112" s="3279">
        <v>294281</v>
      </c>
      <c r="U112" s="3279" t="s">
        <v>30</v>
      </c>
      <c r="V112" s="3276">
        <v>0</v>
      </c>
      <c r="W112" s="3279" t="s">
        <v>1166</v>
      </c>
      <c r="X112" s="3279" t="s">
        <v>1166</v>
      </c>
      <c r="Y112" s="3306" t="s">
        <v>1166</v>
      </c>
      <c r="Z112" s="3105" t="s">
        <v>1166</v>
      </c>
      <c r="AA112" s="3104" t="s">
        <v>1166</v>
      </c>
      <c r="AB112" s="3048"/>
      <c r="AC112" s="3048"/>
      <c r="AD112" s="3048"/>
      <c r="AE112" s="3048"/>
      <c r="AF112" s="3048"/>
      <c r="AG112" s="3048"/>
      <c r="AH112" s="3048"/>
      <c r="AI112" s="3048"/>
      <c r="AJ112" s="3048"/>
      <c r="AK112" s="3048"/>
      <c r="AL112" s="3048"/>
      <c r="AM112" s="3048"/>
      <c r="AN112" s="3048"/>
      <c r="AO112" s="3048"/>
      <c r="AP112" s="3048"/>
      <c r="AQ112" s="3048"/>
      <c r="AR112" s="3048"/>
      <c r="AS112" s="3048"/>
      <c r="AT112" s="3048"/>
      <c r="AU112" s="3048"/>
    </row>
    <row r="113" spans="1:47">
      <c r="A113" s="3279">
        <v>107</v>
      </c>
      <c r="B113" s="3279" t="s">
        <v>1416</v>
      </c>
      <c r="C113" s="3443" t="s">
        <v>1250</v>
      </c>
      <c r="D113" s="3284" t="s">
        <v>1158</v>
      </c>
      <c r="E113" s="3284" t="s">
        <v>1166</v>
      </c>
      <c r="F113" s="3284" t="s">
        <v>1360</v>
      </c>
      <c r="G113" s="3284">
        <v>9595134464</v>
      </c>
      <c r="H113" s="3326" t="s">
        <v>1361</v>
      </c>
      <c r="I113" s="3268" t="s">
        <v>1457</v>
      </c>
      <c r="J113" s="3280" t="s">
        <v>77</v>
      </c>
      <c r="K113" s="3280" t="s">
        <v>138</v>
      </c>
      <c r="L113" s="3268" t="s">
        <v>1458</v>
      </c>
      <c r="M113" s="3279" t="s">
        <v>1416</v>
      </c>
      <c r="N113" s="3279">
        <v>355000</v>
      </c>
      <c r="O113" s="3279" t="s">
        <v>28</v>
      </c>
      <c r="P113" s="3279" t="s">
        <v>30</v>
      </c>
      <c r="Q113" s="3310">
        <v>1</v>
      </c>
      <c r="R113" s="3283">
        <v>85398395</v>
      </c>
      <c r="S113" s="3324">
        <v>45782</v>
      </c>
      <c r="T113" s="3279">
        <v>336000</v>
      </c>
      <c r="U113" s="3279" t="s">
        <v>30</v>
      </c>
      <c r="V113" s="3276">
        <v>0</v>
      </c>
      <c r="W113" s="3279" t="s">
        <v>1166</v>
      </c>
      <c r="X113" s="3279" t="s">
        <v>1166</v>
      </c>
      <c r="Y113" s="3306" t="s">
        <v>1166</v>
      </c>
      <c r="Z113" s="3105" t="s">
        <v>1166</v>
      </c>
      <c r="AA113" s="3104" t="s">
        <v>1166</v>
      </c>
      <c r="AB113" s="3048"/>
      <c r="AC113" s="3048"/>
      <c r="AD113" s="3048"/>
      <c r="AE113" s="3048"/>
      <c r="AF113" s="3048"/>
      <c r="AG113" s="3048"/>
      <c r="AH113" s="3048"/>
      <c r="AI113" s="3048"/>
      <c r="AJ113" s="3048"/>
      <c r="AK113" s="3048"/>
      <c r="AL113" s="3048"/>
      <c r="AM113" s="3048"/>
      <c r="AN113" s="3048"/>
      <c r="AO113" s="3048"/>
      <c r="AP113" s="3048"/>
      <c r="AQ113" s="3048"/>
      <c r="AR113" s="3048"/>
      <c r="AS113" s="3048"/>
      <c r="AT113" s="3048"/>
      <c r="AU113" s="3048"/>
    </row>
    <row r="114" spans="1:47">
      <c r="A114" s="3279">
        <v>108</v>
      </c>
      <c r="B114" s="3279" t="s">
        <v>1416</v>
      </c>
      <c r="C114" s="3443" t="s">
        <v>687</v>
      </c>
      <c r="D114" s="3284" t="s">
        <v>1158</v>
      </c>
      <c r="E114" s="3284" t="s">
        <v>1166</v>
      </c>
      <c r="F114" s="3267" t="s">
        <v>1223</v>
      </c>
      <c r="G114" s="3267">
        <v>9850225626</v>
      </c>
      <c r="H114" s="3282" t="s">
        <v>1224</v>
      </c>
      <c r="I114" s="3268" t="s">
        <v>1459</v>
      </c>
      <c r="J114" s="3280" t="s">
        <v>73</v>
      </c>
      <c r="K114" s="3268" t="s">
        <v>138</v>
      </c>
      <c r="L114" s="3280" t="s">
        <v>1460</v>
      </c>
      <c r="M114" s="3279" t="s">
        <v>1416</v>
      </c>
      <c r="N114" s="3279">
        <v>73063</v>
      </c>
      <c r="O114" s="3279" t="s">
        <v>28</v>
      </c>
      <c r="P114" s="3279" t="s">
        <v>37</v>
      </c>
      <c r="Q114" s="3310">
        <v>1</v>
      </c>
      <c r="R114" s="3279">
        <v>9709257840</v>
      </c>
      <c r="S114" s="3279" t="s">
        <v>1461</v>
      </c>
      <c r="T114" s="3279">
        <v>73063</v>
      </c>
      <c r="U114" s="3279" t="s">
        <v>37</v>
      </c>
      <c r="V114" s="3276">
        <v>0</v>
      </c>
      <c r="W114" s="3279" t="s">
        <v>1166</v>
      </c>
      <c r="X114" s="3279" t="s">
        <v>1166</v>
      </c>
      <c r="Y114" s="3279" t="s">
        <v>1166</v>
      </c>
      <c r="Z114" s="3105" t="s">
        <v>1166</v>
      </c>
      <c r="AA114" s="3104" t="s">
        <v>1166</v>
      </c>
      <c r="AB114" s="3048"/>
      <c r="AC114" s="3048"/>
      <c r="AD114" s="3048"/>
      <c r="AE114" s="3048"/>
      <c r="AF114" s="3048"/>
      <c r="AG114" s="3048"/>
      <c r="AH114" s="3048"/>
      <c r="AI114" s="3048"/>
      <c r="AJ114" s="3048"/>
      <c r="AK114" s="3048"/>
      <c r="AL114" s="3048"/>
      <c r="AM114" s="3048"/>
      <c r="AN114" s="3048"/>
      <c r="AO114" s="3048"/>
      <c r="AP114" s="3048"/>
      <c r="AQ114" s="3048"/>
      <c r="AR114" s="3048"/>
      <c r="AS114" s="3048"/>
      <c r="AT114" s="3048"/>
      <c r="AU114" s="3048"/>
    </row>
    <row r="115" spans="1:47">
      <c r="A115" s="3265">
        <v>109</v>
      </c>
      <c r="B115" s="3279" t="s">
        <v>1166</v>
      </c>
      <c r="C115" s="3443" t="s">
        <v>687</v>
      </c>
      <c r="D115" s="3284" t="s">
        <v>1158</v>
      </c>
      <c r="E115" s="3284" t="s">
        <v>1166</v>
      </c>
      <c r="F115" s="3267" t="s">
        <v>1223</v>
      </c>
      <c r="G115" s="3267">
        <v>9850225626</v>
      </c>
      <c r="H115" s="3282" t="s">
        <v>1224</v>
      </c>
      <c r="I115" s="3284" t="s">
        <v>1462</v>
      </c>
      <c r="J115" s="3280" t="s">
        <v>73</v>
      </c>
      <c r="K115" s="3268" t="s">
        <v>138</v>
      </c>
      <c r="L115" s="3280" t="s">
        <v>1460</v>
      </c>
      <c r="M115" s="3279" t="s">
        <v>1416</v>
      </c>
      <c r="N115" s="3279">
        <v>73063</v>
      </c>
      <c r="O115" s="3279" t="s">
        <v>28</v>
      </c>
      <c r="P115" s="3279" t="s">
        <v>37</v>
      </c>
      <c r="Q115" s="3310">
        <v>1</v>
      </c>
      <c r="R115" s="3279">
        <v>9709257840</v>
      </c>
      <c r="S115" s="3279" t="s">
        <v>1461</v>
      </c>
      <c r="T115" s="3279">
        <v>73063</v>
      </c>
      <c r="U115" s="3279" t="s">
        <v>37</v>
      </c>
      <c r="V115" s="3276">
        <v>0</v>
      </c>
      <c r="W115" s="3279" t="s">
        <v>1166</v>
      </c>
      <c r="X115" s="3279" t="s">
        <v>1166</v>
      </c>
      <c r="Y115" s="3279" t="s">
        <v>1166</v>
      </c>
      <c r="Z115" s="3105" t="s">
        <v>1166</v>
      </c>
      <c r="AA115" s="3104" t="s">
        <v>1166</v>
      </c>
      <c r="AB115" s="3048"/>
      <c r="AC115" s="3048"/>
      <c r="AD115" s="3048"/>
      <c r="AE115" s="3048"/>
      <c r="AF115" s="3048"/>
      <c r="AG115" s="3048"/>
      <c r="AH115" s="3048"/>
      <c r="AI115" s="3048"/>
      <c r="AJ115" s="3048"/>
      <c r="AK115" s="3048"/>
      <c r="AL115" s="3048"/>
      <c r="AM115" s="3048"/>
      <c r="AN115" s="3048"/>
      <c r="AO115" s="3048"/>
      <c r="AP115" s="3048"/>
      <c r="AQ115" s="3048"/>
      <c r="AR115" s="3048"/>
      <c r="AS115" s="3048"/>
      <c r="AT115" s="3048"/>
      <c r="AU115" s="3048"/>
    </row>
    <row r="116" spans="1:47">
      <c r="A116" s="3279">
        <v>110</v>
      </c>
      <c r="B116" s="3279" t="s">
        <v>1166</v>
      </c>
      <c r="C116" s="3443" t="s">
        <v>687</v>
      </c>
      <c r="D116" s="3284" t="s">
        <v>1158</v>
      </c>
      <c r="E116" s="3284" t="s">
        <v>1166</v>
      </c>
      <c r="F116" s="3267" t="s">
        <v>1223</v>
      </c>
      <c r="G116" s="3267">
        <v>9850225626</v>
      </c>
      <c r="H116" s="3282" t="s">
        <v>1224</v>
      </c>
      <c r="I116" s="3268" t="s">
        <v>1463</v>
      </c>
      <c r="J116" s="3280" t="s">
        <v>73</v>
      </c>
      <c r="K116" s="3268" t="s">
        <v>138</v>
      </c>
      <c r="L116" s="3280" t="s">
        <v>1460</v>
      </c>
      <c r="M116" s="3279" t="s">
        <v>1416</v>
      </c>
      <c r="N116" s="3279">
        <v>73063</v>
      </c>
      <c r="O116" s="3279" t="s">
        <v>28</v>
      </c>
      <c r="P116" s="3279" t="s">
        <v>37</v>
      </c>
      <c r="Q116" s="3310">
        <v>1</v>
      </c>
      <c r="R116" s="3279">
        <v>9709257840</v>
      </c>
      <c r="S116" s="3279" t="s">
        <v>1461</v>
      </c>
      <c r="T116" s="3279">
        <v>73063</v>
      </c>
      <c r="U116" s="3279" t="s">
        <v>37</v>
      </c>
      <c r="V116" s="3276">
        <v>0</v>
      </c>
      <c r="W116" s="3279" t="s">
        <v>1166</v>
      </c>
      <c r="X116" s="3279" t="s">
        <v>1166</v>
      </c>
      <c r="Y116" s="3279" t="s">
        <v>1166</v>
      </c>
      <c r="Z116" s="3105" t="s">
        <v>1166</v>
      </c>
      <c r="AA116" s="3104" t="s">
        <v>1166</v>
      </c>
      <c r="AB116" s="3048"/>
      <c r="AC116" s="3048"/>
      <c r="AD116" s="3048"/>
      <c r="AE116" s="3048"/>
      <c r="AF116" s="3048"/>
      <c r="AG116" s="3048"/>
      <c r="AH116" s="3048"/>
      <c r="AI116" s="3048"/>
      <c r="AJ116" s="3048"/>
      <c r="AK116" s="3048"/>
      <c r="AL116" s="3048"/>
      <c r="AM116" s="3048"/>
      <c r="AN116" s="3048"/>
      <c r="AO116" s="3048"/>
      <c r="AP116" s="3048"/>
      <c r="AQ116" s="3048"/>
      <c r="AR116" s="3048"/>
      <c r="AS116" s="3048"/>
      <c r="AT116" s="3048"/>
      <c r="AU116" s="3048"/>
    </row>
    <row r="117" spans="1:47">
      <c r="A117" s="3279">
        <v>111</v>
      </c>
      <c r="B117" s="3279" t="s">
        <v>1166</v>
      </c>
      <c r="C117" s="3443" t="s">
        <v>687</v>
      </c>
      <c r="D117" s="3284" t="s">
        <v>1158</v>
      </c>
      <c r="E117" s="3284" t="s">
        <v>1166</v>
      </c>
      <c r="F117" s="3267" t="s">
        <v>1223</v>
      </c>
      <c r="G117" s="3267">
        <v>9850225626</v>
      </c>
      <c r="H117" s="3282" t="s">
        <v>1224</v>
      </c>
      <c r="I117" s="3284" t="s">
        <v>1464</v>
      </c>
      <c r="J117" s="3280" t="s">
        <v>73</v>
      </c>
      <c r="K117" s="3268" t="s">
        <v>138</v>
      </c>
      <c r="L117" s="3280" t="s">
        <v>1460</v>
      </c>
      <c r="M117" s="3279" t="s">
        <v>1416</v>
      </c>
      <c r="N117" s="3279">
        <v>73063</v>
      </c>
      <c r="O117" s="3279" t="s">
        <v>28</v>
      </c>
      <c r="P117" s="3279" t="s">
        <v>37</v>
      </c>
      <c r="Q117" s="3310">
        <v>1</v>
      </c>
      <c r="R117" s="3279">
        <v>9709257840</v>
      </c>
      <c r="S117" s="3279" t="s">
        <v>1461</v>
      </c>
      <c r="T117" s="3279">
        <v>73063</v>
      </c>
      <c r="U117" s="3279" t="s">
        <v>37</v>
      </c>
      <c r="V117" s="3276">
        <v>0</v>
      </c>
      <c r="W117" s="3279" t="s">
        <v>1166</v>
      </c>
      <c r="X117" s="3279" t="s">
        <v>1166</v>
      </c>
      <c r="Y117" s="3279" t="s">
        <v>1166</v>
      </c>
      <c r="Z117" s="3105" t="s">
        <v>1166</v>
      </c>
      <c r="AA117" s="3104" t="s">
        <v>1166</v>
      </c>
      <c r="AB117" s="3048"/>
      <c r="AC117" s="3048"/>
      <c r="AD117" s="3048"/>
      <c r="AE117" s="3048"/>
      <c r="AF117" s="3048"/>
      <c r="AG117" s="3048"/>
      <c r="AH117" s="3048"/>
      <c r="AI117" s="3048"/>
      <c r="AJ117" s="3048"/>
      <c r="AK117" s="3048"/>
      <c r="AL117" s="3048"/>
      <c r="AM117" s="3048"/>
      <c r="AN117" s="3048"/>
      <c r="AO117" s="3048"/>
      <c r="AP117" s="3048"/>
      <c r="AQ117" s="3048"/>
      <c r="AR117" s="3048"/>
      <c r="AS117" s="3048"/>
      <c r="AT117" s="3048"/>
      <c r="AU117" s="3048"/>
    </row>
    <row r="118" spans="1:47">
      <c r="A118" s="3279">
        <v>112</v>
      </c>
      <c r="B118" s="3279" t="s">
        <v>1166</v>
      </c>
      <c r="C118" s="3443" t="s">
        <v>687</v>
      </c>
      <c r="D118" s="3284" t="s">
        <v>1158</v>
      </c>
      <c r="E118" s="3284" t="s">
        <v>1166</v>
      </c>
      <c r="F118" s="3267" t="s">
        <v>1223</v>
      </c>
      <c r="G118" s="3267">
        <v>9850225626</v>
      </c>
      <c r="H118" s="3282" t="s">
        <v>1224</v>
      </c>
      <c r="I118" s="3268" t="s">
        <v>1465</v>
      </c>
      <c r="J118" s="3280" t="s">
        <v>73</v>
      </c>
      <c r="K118" s="3268" t="s">
        <v>138</v>
      </c>
      <c r="L118" s="3280" t="s">
        <v>1460</v>
      </c>
      <c r="M118" s="3279" t="s">
        <v>1416</v>
      </c>
      <c r="N118" s="3279">
        <v>73063</v>
      </c>
      <c r="O118" s="3279" t="s">
        <v>28</v>
      </c>
      <c r="P118" s="3279" t="s">
        <v>37</v>
      </c>
      <c r="Q118" s="3310">
        <v>1</v>
      </c>
      <c r="R118" s="3279">
        <v>9709257840</v>
      </c>
      <c r="S118" s="3279" t="s">
        <v>1461</v>
      </c>
      <c r="T118" s="3279">
        <v>73063</v>
      </c>
      <c r="U118" s="3279" t="s">
        <v>37</v>
      </c>
      <c r="V118" s="3276">
        <v>0</v>
      </c>
      <c r="W118" s="3279" t="s">
        <v>1166</v>
      </c>
      <c r="X118" s="3279" t="s">
        <v>1166</v>
      </c>
      <c r="Y118" s="3279" t="s">
        <v>1166</v>
      </c>
      <c r="Z118" s="3105" t="s">
        <v>1166</v>
      </c>
      <c r="AA118" s="3104" t="s">
        <v>1166</v>
      </c>
      <c r="AB118" s="3048"/>
      <c r="AC118" s="3048"/>
      <c r="AD118" s="3048"/>
      <c r="AE118" s="3048"/>
      <c r="AF118" s="3048"/>
      <c r="AG118" s="3048"/>
      <c r="AH118" s="3048"/>
      <c r="AI118" s="3048"/>
      <c r="AJ118" s="3048"/>
      <c r="AK118" s="3048"/>
      <c r="AL118" s="3048"/>
      <c r="AM118" s="3048"/>
      <c r="AN118" s="3048"/>
      <c r="AO118" s="3048"/>
      <c r="AP118" s="3048"/>
      <c r="AQ118" s="3048"/>
      <c r="AR118" s="3048"/>
      <c r="AS118" s="3048"/>
      <c r="AT118" s="3048"/>
      <c r="AU118" s="3048"/>
    </row>
    <row r="119" spans="1:47">
      <c r="A119" s="3265">
        <v>113</v>
      </c>
      <c r="B119" s="3279" t="s">
        <v>1166</v>
      </c>
      <c r="C119" s="3443" t="s">
        <v>687</v>
      </c>
      <c r="D119" s="3284" t="s">
        <v>1158</v>
      </c>
      <c r="E119" s="3284" t="s">
        <v>1166</v>
      </c>
      <c r="F119" s="3267" t="s">
        <v>1223</v>
      </c>
      <c r="G119" s="3267">
        <v>9850225626</v>
      </c>
      <c r="H119" s="3282" t="s">
        <v>1224</v>
      </c>
      <c r="I119" s="3268" t="s">
        <v>1466</v>
      </c>
      <c r="J119" s="3280" t="s">
        <v>73</v>
      </c>
      <c r="K119" s="3268" t="s">
        <v>138</v>
      </c>
      <c r="L119" s="3280" t="s">
        <v>1460</v>
      </c>
      <c r="M119" s="3279" t="s">
        <v>1416</v>
      </c>
      <c r="N119" s="3279">
        <v>73063</v>
      </c>
      <c r="O119" s="3279" t="s">
        <v>28</v>
      </c>
      <c r="P119" s="3279" t="s">
        <v>37</v>
      </c>
      <c r="Q119" s="3310">
        <v>1</v>
      </c>
      <c r="R119" s="3279">
        <v>9709257840</v>
      </c>
      <c r="S119" s="3279" t="s">
        <v>1461</v>
      </c>
      <c r="T119" s="3279">
        <v>73063</v>
      </c>
      <c r="U119" s="3279" t="s">
        <v>37</v>
      </c>
      <c r="V119" s="3276">
        <v>0</v>
      </c>
      <c r="W119" s="3279" t="s">
        <v>1166</v>
      </c>
      <c r="X119" s="3279" t="s">
        <v>1166</v>
      </c>
      <c r="Y119" s="3279" t="s">
        <v>1166</v>
      </c>
      <c r="Z119" s="3105" t="s">
        <v>1166</v>
      </c>
      <c r="AA119" s="3104" t="s">
        <v>1166</v>
      </c>
      <c r="AB119" s="3048"/>
      <c r="AC119" s="3048"/>
      <c r="AD119" s="3048"/>
      <c r="AE119" s="3048"/>
      <c r="AF119" s="3048"/>
      <c r="AG119" s="3048"/>
      <c r="AH119" s="3048"/>
      <c r="AI119" s="3048"/>
      <c r="AJ119" s="3048"/>
      <c r="AK119" s="3048"/>
      <c r="AL119" s="3048"/>
      <c r="AM119" s="3048"/>
      <c r="AN119" s="3048"/>
      <c r="AO119" s="3048"/>
      <c r="AP119" s="3048"/>
      <c r="AQ119" s="3048"/>
      <c r="AR119" s="3048"/>
      <c r="AS119" s="3048"/>
      <c r="AT119" s="3048"/>
      <c r="AU119" s="3048"/>
    </row>
    <row r="120" spans="1:47">
      <c r="A120" s="3279">
        <v>114</v>
      </c>
      <c r="B120" s="3279" t="s">
        <v>1166</v>
      </c>
      <c r="C120" s="3443" t="s">
        <v>687</v>
      </c>
      <c r="D120" s="3284" t="s">
        <v>1158</v>
      </c>
      <c r="E120" s="3284" t="s">
        <v>1166</v>
      </c>
      <c r="F120" s="3267" t="s">
        <v>1223</v>
      </c>
      <c r="G120" s="3267">
        <v>9850225626</v>
      </c>
      <c r="H120" s="3282" t="s">
        <v>1224</v>
      </c>
      <c r="I120" s="3268" t="s">
        <v>1467</v>
      </c>
      <c r="J120" s="3280" t="s">
        <v>73</v>
      </c>
      <c r="K120" s="3268" t="s">
        <v>138</v>
      </c>
      <c r="L120" s="3280" t="s">
        <v>1460</v>
      </c>
      <c r="M120" s="3279" t="s">
        <v>1416</v>
      </c>
      <c r="N120" s="3279">
        <v>73063</v>
      </c>
      <c r="O120" s="3279" t="s">
        <v>28</v>
      </c>
      <c r="P120" s="3279" t="s">
        <v>37</v>
      </c>
      <c r="Q120" s="3310">
        <v>1</v>
      </c>
      <c r="R120" s="3279">
        <v>9709257840</v>
      </c>
      <c r="S120" s="3279" t="s">
        <v>1461</v>
      </c>
      <c r="T120" s="3279">
        <v>73063</v>
      </c>
      <c r="U120" s="3279" t="s">
        <v>37</v>
      </c>
      <c r="V120" s="3276">
        <v>0</v>
      </c>
      <c r="W120" s="3279" t="s">
        <v>1166</v>
      </c>
      <c r="X120" s="3279" t="s">
        <v>1166</v>
      </c>
      <c r="Y120" s="3279" t="s">
        <v>1166</v>
      </c>
      <c r="Z120" s="3105" t="s">
        <v>1166</v>
      </c>
      <c r="AA120" s="3104" t="s">
        <v>1166</v>
      </c>
      <c r="AB120" s="3048"/>
      <c r="AC120" s="3048"/>
      <c r="AD120" s="3048"/>
      <c r="AE120" s="3048"/>
      <c r="AF120" s="3048"/>
      <c r="AG120" s="3048"/>
      <c r="AH120" s="3048"/>
      <c r="AI120" s="3048"/>
      <c r="AJ120" s="3048"/>
      <c r="AK120" s="3048"/>
      <c r="AL120" s="3048"/>
      <c r="AM120" s="3048"/>
      <c r="AN120" s="3048"/>
      <c r="AO120" s="3048"/>
      <c r="AP120" s="3048"/>
      <c r="AQ120" s="3048"/>
      <c r="AR120" s="3048"/>
      <c r="AS120" s="3048"/>
      <c r="AT120" s="3048"/>
      <c r="AU120" s="3048"/>
    </row>
    <row r="121" spans="1:47">
      <c r="A121" s="3279">
        <v>115</v>
      </c>
      <c r="B121" s="3279" t="s">
        <v>1166</v>
      </c>
      <c r="C121" s="3443" t="s">
        <v>687</v>
      </c>
      <c r="D121" s="3284" t="s">
        <v>1158</v>
      </c>
      <c r="E121" s="3284" t="s">
        <v>1166</v>
      </c>
      <c r="F121" s="3267" t="s">
        <v>1223</v>
      </c>
      <c r="G121" s="3267">
        <v>9850225626</v>
      </c>
      <c r="H121" s="3282" t="s">
        <v>1224</v>
      </c>
      <c r="I121" s="3268" t="s">
        <v>1468</v>
      </c>
      <c r="J121" s="3280" t="s">
        <v>73</v>
      </c>
      <c r="K121" s="3268" t="s">
        <v>138</v>
      </c>
      <c r="L121" s="3280" t="s">
        <v>1460</v>
      </c>
      <c r="M121" s="3279" t="s">
        <v>1416</v>
      </c>
      <c r="N121" s="3279">
        <v>73063</v>
      </c>
      <c r="O121" s="3279" t="s">
        <v>28</v>
      </c>
      <c r="P121" s="3279" t="s">
        <v>37</v>
      </c>
      <c r="Q121" s="3310">
        <v>1</v>
      </c>
      <c r="R121" s="3279">
        <v>9709257840</v>
      </c>
      <c r="S121" s="3279" t="s">
        <v>1461</v>
      </c>
      <c r="T121" s="3279">
        <v>73063</v>
      </c>
      <c r="U121" s="3279" t="s">
        <v>37</v>
      </c>
      <c r="V121" s="3276">
        <v>0</v>
      </c>
      <c r="W121" s="3279" t="s">
        <v>1166</v>
      </c>
      <c r="X121" s="3279" t="s">
        <v>1166</v>
      </c>
      <c r="Y121" s="3279" t="s">
        <v>1166</v>
      </c>
      <c r="Z121" s="3105" t="s">
        <v>1166</v>
      </c>
      <c r="AA121" s="3104" t="s">
        <v>1166</v>
      </c>
      <c r="AB121" s="3048"/>
      <c r="AC121" s="3048"/>
      <c r="AD121" s="3048"/>
      <c r="AE121" s="3048"/>
      <c r="AF121" s="3048"/>
      <c r="AG121" s="3048"/>
      <c r="AH121" s="3048"/>
      <c r="AI121" s="3048"/>
      <c r="AJ121" s="3048"/>
      <c r="AK121" s="3048"/>
      <c r="AL121" s="3048"/>
      <c r="AM121" s="3048"/>
      <c r="AN121" s="3048"/>
      <c r="AO121" s="3048"/>
      <c r="AP121" s="3048"/>
      <c r="AQ121" s="3048"/>
      <c r="AR121" s="3048"/>
      <c r="AS121" s="3048"/>
      <c r="AT121" s="3048"/>
      <c r="AU121" s="3048"/>
    </row>
    <row r="122" spans="1:47">
      <c r="A122" s="3279">
        <v>116</v>
      </c>
      <c r="B122" s="3279" t="s">
        <v>1166</v>
      </c>
      <c r="C122" s="3443" t="s">
        <v>687</v>
      </c>
      <c r="D122" s="3284" t="s">
        <v>1158</v>
      </c>
      <c r="E122" s="3284" t="s">
        <v>1166</v>
      </c>
      <c r="F122" s="3267" t="s">
        <v>1223</v>
      </c>
      <c r="G122" s="3267">
        <v>9850225626</v>
      </c>
      <c r="H122" s="3282" t="s">
        <v>1224</v>
      </c>
      <c r="I122" s="3268" t="s">
        <v>1469</v>
      </c>
      <c r="J122" s="3280" t="s">
        <v>73</v>
      </c>
      <c r="K122" s="3268" t="s">
        <v>138</v>
      </c>
      <c r="L122" s="3280" t="s">
        <v>1460</v>
      </c>
      <c r="M122" s="3279" t="s">
        <v>1416</v>
      </c>
      <c r="N122" s="3279">
        <v>73063</v>
      </c>
      <c r="O122" s="3279" t="s">
        <v>28</v>
      </c>
      <c r="P122" s="3279" t="s">
        <v>37</v>
      </c>
      <c r="Q122" s="3310">
        <v>1</v>
      </c>
      <c r="R122" s="3279">
        <v>9709257840</v>
      </c>
      <c r="S122" s="3279" t="s">
        <v>1461</v>
      </c>
      <c r="T122" s="3279">
        <v>73063</v>
      </c>
      <c r="U122" s="3279" t="s">
        <v>37</v>
      </c>
      <c r="V122" s="3276">
        <v>0</v>
      </c>
      <c r="W122" s="3279" t="s">
        <v>1166</v>
      </c>
      <c r="X122" s="3279" t="s">
        <v>1166</v>
      </c>
      <c r="Y122" s="3279" t="s">
        <v>1166</v>
      </c>
      <c r="Z122" s="3105" t="s">
        <v>1166</v>
      </c>
      <c r="AA122" s="3104" t="s">
        <v>1166</v>
      </c>
      <c r="AB122" s="3048"/>
      <c r="AC122" s="3048"/>
      <c r="AD122" s="3048"/>
      <c r="AE122" s="3048"/>
      <c r="AF122" s="3048"/>
      <c r="AG122" s="3048"/>
      <c r="AH122" s="3048"/>
      <c r="AI122" s="3048"/>
      <c r="AJ122" s="3048"/>
      <c r="AK122" s="3048"/>
      <c r="AL122" s="3048"/>
      <c r="AM122" s="3048"/>
      <c r="AN122" s="3048"/>
      <c r="AO122" s="3048"/>
      <c r="AP122" s="3048"/>
      <c r="AQ122" s="3048"/>
      <c r="AR122" s="3048"/>
      <c r="AS122" s="3048"/>
      <c r="AT122" s="3048"/>
      <c r="AU122" s="3048"/>
    </row>
    <row r="123" spans="1:47">
      <c r="A123" s="3265">
        <v>117</v>
      </c>
      <c r="B123" s="3279" t="s">
        <v>1166</v>
      </c>
      <c r="C123" s="3443" t="s">
        <v>687</v>
      </c>
      <c r="D123" s="3284" t="s">
        <v>1158</v>
      </c>
      <c r="E123" s="3284" t="s">
        <v>1166</v>
      </c>
      <c r="F123" s="3267" t="s">
        <v>1223</v>
      </c>
      <c r="G123" s="3267">
        <v>9850225626</v>
      </c>
      <c r="H123" s="3282" t="s">
        <v>1224</v>
      </c>
      <c r="I123" s="3268" t="s">
        <v>1470</v>
      </c>
      <c r="J123" s="3280" t="s">
        <v>73</v>
      </c>
      <c r="K123" s="3268" t="s">
        <v>138</v>
      </c>
      <c r="L123" s="3280" t="s">
        <v>1460</v>
      </c>
      <c r="M123" s="3279" t="s">
        <v>1416</v>
      </c>
      <c r="N123" s="3279">
        <v>73063</v>
      </c>
      <c r="O123" s="3279" t="s">
        <v>28</v>
      </c>
      <c r="P123" s="3279" t="s">
        <v>37</v>
      </c>
      <c r="Q123" s="3310">
        <v>1</v>
      </c>
      <c r="R123" s="3279">
        <v>9709257840</v>
      </c>
      <c r="S123" s="3279" t="s">
        <v>1461</v>
      </c>
      <c r="T123" s="3279">
        <v>73063</v>
      </c>
      <c r="U123" s="3279" t="s">
        <v>37</v>
      </c>
      <c r="V123" s="3276">
        <v>0</v>
      </c>
      <c r="W123" s="3279" t="s">
        <v>1166</v>
      </c>
      <c r="X123" s="3279" t="s">
        <v>1166</v>
      </c>
      <c r="Y123" s="3279" t="s">
        <v>1166</v>
      </c>
      <c r="Z123" s="3105" t="s">
        <v>1166</v>
      </c>
      <c r="AA123" s="3104" t="s">
        <v>1166</v>
      </c>
      <c r="AB123" s="3048"/>
      <c r="AC123" s="3048"/>
      <c r="AD123" s="3048"/>
      <c r="AE123" s="3048"/>
      <c r="AF123" s="3048"/>
      <c r="AG123" s="3048"/>
      <c r="AH123" s="3048"/>
      <c r="AI123" s="3048"/>
      <c r="AJ123" s="3048"/>
      <c r="AK123" s="3048"/>
      <c r="AL123" s="3048"/>
      <c r="AM123" s="3048"/>
      <c r="AN123" s="3048"/>
      <c r="AO123" s="3048"/>
      <c r="AP123" s="3048"/>
      <c r="AQ123" s="3048"/>
      <c r="AR123" s="3048"/>
      <c r="AS123" s="3048"/>
      <c r="AT123" s="3048"/>
      <c r="AU123" s="3048"/>
    </row>
    <row r="124" spans="1:47">
      <c r="A124" s="3279">
        <v>118</v>
      </c>
      <c r="B124" s="3279" t="s">
        <v>1166</v>
      </c>
      <c r="C124" s="3443" t="s">
        <v>687</v>
      </c>
      <c r="D124" s="3284" t="s">
        <v>1158</v>
      </c>
      <c r="E124" s="3284" t="s">
        <v>1166</v>
      </c>
      <c r="F124" s="3267" t="s">
        <v>1223</v>
      </c>
      <c r="G124" s="3267">
        <v>9850225626</v>
      </c>
      <c r="H124" s="3282" t="s">
        <v>1224</v>
      </c>
      <c r="I124" s="3268" t="s">
        <v>1225</v>
      </c>
      <c r="J124" s="3280" t="s">
        <v>73</v>
      </c>
      <c r="K124" s="3268" t="s">
        <v>138</v>
      </c>
      <c r="L124" s="3280" t="s">
        <v>1460</v>
      </c>
      <c r="M124" s="3279" t="s">
        <v>1416</v>
      </c>
      <c r="N124" s="3279">
        <v>73063</v>
      </c>
      <c r="O124" s="3279" t="s">
        <v>28</v>
      </c>
      <c r="P124" s="3279" t="s">
        <v>37</v>
      </c>
      <c r="Q124" s="3310">
        <v>1</v>
      </c>
      <c r="R124" s="3279">
        <v>9709257840</v>
      </c>
      <c r="S124" s="3279" t="s">
        <v>1461</v>
      </c>
      <c r="T124" s="3279">
        <v>73063</v>
      </c>
      <c r="U124" s="3279" t="s">
        <v>37</v>
      </c>
      <c r="V124" s="3276">
        <v>0</v>
      </c>
      <c r="W124" s="3279" t="s">
        <v>1166</v>
      </c>
      <c r="X124" s="3279" t="s">
        <v>1166</v>
      </c>
      <c r="Y124" s="3279" t="s">
        <v>1166</v>
      </c>
      <c r="Z124" s="3105" t="s">
        <v>1166</v>
      </c>
      <c r="AA124" s="3104" t="s">
        <v>1166</v>
      </c>
      <c r="AB124" s="3048"/>
      <c r="AC124" s="3048"/>
      <c r="AD124" s="3048"/>
      <c r="AE124" s="3048"/>
      <c r="AF124" s="3048"/>
      <c r="AG124" s="3048"/>
      <c r="AH124" s="3048"/>
      <c r="AI124" s="3048"/>
      <c r="AJ124" s="3048"/>
      <c r="AK124" s="3048"/>
      <c r="AL124" s="3048"/>
      <c r="AM124" s="3048"/>
      <c r="AN124" s="3048"/>
      <c r="AO124" s="3048"/>
      <c r="AP124" s="3048"/>
      <c r="AQ124" s="3048"/>
      <c r="AR124" s="3048"/>
      <c r="AS124" s="3048"/>
      <c r="AT124" s="3048"/>
      <c r="AU124" s="3048"/>
    </row>
    <row r="125" spans="1:47">
      <c r="A125" s="3279">
        <v>119</v>
      </c>
      <c r="B125" s="3279" t="s">
        <v>1166</v>
      </c>
      <c r="C125" s="3443" t="s">
        <v>687</v>
      </c>
      <c r="D125" s="3284" t="s">
        <v>1158</v>
      </c>
      <c r="E125" s="3284" t="s">
        <v>1166</v>
      </c>
      <c r="F125" s="3267" t="s">
        <v>1223</v>
      </c>
      <c r="G125" s="3267">
        <v>9850225626</v>
      </c>
      <c r="H125" s="3282" t="s">
        <v>1224</v>
      </c>
      <c r="I125" s="3268" t="s">
        <v>1471</v>
      </c>
      <c r="J125" s="3280" t="s">
        <v>73</v>
      </c>
      <c r="K125" s="3268" t="s">
        <v>138</v>
      </c>
      <c r="L125" s="3280" t="s">
        <v>1460</v>
      </c>
      <c r="M125" s="3279" t="s">
        <v>1416</v>
      </c>
      <c r="N125" s="3279">
        <v>73063</v>
      </c>
      <c r="O125" s="3279" t="s">
        <v>28</v>
      </c>
      <c r="P125" s="3279" t="s">
        <v>37</v>
      </c>
      <c r="Q125" s="3310">
        <v>1</v>
      </c>
      <c r="R125" s="3279">
        <v>9709257840</v>
      </c>
      <c r="S125" s="3279" t="s">
        <v>1461</v>
      </c>
      <c r="T125" s="3279">
        <v>73063</v>
      </c>
      <c r="U125" s="3279" t="s">
        <v>37</v>
      </c>
      <c r="V125" s="3276">
        <v>0</v>
      </c>
      <c r="W125" s="3279" t="s">
        <v>1166</v>
      </c>
      <c r="X125" s="3279" t="s">
        <v>1166</v>
      </c>
      <c r="Y125" s="3279" t="s">
        <v>1166</v>
      </c>
      <c r="Z125" s="3105" t="s">
        <v>1166</v>
      </c>
      <c r="AA125" s="3104" t="s">
        <v>1166</v>
      </c>
      <c r="AB125" s="3048"/>
      <c r="AC125" s="3048"/>
      <c r="AD125" s="3048"/>
      <c r="AE125" s="3048"/>
      <c r="AF125" s="3048"/>
      <c r="AG125" s="3048"/>
      <c r="AH125" s="3048"/>
      <c r="AI125" s="3048"/>
      <c r="AJ125" s="3048"/>
      <c r="AK125" s="3048"/>
      <c r="AL125" s="3048"/>
      <c r="AM125" s="3048"/>
      <c r="AN125" s="3048"/>
      <c r="AO125" s="3048"/>
      <c r="AP125" s="3048"/>
      <c r="AQ125" s="3048"/>
      <c r="AR125" s="3048"/>
      <c r="AS125" s="3048"/>
      <c r="AT125" s="3048"/>
      <c r="AU125" s="3048"/>
    </row>
    <row r="126" spans="1:47">
      <c r="A126" s="3279">
        <v>120</v>
      </c>
      <c r="B126" s="3279" t="s">
        <v>1166</v>
      </c>
      <c r="C126" s="3443" t="s">
        <v>687</v>
      </c>
      <c r="D126" s="3284" t="s">
        <v>1158</v>
      </c>
      <c r="E126" s="3284" t="s">
        <v>1166</v>
      </c>
      <c r="F126" s="3267" t="s">
        <v>1223</v>
      </c>
      <c r="G126" s="3267">
        <v>9850225626</v>
      </c>
      <c r="H126" s="3282" t="s">
        <v>1224</v>
      </c>
      <c r="I126" s="3268" t="s">
        <v>1472</v>
      </c>
      <c r="J126" s="3280" t="s">
        <v>73</v>
      </c>
      <c r="K126" s="3268" t="s">
        <v>138</v>
      </c>
      <c r="L126" s="3280" t="s">
        <v>1460</v>
      </c>
      <c r="M126" s="3279" t="s">
        <v>1416</v>
      </c>
      <c r="N126" s="3279">
        <v>73063</v>
      </c>
      <c r="O126" s="3279" t="s">
        <v>28</v>
      </c>
      <c r="P126" s="3279" t="s">
        <v>37</v>
      </c>
      <c r="Q126" s="3310">
        <v>1</v>
      </c>
      <c r="R126" s="3279">
        <v>9709257840</v>
      </c>
      <c r="S126" s="3279" t="s">
        <v>1461</v>
      </c>
      <c r="T126" s="3279">
        <v>73063</v>
      </c>
      <c r="U126" s="3279" t="s">
        <v>37</v>
      </c>
      <c r="V126" s="3276">
        <v>0</v>
      </c>
      <c r="W126" s="3279" t="s">
        <v>1166</v>
      </c>
      <c r="X126" s="3279" t="s">
        <v>1166</v>
      </c>
      <c r="Y126" s="3279" t="s">
        <v>1166</v>
      </c>
      <c r="Z126" s="3105" t="s">
        <v>1166</v>
      </c>
      <c r="AA126" s="3104" t="s">
        <v>1166</v>
      </c>
      <c r="AB126" s="3048"/>
      <c r="AC126" s="3048"/>
      <c r="AD126" s="3048"/>
      <c r="AE126" s="3048"/>
      <c r="AF126" s="3048"/>
      <c r="AG126" s="3048"/>
      <c r="AH126" s="3048"/>
      <c r="AI126" s="3048"/>
      <c r="AJ126" s="3048"/>
      <c r="AK126" s="3048"/>
      <c r="AL126" s="3048"/>
      <c r="AM126" s="3048"/>
      <c r="AN126" s="3048"/>
      <c r="AO126" s="3048"/>
      <c r="AP126" s="3048"/>
      <c r="AQ126" s="3048"/>
      <c r="AR126" s="3048"/>
      <c r="AS126" s="3048"/>
      <c r="AT126" s="3048"/>
      <c r="AU126" s="3048"/>
    </row>
    <row r="127" spans="1:47">
      <c r="A127" s="3265">
        <v>121</v>
      </c>
      <c r="B127" s="3279" t="s">
        <v>1473</v>
      </c>
      <c r="C127" s="3443" t="s">
        <v>1421</v>
      </c>
      <c r="D127" s="3284" t="s">
        <v>1158</v>
      </c>
      <c r="E127" s="3284" t="s">
        <v>1166</v>
      </c>
      <c r="F127" s="3284" t="s">
        <v>1474</v>
      </c>
      <c r="G127" s="3313">
        <v>8412878626</v>
      </c>
      <c r="H127" s="3326" t="s">
        <v>1475</v>
      </c>
      <c r="I127" s="3268" t="s">
        <v>1476</v>
      </c>
      <c r="J127" s="3280" t="s">
        <v>73</v>
      </c>
      <c r="K127" s="3280" t="s">
        <v>138</v>
      </c>
      <c r="L127" s="3280" t="s">
        <v>1477</v>
      </c>
      <c r="M127" s="3279" t="s">
        <v>1473</v>
      </c>
      <c r="N127" s="3279">
        <v>81000</v>
      </c>
      <c r="O127" s="3279" t="s">
        <v>28</v>
      </c>
      <c r="P127" s="3279" t="s">
        <v>34</v>
      </c>
      <c r="Q127" s="3310">
        <v>1</v>
      </c>
      <c r="R127" s="3279">
        <v>7100090208</v>
      </c>
      <c r="S127" s="3279" t="s">
        <v>1478</v>
      </c>
      <c r="T127" s="3279">
        <v>81000</v>
      </c>
      <c r="U127" s="3279" t="s">
        <v>34</v>
      </c>
      <c r="V127" s="3276">
        <v>0</v>
      </c>
      <c r="W127" s="3279" t="s">
        <v>1166</v>
      </c>
      <c r="X127" s="3279" t="s">
        <v>1166</v>
      </c>
      <c r="Y127" s="3279" t="s">
        <v>1166</v>
      </c>
      <c r="Z127" s="3105" t="s">
        <v>1166</v>
      </c>
      <c r="AA127" s="3104" t="s">
        <v>1166</v>
      </c>
      <c r="AB127" s="3048"/>
      <c r="AC127" s="3048"/>
      <c r="AD127" s="3048"/>
      <c r="AE127" s="3048"/>
      <c r="AF127" s="3048"/>
      <c r="AG127" s="3048"/>
      <c r="AH127" s="3048"/>
      <c r="AI127" s="3048"/>
      <c r="AJ127" s="3048"/>
      <c r="AK127" s="3048"/>
      <c r="AL127" s="3048"/>
      <c r="AM127" s="3048"/>
      <c r="AN127" s="3048"/>
      <c r="AO127" s="3048"/>
      <c r="AP127" s="3048"/>
      <c r="AQ127" s="3048"/>
      <c r="AR127" s="3048"/>
      <c r="AS127" s="3048"/>
      <c r="AT127" s="3048"/>
      <c r="AU127" s="3048"/>
    </row>
    <row r="128" spans="1:47">
      <c r="A128" s="3359">
        <v>122</v>
      </c>
      <c r="B128" s="3360">
        <v>45779</v>
      </c>
      <c r="C128" s="3450" t="s">
        <v>733</v>
      </c>
      <c r="D128" s="3361" t="s">
        <v>304</v>
      </c>
      <c r="E128" s="3361" t="s">
        <v>1166</v>
      </c>
      <c r="F128" s="3361" t="s">
        <v>1324</v>
      </c>
      <c r="G128" s="3361">
        <v>9326387581</v>
      </c>
      <c r="H128" s="3368" t="s">
        <v>1325</v>
      </c>
      <c r="I128" s="1398" t="s">
        <v>736</v>
      </c>
      <c r="J128" s="3362" t="s">
        <v>83</v>
      </c>
      <c r="K128" s="1398" t="s">
        <v>157</v>
      </c>
      <c r="L128" s="3369" t="s">
        <v>1479</v>
      </c>
      <c r="M128" s="3365">
        <v>45779</v>
      </c>
      <c r="N128" s="3359">
        <v>185748</v>
      </c>
      <c r="O128" s="3359" t="s">
        <v>30</v>
      </c>
      <c r="P128" s="3359" t="s">
        <v>1480</v>
      </c>
      <c r="Q128" s="3310">
        <v>1</v>
      </c>
      <c r="R128" s="3359" t="s">
        <v>1481</v>
      </c>
      <c r="S128" s="3360" t="s">
        <v>1482</v>
      </c>
      <c r="T128" s="3359">
        <v>1112114</v>
      </c>
      <c r="U128" s="3359" t="s">
        <v>39</v>
      </c>
      <c r="V128" s="3367">
        <v>0</v>
      </c>
      <c r="W128" s="3359" t="s">
        <v>1166</v>
      </c>
      <c r="X128" s="3306" t="s">
        <v>1166</v>
      </c>
      <c r="Y128" s="3288" t="s">
        <v>1166</v>
      </c>
      <c r="Z128" s="3105" t="s">
        <v>1166</v>
      </c>
      <c r="AA128" s="3104" t="s">
        <v>1166</v>
      </c>
      <c r="AB128" s="3048"/>
      <c r="AC128" s="3048"/>
      <c r="AD128" s="3048"/>
      <c r="AE128" s="3048"/>
      <c r="AF128" s="3048"/>
      <c r="AG128" s="3048"/>
      <c r="AH128" s="3048"/>
      <c r="AI128" s="3048"/>
      <c r="AJ128" s="3048"/>
      <c r="AK128" s="3048"/>
      <c r="AL128" s="3048"/>
      <c r="AM128" s="3048"/>
      <c r="AN128" s="3048"/>
      <c r="AO128" s="3048"/>
      <c r="AP128" s="3048"/>
      <c r="AQ128" s="3048"/>
      <c r="AR128" s="3048"/>
      <c r="AS128" s="3048"/>
      <c r="AT128" s="3048"/>
      <c r="AU128" s="3048"/>
    </row>
    <row r="129" spans="1:47">
      <c r="A129" s="3359">
        <v>123</v>
      </c>
      <c r="B129" s="3360">
        <v>45785</v>
      </c>
      <c r="C129" s="3450" t="s">
        <v>1250</v>
      </c>
      <c r="D129" s="3361" t="s">
        <v>304</v>
      </c>
      <c r="E129" s="3361" t="s">
        <v>1166</v>
      </c>
      <c r="F129" s="3361" t="s">
        <v>1483</v>
      </c>
      <c r="G129" s="3370">
        <v>9607001672</v>
      </c>
      <c r="H129" s="3371" t="s">
        <v>1405</v>
      </c>
      <c r="I129" s="1398" t="s">
        <v>1484</v>
      </c>
      <c r="J129" s="3362" t="s">
        <v>75</v>
      </c>
      <c r="K129" s="3362" t="s">
        <v>157</v>
      </c>
      <c r="L129" s="3362" t="s">
        <v>1485</v>
      </c>
      <c r="M129" s="3360">
        <v>45785</v>
      </c>
      <c r="N129" s="3359">
        <v>148390</v>
      </c>
      <c r="O129" s="3359" t="s">
        <v>30</v>
      </c>
      <c r="P129" s="3359" t="s">
        <v>34</v>
      </c>
      <c r="Q129" s="3310">
        <v>1</v>
      </c>
      <c r="R129" s="3359" t="s">
        <v>1486</v>
      </c>
      <c r="S129" s="3359" t="s">
        <v>1487</v>
      </c>
      <c r="T129" s="3359">
        <v>148390</v>
      </c>
      <c r="U129" s="3359" t="s">
        <v>37</v>
      </c>
      <c r="V129" s="3367">
        <v>0</v>
      </c>
      <c r="W129" s="3359" t="s">
        <v>1166</v>
      </c>
      <c r="X129" s="3359" t="s">
        <v>1166</v>
      </c>
      <c r="Y129" s="3359" t="s">
        <v>1166</v>
      </c>
      <c r="Z129" s="3105" t="s">
        <v>1166</v>
      </c>
      <c r="AA129" s="3104" t="s">
        <v>1166</v>
      </c>
      <c r="AB129" s="3048"/>
      <c r="AC129" s="3048"/>
      <c r="AD129" s="3048"/>
      <c r="AE129" s="3048"/>
      <c r="AF129" s="3048"/>
      <c r="AG129" s="3048"/>
      <c r="AH129" s="3048"/>
      <c r="AI129" s="3048"/>
      <c r="AJ129" s="3048"/>
      <c r="AK129" s="3048"/>
      <c r="AL129" s="3048"/>
      <c r="AM129" s="3048"/>
      <c r="AN129" s="3048"/>
      <c r="AO129" s="3048"/>
      <c r="AP129" s="3048"/>
      <c r="AQ129" s="3048"/>
      <c r="AR129" s="3048"/>
      <c r="AS129" s="3048"/>
      <c r="AT129" s="3048"/>
      <c r="AU129" s="3048"/>
    </row>
    <row r="130" spans="1:47">
      <c r="A130" s="3279">
        <v>124</v>
      </c>
      <c r="B130" s="3279" t="s">
        <v>1488</v>
      </c>
      <c r="C130" s="3443" t="s">
        <v>1250</v>
      </c>
      <c r="D130" s="3284" t="s">
        <v>1158</v>
      </c>
      <c r="E130" s="3284" t="s">
        <v>1166</v>
      </c>
      <c r="F130" s="3348" t="s">
        <v>1483</v>
      </c>
      <c r="G130" s="3313">
        <v>9607001672</v>
      </c>
      <c r="H130" s="3372" t="s">
        <v>1405</v>
      </c>
      <c r="I130" s="3268" t="s">
        <v>1489</v>
      </c>
      <c r="J130" s="3280" t="s">
        <v>73</v>
      </c>
      <c r="K130" s="3268" t="s">
        <v>138</v>
      </c>
      <c r="L130" s="3280" t="s">
        <v>1490</v>
      </c>
      <c r="M130" s="3313" t="s">
        <v>1488</v>
      </c>
      <c r="N130" s="3279">
        <v>76440</v>
      </c>
      <c r="O130" s="3279" t="s">
        <v>30</v>
      </c>
      <c r="P130" s="3279" t="s">
        <v>37</v>
      </c>
      <c r="Q130" s="3310">
        <v>1</v>
      </c>
      <c r="R130" s="3279">
        <v>87521421</v>
      </c>
      <c r="S130" s="3279" t="s">
        <v>1491</v>
      </c>
      <c r="T130" s="3279">
        <v>76440</v>
      </c>
      <c r="U130" s="3279" t="s">
        <v>34</v>
      </c>
      <c r="V130" s="3276">
        <v>0</v>
      </c>
      <c r="W130" s="3279" t="s">
        <v>1166</v>
      </c>
      <c r="X130" s="3279" t="s">
        <v>1166</v>
      </c>
      <c r="Y130" s="3283" t="s">
        <v>1166</v>
      </c>
      <c r="Z130" s="3105" t="s">
        <v>1166</v>
      </c>
      <c r="AA130" s="3104" t="s">
        <v>1166</v>
      </c>
      <c r="AB130" s="3048"/>
      <c r="AC130" s="3048"/>
      <c r="AD130" s="3048"/>
      <c r="AE130" s="3048"/>
      <c r="AF130" s="3048"/>
      <c r="AG130" s="3048"/>
      <c r="AH130" s="3048"/>
      <c r="AI130" s="3048"/>
      <c r="AJ130" s="3048"/>
      <c r="AK130" s="3048"/>
      <c r="AL130" s="3048"/>
      <c r="AM130" s="3048"/>
      <c r="AN130" s="3048"/>
      <c r="AO130" s="3048"/>
      <c r="AP130" s="3048"/>
      <c r="AQ130" s="3048"/>
      <c r="AR130" s="3048"/>
      <c r="AS130" s="3048"/>
      <c r="AT130" s="3048"/>
      <c r="AU130" s="3048"/>
    </row>
    <row r="131" spans="1:47">
      <c r="A131" s="3265">
        <v>125</v>
      </c>
      <c r="B131" s="3279" t="s">
        <v>1166</v>
      </c>
      <c r="C131" s="3443" t="s">
        <v>1250</v>
      </c>
      <c r="D131" s="3284" t="s">
        <v>1158</v>
      </c>
      <c r="E131" s="3284" t="s">
        <v>1166</v>
      </c>
      <c r="F131" s="3348" t="s">
        <v>1483</v>
      </c>
      <c r="G131" s="3313">
        <v>9607001672</v>
      </c>
      <c r="H131" s="3372" t="s">
        <v>1405</v>
      </c>
      <c r="I131" s="3268" t="s">
        <v>1406</v>
      </c>
      <c r="J131" s="3280" t="s">
        <v>73</v>
      </c>
      <c r="K131" s="3268" t="s">
        <v>138</v>
      </c>
      <c r="L131" s="3280" t="s">
        <v>1490</v>
      </c>
      <c r="M131" s="3313" t="s">
        <v>1488</v>
      </c>
      <c r="N131" s="3279">
        <v>76440</v>
      </c>
      <c r="O131" s="3279" t="s">
        <v>30</v>
      </c>
      <c r="P131" s="3279" t="s">
        <v>37</v>
      </c>
      <c r="Q131" s="3310">
        <v>1</v>
      </c>
      <c r="R131" s="3279">
        <v>87521421</v>
      </c>
      <c r="S131" s="3279" t="s">
        <v>1491</v>
      </c>
      <c r="T131" s="3279">
        <v>76440</v>
      </c>
      <c r="U131" s="3279" t="s">
        <v>34</v>
      </c>
      <c r="V131" s="3276">
        <v>0</v>
      </c>
      <c r="W131" s="3279" t="s">
        <v>1166</v>
      </c>
      <c r="X131" s="3279" t="s">
        <v>1166</v>
      </c>
      <c r="Y131" s="3283" t="s">
        <v>1166</v>
      </c>
      <c r="Z131" s="3105" t="s">
        <v>1166</v>
      </c>
      <c r="AA131" s="3104" t="s">
        <v>1166</v>
      </c>
      <c r="AB131" s="3048"/>
      <c r="AC131" s="3048"/>
      <c r="AD131" s="3048"/>
      <c r="AE131" s="3048"/>
      <c r="AF131" s="3048"/>
      <c r="AG131" s="3048"/>
      <c r="AH131" s="3048"/>
      <c r="AI131" s="3048"/>
      <c r="AJ131" s="3048"/>
      <c r="AK131" s="3048"/>
      <c r="AL131" s="3048"/>
      <c r="AM131" s="3048"/>
      <c r="AN131" s="3048"/>
      <c r="AO131" s="3048"/>
      <c r="AP131" s="3048"/>
      <c r="AQ131" s="3048"/>
      <c r="AR131" s="3048"/>
      <c r="AS131" s="3048"/>
      <c r="AT131" s="3048"/>
      <c r="AU131" s="3048"/>
    </row>
    <row r="132" spans="1:47">
      <c r="A132" s="3279">
        <v>126</v>
      </c>
      <c r="B132" s="3279" t="s">
        <v>1166</v>
      </c>
      <c r="C132" s="3443" t="s">
        <v>1250</v>
      </c>
      <c r="D132" s="3284" t="s">
        <v>1158</v>
      </c>
      <c r="E132" s="3284" t="s">
        <v>1166</v>
      </c>
      <c r="F132" s="3348" t="s">
        <v>1483</v>
      </c>
      <c r="G132" s="3313">
        <v>9607001672</v>
      </c>
      <c r="H132" s="3372" t="s">
        <v>1405</v>
      </c>
      <c r="I132" s="3268" t="s">
        <v>1492</v>
      </c>
      <c r="J132" s="3280" t="s">
        <v>73</v>
      </c>
      <c r="K132" s="3268" t="s">
        <v>138</v>
      </c>
      <c r="L132" s="3280" t="s">
        <v>1490</v>
      </c>
      <c r="M132" s="3313" t="s">
        <v>1488</v>
      </c>
      <c r="N132" s="3279">
        <v>76440</v>
      </c>
      <c r="O132" s="3279" t="s">
        <v>30</v>
      </c>
      <c r="P132" s="3279" t="s">
        <v>37</v>
      </c>
      <c r="Q132" s="3310">
        <v>1</v>
      </c>
      <c r="R132" s="3279">
        <v>87521421</v>
      </c>
      <c r="S132" s="3279" t="s">
        <v>1491</v>
      </c>
      <c r="T132" s="3279">
        <v>76440</v>
      </c>
      <c r="U132" s="3279" t="s">
        <v>34</v>
      </c>
      <c r="V132" s="3276">
        <v>0</v>
      </c>
      <c r="W132" s="3279" t="s">
        <v>1166</v>
      </c>
      <c r="X132" s="3279" t="s">
        <v>1166</v>
      </c>
      <c r="Y132" s="3283" t="s">
        <v>1166</v>
      </c>
      <c r="Z132" s="3105" t="s">
        <v>1166</v>
      </c>
      <c r="AA132" s="3104" t="s">
        <v>1166</v>
      </c>
      <c r="AB132" s="3048"/>
      <c r="AC132" s="3048"/>
      <c r="AD132" s="3048"/>
      <c r="AE132" s="3048"/>
      <c r="AF132" s="3048"/>
      <c r="AG132" s="3048"/>
      <c r="AH132" s="3048"/>
      <c r="AI132" s="3048"/>
      <c r="AJ132" s="3048"/>
      <c r="AK132" s="3048"/>
      <c r="AL132" s="3048"/>
      <c r="AM132" s="3048"/>
      <c r="AN132" s="3048"/>
      <c r="AO132" s="3048"/>
      <c r="AP132" s="3048"/>
      <c r="AQ132" s="3048"/>
      <c r="AR132" s="3048"/>
      <c r="AS132" s="3048"/>
      <c r="AT132" s="3048"/>
      <c r="AU132" s="3048"/>
    </row>
    <row r="133" spans="1:47">
      <c r="A133" s="3279">
        <v>127</v>
      </c>
      <c r="B133" s="3279" t="s">
        <v>1166</v>
      </c>
      <c r="C133" s="3443" t="s">
        <v>1250</v>
      </c>
      <c r="D133" s="3284" t="s">
        <v>1158</v>
      </c>
      <c r="E133" s="3284" t="s">
        <v>1166</v>
      </c>
      <c r="F133" s="3348" t="s">
        <v>1483</v>
      </c>
      <c r="G133" s="3313">
        <v>9607001672</v>
      </c>
      <c r="H133" s="3372" t="s">
        <v>1405</v>
      </c>
      <c r="I133" s="3268" t="s">
        <v>1493</v>
      </c>
      <c r="J133" s="3280" t="s">
        <v>73</v>
      </c>
      <c r="K133" s="3268" t="s">
        <v>138</v>
      </c>
      <c r="L133" s="3280" t="s">
        <v>1490</v>
      </c>
      <c r="M133" s="3313" t="s">
        <v>1488</v>
      </c>
      <c r="N133" s="3279">
        <v>76440</v>
      </c>
      <c r="O133" s="3279" t="s">
        <v>30</v>
      </c>
      <c r="P133" s="3279" t="s">
        <v>37</v>
      </c>
      <c r="Q133" s="3310">
        <v>1</v>
      </c>
      <c r="R133" s="3279">
        <v>87521421</v>
      </c>
      <c r="S133" s="3279" t="s">
        <v>1491</v>
      </c>
      <c r="T133" s="3279">
        <v>76440</v>
      </c>
      <c r="U133" s="3279" t="s">
        <v>34</v>
      </c>
      <c r="V133" s="3276">
        <v>0</v>
      </c>
      <c r="W133" s="3279" t="s">
        <v>1166</v>
      </c>
      <c r="X133" s="3279" t="s">
        <v>1166</v>
      </c>
      <c r="Y133" s="3283" t="s">
        <v>1166</v>
      </c>
      <c r="Z133" s="3105" t="s">
        <v>1166</v>
      </c>
      <c r="AA133" s="3104" t="s">
        <v>1166</v>
      </c>
      <c r="AB133" s="3048"/>
      <c r="AC133" s="3048"/>
      <c r="AD133" s="3048"/>
      <c r="AE133" s="3048"/>
      <c r="AF133" s="3048"/>
      <c r="AG133" s="3048"/>
      <c r="AH133" s="3048"/>
      <c r="AI133" s="3048"/>
      <c r="AJ133" s="3048"/>
      <c r="AK133" s="3048"/>
      <c r="AL133" s="3048"/>
      <c r="AM133" s="3048"/>
      <c r="AN133" s="3048"/>
      <c r="AO133" s="3048"/>
      <c r="AP133" s="3048"/>
      <c r="AQ133" s="3048"/>
      <c r="AR133" s="3048"/>
      <c r="AS133" s="3048"/>
      <c r="AT133" s="3048"/>
      <c r="AU133" s="3048"/>
    </row>
    <row r="134" spans="1:47">
      <c r="A134" s="3279">
        <v>128</v>
      </c>
      <c r="B134" s="3279" t="s">
        <v>1166</v>
      </c>
      <c r="C134" s="3443" t="s">
        <v>1250</v>
      </c>
      <c r="D134" s="3284" t="s">
        <v>1158</v>
      </c>
      <c r="E134" s="3284" t="s">
        <v>1166</v>
      </c>
      <c r="F134" s="3348" t="s">
        <v>1483</v>
      </c>
      <c r="G134" s="3313">
        <v>9607001672</v>
      </c>
      <c r="H134" s="3372" t="s">
        <v>1405</v>
      </c>
      <c r="I134" s="3268" t="s">
        <v>1484</v>
      </c>
      <c r="J134" s="3280" t="s">
        <v>73</v>
      </c>
      <c r="K134" s="3268" t="s">
        <v>138</v>
      </c>
      <c r="L134" s="3280" t="s">
        <v>1490</v>
      </c>
      <c r="M134" s="3313" t="s">
        <v>1488</v>
      </c>
      <c r="N134" s="3279">
        <v>76440</v>
      </c>
      <c r="O134" s="3279" t="s">
        <v>30</v>
      </c>
      <c r="P134" s="3279" t="s">
        <v>37</v>
      </c>
      <c r="Q134" s="3310">
        <v>1</v>
      </c>
      <c r="R134" s="3279">
        <v>87521421</v>
      </c>
      <c r="S134" s="3279" t="s">
        <v>1491</v>
      </c>
      <c r="T134" s="3279">
        <v>76440</v>
      </c>
      <c r="U134" s="3279" t="s">
        <v>34</v>
      </c>
      <c r="V134" s="3276">
        <v>0</v>
      </c>
      <c r="W134" s="3279" t="s">
        <v>1166</v>
      </c>
      <c r="X134" s="3279" t="s">
        <v>1166</v>
      </c>
      <c r="Y134" s="3283" t="s">
        <v>1166</v>
      </c>
      <c r="Z134" s="3105" t="s">
        <v>1166</v>
      </c>
      <c r="AA134" s="3104" t="s">
        <v>1166</v>
      </c>
      <c r="AB134" s="3048"/>
      <c r="AC134" s="3048"/>
      <c r="AD134" s="3048"/>
      <c r="AE134" s="3048"/>
      <c r="AF134" s="3048"/>
      <c r="AG134" s="3048"/>
      <c r="AH134" s="3048"/>
      <c r="AI134" s="3048"/>
      <c r="AJ134" s="3048"/>
      <c r="AK134" s="3048"/>
      <c r="AL134" s="3048"/>
      <c r="AM134" s="3048"/>
      <c r="AN134" s="3048"/>
      <c r="AO134" s="3048"/>
      <c r="AP134" s="3048"/>
      <c r="AQ134" s="3048"/>
      <c r="AR134" s="3048"/>
      <c r="AS134" s="3048"/>
      <c r="AT134" s="3048"/>
      <c r="AU134" s="3048"/>
    </row>
    <row r="135" spans="1:47">
      <c r="A135" s="3265">
        <v>129</v>
      </c>
      <c r="B135" s="3279" t="s">
        <v>1166</v>
      </c>
      <c r="C135" s="3443" t="s">
        <v>1250</v>
      </c>
      <c r="D135" s="3284" t="s">
        <v>1158</v>
      </c>
      <c r="E135" s="3284" t="s">
        <v>1166</v>
      </c>
      <c r="F135" s="3348" t="s">
        <v>1483</v>
      </c>
      <c r="G135" s="3313">
        <v>9607001672</v>
      </c>
      <c r="H135" s="3372" t="s">
        <v>1405</v>
      </c>
      <c r="I135" s="3268" t="s">
        <v>1494</v>
      </c>
      <c r="J135" s="3280" t="s">
        <v>73</v>
      </c>
      <c r="K135" s="3268" t="s">
        <v>138</v>
      </c>
      <c r="L135" s="3280" t="s">
        <v>1490</v>
      </c>
      <c r="M135" s="3313" t="s">
        <v>1488</v>
      </c>
      <c r="N135" s="3279">
        <v>76440</v>
      </c>
      <c r="O135" s="3279" t="s">
        <v>30</v>
      </c>
      <c r="P135" s="3279" t="s">
        <v>37</v>
      </c>
      <c r="Q135" s="3310">
        <v>1</v>
      </c>
      <c r="R135" s="3279">
        <v>87521421</v>
      </c>
      <c r="S135" s="3279" t="s">
        <v>1491</v>
      </c>
      <c r="T135" s="3279">
        <v>76440</v>
      </c>
      <c r="U135" s="3279" t="s">
        <v>34</v>
      </c>
      <c r="V135" s="3276">
        <v>0</v>
      </c>
      <c r="W135" s="3279" t="s">
        <v>1166</v>
      </c>
      <c r="X135" s="3279" t="s">
        <v>1166</v>
      </c>
      <c r="Y135" s="3283" t="s">
        <v>1166</v>
      </c>
      <c r="Z135" s="3105" t="s">
        <v>1166</v>
      </c>
      <c r="AA135" s="3104" t="s">
        <v>1166</v>
      </c>
      <c r="AB135" s="3048"/>
      <c r="AC135" s="3048"/>
      <c r="AD135" s="3048"/>
      <c r="AE135" s="3048"/>
      <c r="AF135" s="3048"/>
      <c r="AG135" s="3048"/>
      <c r="AH135" s="3048"/>
      <c r="AI135" s="3048"/>
      <c r="AJ135" s="3048"/>
      <c r="AK135" s="3048"/>
      <c r="AL135" s="3048"/>
      <c r="AM135" s="3048"/>
      <c r="AN135" s="3048"/>
      <c r="AO135" s="3048"/>
      <c r="AP135" s="3048"/>
      <c r="AQ135" s="3048"/>
      <c r="AR135" s="3048"/>
      <c r="AS135" s="3048"/>
      <c r="AT135" s="3048"/>
      <c r="AU135" s="3048"/>
    </row>
    <row r="136" spans="1:47">
      <c r="A136" s="3279">
        <v>130</v>
      </c>
      <c r="B136" s="3279" t="s">
        <v>1166</v>
      </c>
      <c r="C136" s="3443" t="s">
        <v>1250</v>
      </c>
      <c r="D136" s="3284" t="s">
        <v>1158</v>
      </c>
      <c r="E136" s="3284" t="s">
        <v>1166</v>
      </c>
      <c r="F136" s="3348" t="s">
        <v>1483</v>
      </c>
      <c r="G136" s="3313">
        <v>9607001672</v>
      </c>
      <c r="H136" s="3372" t="s">
        <v>1405</v>
      </c>
      <c r="I136" s="3268" t="s">
        <v>1495</v>
      </c>
      <c r="J136" s="3280" t="s">
        <v>73</v>
      </c>
      <c r="K136" s="3268" t="s">
        <v>138</v>
      </c>
      <c r="L136" s="3280" t="s">
        <v>1490</v>
      </c>
      <c r="M136" s="3313" t="s">
        <v>1488</v>
      </c>
      <c r="N136" s="3279">
        <v>76440</v>
      </c>
      <c r="O136" s="3279" t="s">
        <v>30</v>
      </c>
      <c r="P136" s="3279" t="s">
        <v>37</v>
      </c>
      <c r="Q136" s="3310">
        <v>1</v>
      </c>
      <c r="R136" s="3279">
        <v>87521421</v>
      </c>
      <c r="S136" s="3279" t="s">
        <v>1491</v>
      </c>
      <c r="T136" s="3279">
        <v>76440</v>
      </c>
      <c r="U136" s="3279" t="s">
        <v>34</v>
      </c>
      <c r="V136" s="3276">
        <v>0</v>
      </c>
      <c r="W136" s="3279" t="s">
        <v>1166</v>
      </c>
      <c r="X136" s="3279" t="s">
        <v>1166</v>
      </c>
      <c r="Y136" s="3283" t="s">
        <v>1166</v>
      </c>
      <c r="Z136" s="3105" t="s">
        <v>1166</v>
      </c>
      <c r="AA136" s="3104" t="s">
        <v>1166</v>
      </c>
      <c r="AB136" s="3048"/>
      <c r="AC136" s="3048"/>
      <c r="AD136" s="3048"/>
      <c r="AE136" s="3048"/>
      <c r="AF136" s="3048"/>
      <c r="AG136" s="3048"/>
      <c r="AH136" s="3048"/>
      <c r="AI136" s="3048"/>
      <c r="AJ136" s="3048"/>
      <c r="AK136" s="3048"/>
      <c r="AL136" s="3048"/>
      <c r="AM136" s="3048"/>
      <c r="AN136" s="3048"/>
      <c r="AO136" s="3048"/>
      <c r="AP136" s="3048"/>
      <c r="AQ136" s="3048"/>
      <c r="AR136" s="3048"/>
      <c r="AS136" s="3048"/>
      <c r="AT136" s="3048"/>
      <c r="AU136" s="3048"/>
    </row>
    <row r="137" spans="1:47">
      <c r="A137" s="3279">
        <v>131</v>
      </c>
      <c r="B137" s="3279" t="s">
        <v>1385</v>
      </c>
      <c r="C137" s="3443" t="s">
        <v>1301</v>
      </c>
      <c r="D137" s="3284" t="s">
        <v>304</v>
      </c>
      <c r="E137" s="3284" t="s">
        <v>1166</v>
      </c>
      <c r="F137" s="3348" t="s">
        <v>1496</v>
      </c>
      <c r="G137" s="3284">
        <v>9920112414</v>
      </c>
      <c r="H137" s="3372" t="s">
        <v>1497</v>
      </c>
      <c r="I137" s="3268" t="s">
        <v>1304</v>
      </c>
      <c r="J137" s="3280" t="s">
        <v>73</v>
      </c>
      <c r="K137" s="3280" t="s">
        <v>138</v>
      </c>
      <c r="L137" s="3280" t="s">
        <v>1498</v>
      </c>
      <c r="M137" s="3313" t="s">
        <v>1385</v>
      </c>
      <c r="N137" s="3279">
        <v>87500</v>
      </c>
      <c r="O137" s="3279" t="s">
        <v>30</v>
      </c>
      <c r="P137" s="3279" t="s">
        <v>39</v>
      </c>
      <c r="Q137" s="3310">
        <v>1</v>
      </c>
      <c r="R137" s="3279">
        <v>3006483602</v>
      </c>
      <c r="S137" s="3287">
        <v>45840</v>
      </c>
      <c r="T137" s="3279">
        <v>87500</v>
      </c>
      <c r="U137" s="3279" t="s">
        <v>1499</v>
      </c>
      <c r="V137" s="3276">
        <v>0</v>
      </c>
      <c r="W137" s="3279" t="s">
        <v>1166</v>
      </c>
      <c r="X137" s="3279" t="s">
        <v>1166</v>
      </c>
      <c r="Y137" s="3283" t="s">
        <v>1166</v>
      </c>
      <c r="Z137" s="3105" t="s">
        <v>1166</v>
      </c>
      <c r="AA137" s="3104" t="s">
        <v>1166</v>
      </c>
      <c r="AB137" s="3048"/>
      <c r="AC137" s="3048"/>
      <c r="AD137" s="3048"/>
      <c r="AE137" s="3048"/>
      <c r="AF137" s="3048"/>
      <c r="AG137" s="3048"/>
      <c r="AH137" s="3048"/>
      <c r="AI137" s="3048"/>
      <c r="AJ137" s="3048"/>
      <c r="AK137" s="3048"/>
      <c r="AL137" s="3048"/>
      <c r="AM137" s="3048"/>
      <c r="AN137" s="3048"/>
      <c r="AO137" s="3048"/>
      <c r="AP137" s="3048"/>
      <c r="AQ137" s="3048"/>
      <c r="AR137" s="3048"/>
      <c r="AS137" s="3048"/>
      <c r="AT137" s="3048"/>
      <c r="AU137" s="3048"/>
    </row>
    <row r="138" spans="1:47">
      <c r="A138" s="3279">
        <v>132</v>
      </c>
      <c r="B138" s="3279" t="s">
        <v>1385</v>
      </c>
      <c r="C138" s="3443" t="s">
        <v>1250</v>
      </c>
      <c r="D138" s="3284" t="s">
        <v>1158</v>
      </c>
      <c r="E138" s="3284" t="s">
        <v>1166</v>
      </c>
      <c r="F138" s="3284" t="s">
        <v>1360</v>
      </c>
      <c r="G138" s="3284">
        <v>9595134464</v>
      </c>
      <c r="H138" s="3326" t="s">
        <v>1361</v>
      </c>
      <c r="I138" s="3268" t="s">
        <v>1457</v>
      </c>
      <c r="J138" s="3280" t="s">
        <v>73</v>
      </c>
      <c r="K138" s="3268" t="s">
        <v>138</v>
      </c>
      <c r="L138" s="3280" t="s">
        <v>1500</v>
      </c>
      <c r="M138" s="3313" t="s">
        <v>1385</v>
      </c>
      <c r="N138" s="3279">
        <v>76440</v>
      </c>
      <c r="O138" s="3279" t="s">
        <v>30</v>
      </c>
      <c r="P138" s="3279" t="s">
        <v>37</v>
      </c>
      <c r="Q138" s="3310">
        <v>1</v>
      </c>
      <c r="R138" s="3279">
        <v>87517622</v>
      </c>
      <c r="S138" s="3287">
        <v>45810</v>
      </c>
      <c r="T138" s="3279">
        <v>76440</v>
      </c>
      <c r="U138" s="3279" t="s">
        <v>34</v>
      </c>
      <c r="V138" s="3276">
        <v>0</v>
      </c>
      <c r="W138" s="3288" t="s">
        <v>1166</v>
      </c>
      <c r="X138" s="3288" t="s">
        <v>1166</v>
      </c>
      <c r="Y138" s="3299" t="s">
        <v>1166</v>
      </c>
      <c r="Z138" s="3105" t="s">
        <v>1166</v>
      </c>
      <c r="AA138" s="3104" t="s">
        <v>1166</v>
      </c>
      <c r="AB138" s="3048"/>
      <c r="AC138" s="3048"/>
      <c r="AD138" s="3048"/>
      <c r="AE138" s="3048"/>
      <c r="AF138" s="3048"/>
      <c r="AG138" s="3048"/>
      <c r="AH138" s="3048"/>
      <c r="AI138" s="3048"/>
      <c r="AJ138" s="3048"/>
      <c r="AK138" s="3048"/>
      <c r="AL138" s="3048"/>
      <c r="AM138" s="3048"/>
      <c r="AN138" s="3048"/>
      <c r="AO138" s="3048"/>
      <c r="AP138" s="3048"/>
      <c r="AQ138" s="3048"/>
      <c r="AR138" s="3048"/>
      <c r="AS138" s="3048"/>
      <c r="AT138" s="3048"/>
      <c r="AU138" s="3048"/>
    </row>
    <row r="139" spans="1:47">
      <c r="A139" s="3265">
        <v>133</v>
      </c>
      <c r="B139" s="3279" t="s">
        <v>1166</v>
      </c>
      <c r="C139" s="3443" t="s">
        <v>1250</v>
      </c>
      <c r="D139" s="3284" t="s">
        <v>1158</v>
      </c>
      <c r="E139" s="3284" t="s">
        <v>1166</v>
      </c>
      <c r="F139" s="3284" t="s">
        <v>1360</v>
      </c>
      <c r="G139" s="3284">
        <v>9595134464</v>
      </c>
      <c r="H139" s="3326" t="s">
        <v>1361</v>
      </c>
      <c r="I139" s="3268" t="s">
        <v>1501</v>
      </c>
      <c r="J139" s="3280" t="s">
        <v>73</v>
      </c>
      <c r="K139" s="3268" t="s">
        <v>138</v>
      </c>
      <c r="L139" s="3280" t="s">
        <v>1500</v>
      </c>
      <c r="M139" s="3313" t="s">
        <v>1385</v>
      </c>
      <c r="N139" s="3279">
        <v>76440</v>
      </c>
      <c r="O139" s="3279" t="s">
        <v>30</v>
      </c>
      <c r="P139" s="3279" t="s">
        <v>37</v>
      </c>
      <c r="Q139" s="3310">
        <v>1</v>
      </c>
      <c r="R139" s="3279">
        <v>87517622</v>
      </c>
      <c r="S139" s="3287">
        <v>45810</v>
      </c>
      <c r="T139" s="3279">
        <v>76440</v>
      </c>
      <c r="U139" s="3279" t="s">
        <v>34</v>
      </c>
      <c r="V139" s="3276">
        <v>0</v>
      </c>
      <c r="W139" s="3306" t="s">
        <v>1166</v>
      </c>
      <c r="X139" s="3306" t="s">
        <v>1166</v>
      </c>
      <c r="Y139" s="3309" t="s">
        <v>1166</v>
      </c>
      <c r="Z139" s="3105" t="s">
        <v>1166</v>
      </c>
      <c r="AA139" s="3104" t="s">
        <v>1166</v>
      </c>
      <c r="AB139" s="3048"/>
      <c r="AC139" s="3048"/>
      <c r="AD139" s="3048"/>
      <c r="AE139" s="3048"/>
      <c r="AF139" s="3048"/>
      <c r="AG139" s="3048"/>
      <c r="AH139" s="3048"/>
      <c r="AI139" s="3048"/>
      <c r="AJ139" s="3048"/>
      <c r="AK139" s="3048"/>
      <c r="AL139" s="3048"/>
      <c r="AM139" s="3048"/>
      <c r="AN139" s="3048"/>
      <c r="AO139" s="3048"/>
      <c r="AP139" s="3048"/>
      <c r="AQ139" s="3048"/>
      <c r="AR139" s="3048"/>
      <c r="AS139" s="3048"/>
      <c r="AT139" s="3048"/>
      <c r="AU139" s="3048"/>
    </row>
    <row r="140" spans="1:47">
      <c r="A140" s="3279">
        <v>134</v>
      </c>
      <c r="B140" s="3279" t="s">
        <v>1166</v>
      </c>
      <c r="C140" s="3443" t="s">
        <v>1250</v>
      </c>
      <c r="D140" s="3284" t="s">
        <v>1158</v>
      </c>
      <c r="E140" s="3284" t="s">
        <v>1166</v>
      </c>
      <c r="F140" s="3284" t="s">
        <v>1360</v>
      </c>
      <c r="G140" s="3284">
        <v>9595134464</v>
      </c>
      <c r="H140" s="3326" t="s">
        <v>1361</v>
      </c>
      <c r="I140" s="3268" t="s">
        <v>1502</v>
      </c>
      <c r="J140" s="3280" t="s">
        <v>73</v>
      </c>
      <c r="K140" s="3268" t="s">
        <v>138</v>
      </c>
      <c r="L140" s="3280" t="s">
        <v>1500</v>
      </c>
      <c r="M140" s="3313" t="s">
        <v>1385</v>
      </c>
      <c r="N140" s="3279">
        <v>76440</v>
      </c>
      <c r="O140" s="3279" t="s">
        <v>30</v>
      </c>
      <c r="P140" s="3279" t="s">
        <v>37</v>
      </c>
      <c r="Q140" s="3310">
        <v>1</v>
      </c>
      <c r="R140" s="3279">
        <v>87517622</v>
      </c>
      <c r="S140" s="3287">
        <v>45810</v>
      </c>
      <c r="T140" s="3279">
        <v>76440</v>
      </c>
      <c r="U140" s="3279" t="s">
        <v>34</v>
      </c>
      <c r="V140" s="3276">
        <v>0</v>
      </c>
      <c r="W140" s="3288" t="s">
        <v>1166</v>
      </c>
      <c r="X140" s="3288" t="s">
        <v>1166</v>
      </c>
      <c r="Y140" s="3299" t="s">
        <v>1166</v>
      </c>
      <c r="Z140" s="3105" t="s">
        <v>1166</v>
      </c>
      <c r="AA140" s="3104" t="s">
        <v>1166</v>
      </c>
      <c r="AB140" s="3048"/>
      <c r="AC140" s="3048"/>
      <c r="AD140" s="3048"/>
      <c r="AE140" s="3048"/>
      <c r="AF140" s="3048"/>
      <c r="AG140" s="3048"/>
      <c r="AH140" s="3048"/>
      <c r="AI140" s="3048"/>
      <c r="AJ140" s="3048"/>
      <c r="AK140" s="3048"/>
      <c r="AL140" s="3048"/>
      <c r="AM140" s="3048"/>
      <c r="AN140" s="3048"/>
      <c r="AO140" s="3048"/>
      <c r="AP140" s="3048"/>
      <c r="AQ140" s="3048"/>
      <c r="AR140" s="3048"/>
      <c r="AS140" s="3048"/>
      <c r="AT140" s="3048"/>
      <c r="AU140" s="3048"/>
    </row>
    <row r="141" spans="1:47">
      <c r="A141" s="3279">
        <v>135</v>
      </c>
      <c r="B141" s="3279" t="s">
        <v>1166</v>
      </c>
      <c r="C141" s="3443" t="s">
        <v>1250</v>
      </c>
      <c r="D141" s="3284" t="s">
        <v>1158</v>
      </c>
      <c r="E141" s="3284" t="s">
        <v>1166</v>
      </c>
      <c r="F141" s="3284" t="s">
        <v>1360</v>
      </c>
      <c r="G141" s="3284">
        <v>9595134464</v>
      </c>
      <c r="H141" s="3326" t="s">
        <v>1361</v>
      </c>
      <c r="I141" s="3268" t="s">
        <v>1503</v>
      </c>
      <c r="J141" s="3280" t="s">
        <v>73</v>
      </c>
      <c r="K141" s="3268" t="s">
        <v>138</v>
      </c>
      <c r="L141" s="3280" t="s">
        <v>1500</v>
      </c>
      <c r="M141" s="3313" t="s">
        <v>1385</v>
      </c>
      <c r="N141" s="3279">
        <v>76440</v>
      </c>
      <c r="O141" s="3279" t="s">
        <v>30</v>
      </c>
      <c r="P141" s="3279" t="s">
        <v>37</v>
      </c>
      <c r="Q141" s="3310">
        <v>1</v>
      </c>
      <c r="R141" s="3279">
        <v>87517622</v>
      </c>
      <c r="S141" s="3287">
        <v>45810</v>
      </c>
      <c r="T141" s="3279">
        <v>76440</v>
      </c>
      <c r="U141" s="3279" t="s">
        <v>34</v>
      </c>
      <c r="V141" s="3276">
        <v>0</v>
      </c>
      <c r="W141" s="3306" t="s">
        <v>1166</v>
      </c>
      <c r="X141" s="3306" t="s">
        <v>1166</v>
      </c>
      <c r="Y141" s="3309" t="s">
        <v>1166</v>
      </c>
      <c r="Z141" s="3105" t="s">
        <v>1166</v>
      </c>
      <c r="AA141" s="3104" t="s">
        <v>1166</v>
      </c>
      <c r="AB141" s="3048"/>
      <c r="AC141" s="3048"/>
      <c r="AD141" s="3048"/>
      <c r="AE141" s="3048"/>
      <c r="AF141" s="3048"/>
      <c r="AG141" s="3048"/>
      <c r="AH141" s="3048"/>
      <c r="AI141" s="3048"/>
      <c r="AJ141" s="3048"/>
      <c r="AK141" s="3048"/>
      <c r="AL141" s="3048"/>
      <c r="AM141" s="3048"/>
      <c r="AN141" s="3048"/>
      <c r="AO141" s="3048"/>
      <c r="AP141" s="3048"/>
      <c r="AQ141" s="3048"/>
      <c r="AR141" s="3048"/>
      <c r="AS141" s="3048"/>
      <c r="AT141" s="3048"/>
      <c r="AU141" s="3048"/>
    </row>
    <row r="142" spans="1:47">
      <c r="A142" s="3279">
        <v>136</v>
      </c>
      <c r="B142" s="3279" t="s">
        <v>1166</v>
      </c>
      <c r="C142" s="3443" t="s">
        <v>1250</v>
      </c>
      <c r="D142" s="3284" t="s">
        <v>1158</v>
      </c>
      <c r="E142" s="3284" t="s">
        <v>1166</v>
      </c>
      <c r="F142" s="3284" t="s">
        <v>1360</v>
      </c>
      <c r="G142" s="3284">
        <v>9595134464</v>
      </c>
      <c r="H142" s="3326" t="s">
        <v>1361</v>
      </c>
      <c r="I142" s="3268" t="s">
        <v>1504</v>
      </c>
      <c r="J142" s="3280" t="s">
        <v>73</v>
      </c>
      <c r="K142" s="3268" t="s">
        <v>138</v>
      </c>
      <c r="L142" s="3280" t="s">
        <v>1500</v>
      </c>
      <c r="M142" s="3313" t="s">
        <v>1385</v>
      </c>
      <c r="N142" s="3279">
        <v>76440</v>
      </c>
      <c r="O142" s="3279" t="s">
        <v>30</v>
      </c>
      <c r="P142" s="3279" t="s">
        <v>37</v>
      </c>
      <c r="Q142" s="3310">
        <v>1</v>
      </c>
      <c r="R142" s="3279">
        <v>87517622</v>
      </c>
      <c r="S142" s="3287">
        <v>45810</v>
      </c>
      <c r="T142" s="3279">
        <v>76440</v>
      </c>
      <c r="U142" s="3279" t="s">
        <v>34</v>
      </c>
      <c r="V142" s="3276">
        <v>0</v>
      </c>
      <c r="W142" s="3306" t="s">
        <v>1166</v>
      </c>
      <c r="X142" s="3306" t="s">
        <v>1166</v>
      </c>
      <c r="Y142" s="3306" t="s">
        <v>1166</v>
      </c>
      <c r="Z142" s="3105" t="s">
        <v>1166</v>
      </c>
      <c r="AA142" s="3104" t="s">
        <v>1166</v>
      </c>
      <c r="AB142" s="3048"/>
      <c r="AC142" s="3048"/>
      <c r="AD142" s="3048"/>
      <c r="AE142" s="3048"/>
      <c r="AF142" s="3048"/>
      <c r="AG142" s="3048"/>
      <c r="AH142" s="3048"/>
      <c r="AI142" s="3048"/>
      <c r="AJ142" s="3048"/>
      <c r="AK142" s="3048"/>
      <c r="AL142" s="3048"/>
      <c r="AM142" s="3048"/>
      <c r="AN142" s="3048"/>
      <c r="AO142" s="3048"/>
      <c r="AP142" s="3048"/>
      <c r="AQ142" s="3048"/>
      <c r="AR142" s="3048"/>
      <c r="AS142" s="3048"/>
      <c r="AT142" s="3048"/>
      <c r="AU142" s="3048"/>
    </row>
    <row r="143" spans="1:47">
      <c r="A143" s="3265">
        <v>137</v>
      </c>
      <c r="B143" s="3279" t="s">
        <v>1166</v>
      </c>
      <c r="C143" s="3443" t="s">
        <v>1250</v>
      </c>
      <c r="D143" s="3284" t="s">
        <v>1158</v>
      </c>
      <c r="E143" s="3284" t="s">
        <v>1166</v>
      </c>
      <c r="F143" s="3284" t="s">
        <v>1360</v>
      </c>
      <c r="G143" s="3284">
        <v>9595134464</v>
      </c>
      <c r="H143" s="3326" t="s">
        <v>1361</v>
      </c>
      <c r="I143" s="3268" t="s">
        <v>1505</v>
      </c>
      <c r="J143" s="3280" t="s">
        <v>73</v>
      </c>
      <c r="K143" s="3268" t="s">
        <v>138</v>
      </c>
      <c r="L143" s="3280" t="s">
        <v>1500</v>
      </c>
      <c r="M143" s="3313" t="s">
        <v>1385</v>
      </c>
      <c r="N143" s="3279">
        <v>76440</v>
      </c>
      <c r="O143" s="3279" t="s">
        <v>30</v>
      </c>
      <c r="P143" s="3279" t="s">
        <v>37</v>
      </c>
      <c r="Q143" s="3310">
        <v>1</v>
      </c>
      <c r="R143" s="3279">
        <v>87517622</v>
      </c>
      <c r="S143" s="3287">
        <v>45810</v>
      </c>
      <c r="T143" s="3279">
        <v>76440</v>
      </c>
      <c r="U143" s="3279" t="s">
        <v>34</v>
      </c>
      <c r="V143" s="3276">
        <v>0</v>
      </c>
      <c r="W143" s="3306" t="s">
        <v>1166</v>
      </c>
      <c r="X143" s="3306" t="s">
        <v>1166</v>
      </c>
      <c r="Y143" s="3306" t="s">
        <v>1166</v>
      </c>
      <c r="Z143" s="3105" t="s">
        <v>1166</v>
      </c>
      <c r="AA143" s="3104" t="s">
        <v>1166</v>
      </c>
      <c r="AB143" s="3048"/>
      <c r="AC143" s="3048"/>
      <c r="AD143" s="3048"/>
      <c r="AE143" s="3048"/>
      <c r="AF143" s="3048"/>
      <c r="AG143" s="3048"/>
      <c r="AH143" s="3048"/>
      <c r="AI143" s="3048"/>
      <c r="AJ143" s="3048"/>
      <c r="AK143" s="3048"/>
      <c r="AL143" s="3048"/>
      <c r="AM143" s="3048"/>
      <c r="AN143" s="3048"/>
      <c r="AO143" s="3048"/>
      <c r="AP143" s="3048"/>
      <c r="AQ143" s="3048"/>
      <c r="AR143" s="3048"/>
      <c r="AS143" s="3048"/>
      <c r="AT143" s="3048"/>
      <c r="AU143" s="3048"/>
    </row>
    <row r="144" spans="1:47">
      <c r="A144" s="3279">
        <v>138</v>
      </c>
      <c r="B144" s="3279" t="s">
        <v>1166</v>
      </c>
      <c r="C144" s="3443" t="s">
        <v>1250</v>
      </c>
      <c r="D144" s="3284" t="s">
        <v>1158</v>
      </c>
      <c r="E144" s="3284" t="s">
        <v>1166</v>
      </c>
      <c r="F144" s="3284" t="s">
        <v>1360</v>
      </c>
      <c r="G144" s="3284">
        <v>9595134464</v>
      </c>
      <c r="H144" s="3326" t="s">
        <v>1361</v>
      </c>
      <c r="I144" s="3268" t="s">
        <v>1506</v>
      </c>
      <c r="J144" s="3280" t="s">
        <v>73</v>
      </c>
      <c r="K144" s="3268" t="s">
        <v>138</v>
      </c>
      <c r="L144" s="3280" t="s">
        <v>1500</v>
      </c>
      <c r="M144" s="3313" t="s">
        <v>1385</v>
      </c>
      <c r="N144" s="3279">
        <v>76440</v>
      </c>
      <c r="O144" s="3279" t="s">
        <v>30</v>
      </c>
      <c r="P144" s="3279" t="s">
        <v>37</v>
      </c>
      <c r="Q144" s="3310">
        <v>1</v>
      </c>
      <c r="R144" s="3279">
        <v>87517622</v>
      </c>
      <c r="S144" s="3287">
        <v>45810</v>
      </c>
      <c r="T144" s="3279">
        <v>76440</v>
      </c>
      <c r="U144" s="3279" t="s">
        <v>34</v>
      </c>
      <c r="V144" s="3276">
        <v>0</v>
      </c>
      <c r="W144" s="3300" t="s">
        <v>1166</v>
      </c>
      <c r="X144" s="3306" t="s">
        <v>1166</v>
      </c>
      <c r="Y144" s="3306" t="s">
        <v>1166</v>
      </c>
      <c r="Z144" s="3105" t="s">
        <v>1166</v>
      </c>
      <c r="AA144" s="3104" t="s">
        <v>1166</v>
      </c>
      <c r="AB144" s="3048"/>
      <c r="AC144" s="3048"/>
      <c r="AD144" s="3048"/>
      <c r="AE144" s="3048"/>
      <c r="AF144" s="3048"/>
      <c r="AG144" s="3048"/>
      <c r="AH144" s="3048"/>
      <c r="AI144" s="3048"/>
      <c r="AJ144" s="3048"/>
      <c r="AK144" s="3048"/>
      <c r="AL144" s="3048"/>
      <c r="AM144" s="3048"/>
      <c r="AN144" s="3048"/>
      <c r="AO144" s="3048"/>
      <c r="AP144" s="3048"/>
      <c r="AQ144" s="3048"/>
      <c r="AR144" s="3048"/>
      <c r="AS144" s="3048"/>
      <c r="AT144" s="3048"/>
      <c r="AU144" s="3048"/>
    </row>
    <row r="145" spans="1:47">
      <c r="A145" s="3279">
        <v>139</v>
      </c>
      <c r="B145" s="3279" t="s">
        <v>1166</v>
      </c>
      <c r="C145" s="3443" t="s">
        <v>1250</v>
      </c>
      <c r="D145" s="3284" t="s">
        <v>1158</v>
      </c>
      <c r="E145" s="3284" t="s">
        <v>1166</v>
      </c>
      <c r="F145" s="3284" t="s">
        <v>1360</v>
      </c>
      <c r="G145" s="3284">
        <v>9595134464</v>
      </c>
      <c r="H145" s="3326" t="s">
        <v>1361</v>
      </c>
      <c r="I145" s="3268" t="s">
        <v>1507</v>
      </c>
      <c r="J145" s="3280" t="s">
        <v>73</v>
      </c>
      <c r="K145" s="3268" t="s">
        <v>138</v>
      </c>
      <c r="L145" s="3280" t="s">
        <v>1500</v>
      </c>
      <c r="M145" s="3313" t="s">
        <v>1385</v>
      </c>
      <c r="N145" s="3279">
        <v>76440</v>
      </c>
      <c r="O145" s="3279" t="s">
        <v>30</v>
      </c>
      <c r="P145" s="3279" t="s">
        <v>37</v>
      </c>
      <c r="Q145" s="3310">
        <v>1</v>
      </c>
      <c r="R145" s="3279">
        <v>87517622</v>
      </c>
      <c r="S145" s="3287">
        <v>45810</v>
      </c>
      <c r="T145" s="3279">
        <v>76440</v>
      </c>
      <c r="U145" s="3279" t="s">
        <v>34</v>
      </c>
      <c r="V145" s="3276">
        <v>0</v>
      </c>
      <c r="W145" s="3300" t="s">
        <v>1166</v>
      </c>
      <c r="X145" s="3306" t="s">
        <v>1166</v>
      </c>
      <c r="Y145" s="3306" t="s">
        <v>1166</v>
      </c>
      <c r="Z145" s="3105" t="s">
        <v>1166</v>
      </c>
      <c r="AA145" s="3104" t="s">
        <v>1166</v>
      </c>
      <c r="AB145" s="3048"/>
      <c r="AC145" s="3048"/>
      <c r="AD145" s="3048"/>
      <c r="AE145" s="3048"/>
      <c r="AF145" s="3048"/>
      <c r="AG145" s="3048"/>
      <c r="AH145" s="3048"/>
      <c r="AI145" s="3048"/>
      <c r="AJ145" s="3048"/>
      <c r="AK145" s="3048"/>
      <c r="AL145" s="3048"/>
      <c r="AM145" s="3048"/>
      <c r="AN145" s="3048"/>
      <c r="AO145" s="3048"/>
      <c r="AP145" s="3048"/>
      <c r="AQ145" s="3048"/>
      <c r="AR145" s="3048"/>
      <c r="AS145" s="3048"/>
      <c r="AT145" s="3048"/>
      <c r="AU145" s="3048"/>
    </row>
    <row r="146" spans="1:47">
      <c r="A146" s="3279">
        <v>140</v>
      </c>
      <c r="B146" s="3279" t="s">
        <v>1166</v>
      </c>
      <c r="C146" s="3443" t="s">
        <v>1250</v>
      </c>
      <c r="D146" s="3284" t="s">
        <v>1158</v>
      </c>
      <c r="E146" s="3284" t="s">
        <v>1166</v>
      </c>
      <c r="F146" s="3284" t="s">
        <v>1360</v>
      </c>
      <c r="G146" s="3284">
        <v>9595134464</v>
      </c>
      <c r="H146" s="3326" t="s">
        <v>1361</v>
      </c>
      <c r="I146" s="3268" t="s">
        <v>1508</v>
      </c>
      <c r="J146" s="3280" t="s">
        <v>73</v>
      </c>
      <c r="K146" s="3268" t="s">
        <v>138</v>
      </c>
      <c r="L146" s="3280" t="s">
        <v>1500</v>
      </c>
      <c r="M146" s="3313" t="s">
        <v>1385</v>
      </c>
      <c r="N146" s="3279">
        <v>76440</v>
      </c>
      <c r="O146" s="3279" t="s">
        <v>30</v>
      </c>
      <c r="P146" s="3279" t="s">
        <v>37</v>
      </c>
      <c r="Q146" s="3310">
        <v>1</v>
      </c>
      <c r="R146" s="3279">
        <v>87517622</v>
      </c>
      <c r="S146" s="3287">
        <v>45810</v>
      </c>
      <c r="T146" s="3279">
        <v>76440</v>
      </c>
      <c r="U146" s="3279" t="s">
        <v>34</v>
      </c>
      <c r="V146" s="3276">
        <v>0</v>
      </c>
      <c r="W146" s="3300" t="s">
        <v>1166</v>
      </c>
      <c r="X146" s="3288" t="s">
        <v>1166</v>
      </c>
      <c r="Y146" s="3288" t="s">
        <v>1166</v>
      </c>
      <c r="Z146" s="3105" t="s">
        <v>1166</v>
      </c>
      <c r="AA146" s="3104" t="s">
        <v>1166</v>
      </c>
      <c r="AB146" s="3048"/>
      <c r="AC146" s="3048"/>
      <c r="AD146" s="3048"/>
      <c r="AE146" s="3048"/>
      <c r="AF146" s="3048"/>
      <c r="AG146" s="3048"/>
      <c r="AH146" s="3048"/>
      <c r="AI146" s="3048"/>
      <c r="AJ146" s="3048"/>
      <c r="AK146" s="3048"/>
      <c r="AL146" s="3048"/>
      <c r="AM146" s="3048"/>
      <c r="AN146" s="3048"/>
      <c r="AO146" s="3048"/>
      <c r="AP146" s="3048"/>
      <c r="AQ146" s="3048"/>
      <c r="AR146" s="3048"/>
      <c r="AS146" s="3048"/>
      <c r="AT146" s="3048"/>
      <c r="AU146" s="3048"/>
    </row>
    <row r="147" spans="1:47">
      <c r="A147" s="3265">
        <v>141</v>
      </c>
      <c r="B147" s="3279" t="s">
        <v>1166</v>
      </c>
      <c r="C147" s="3443" t="s">
        <v>1250</v>
      </c>
      <c r="D147" s="3284" t="s">
        <v>1158</v>
      </c>
      <c r="E147" s="3284" t="s">
        <v>1166</v>
      </c>
      <c r="F147" s="3284" t="s">
        <v>1360</v>
      </c>
      <c r="G147" s="3284">
        <v>9595134464</v>
      </c>
      <c r="H147" s="3326" t="s">
        <v>1361</v>
      </c>
      <c r="I147" s="3268" t="s">
        <v>1509</v>
      </c>
      <c r="J147" s="3280" t="s">
        <v>73</v>
      </c>
      <c r="K147" s="3268" t="s">
        <v>138</v>
      </c>
      <c r="L147" s="3280" t="s">
        <v>1500</v>
      </c>
      <c r="M147" s="3313" t="s">
        <v>1385</v>
      </c>
      <c r="N147" s="3279">
        <v>76440</v>
      </c>
      <c r="O147" s="3279" t="s">
        <v>30</v>
      </c>
      <c r="P147" s="3279" t="s">
        <v>37</v>
      </c>
      <c r="Q147" s="3310">
        <v>1</v>
      </c>
      <c r="R147" s="3279">
        <v>87517622</v>
      </c>
      <c r="S147" s="3287">
        <v>45810</v>
      </c>
      <c r="T147" s="3279">
        <v>76440</v>
      </c>
      <c r="U147" s="3279" t="s">
        <v>34</v>
      </c>
      <c r="V147" s="3276">
        <v>0</v>
      </c>
      <c r="W147" s="3306" t="s">
        <v>1166</v>
      </c>
      <c r="X147" s="3306" t="s">
        <v>1166</v>
      </c>
      <c r="Y147" s="3306" t="s">
        <v>1166</v>
      </c>
      <c r="Z147" s="3105" t="s">
        <v>1166</v>
      </c>
      <c r="AA147" s="3104" t="s">
        <v>1166</v>
      </c>
      <c r="AB147" s="3048"/>
      <c r="AC147" s="3048"/>
      <c r="AD147" s="3048"/>
      <c r="AE147" s="3048"/>
      <c r="AF147" s="3048"/>
      <c r="AG147" s="3048"/>
      <c r="AH147" s="3048"/>
      <c r="AI147" s="3048"/>
      <c r="AJ147" s="3048"/>
      <c r="AK147" s="3048"/>
      <c r="AL147" s="3048"/>
      <c r="AM147" s="3048"/>
      <c r="AN147" s="3048"/>
      <c r="AO147" s="3048"/>
      <c r="AP147" s="3048"/>
      <c r="AQ147" s="3048"/>
      <c r="AR147" s="3048"/>
      <c r="AS147" s="3048"/>
      <c r="AT147" s="3048"/>
      <c r="AU147" s="3048"/>
    </row>
    <row r="148" spans="1:47">
      <c r="A148" s="3279">
        <v>142</v>
      </c>
      <c r="B148" s="3279" t="s">
        <v>1166</v>
      </c>
      <c r="C148" s="3443" t="s">
        <v>1250</v>
      </c>
      <c r="D148" s="3284" t="s">
        <v>1158</v>
      </c>
      <c r="E148" s="3284" t="s">
        <v>1166</v>
      </c>
      <c r="F148" s="3284" t="s">
        <v>1360</v>
      </c>
      <c r="G148" s="3284">
        <v>9595134464</v>
      </c>
      <c r="H148" s="3326" t="s">
        <v>1361</v>
      </c>
      <c r="I148" s="3268" t="s">
        <v>1510</v>
      </c>
      <c r="J148" s="3280" t="s">
        <v>73</v>
      </c>
      <c r="K148" s="3268" t="s">
        <v>138</v>
      </c>
      <c r="L148" s="3280" t="s">
        <v>1500</v>
      </c>
      <c r="M148" s="3313" t="s">
        <v>1385</v>
      </c>
      <c r="N148" s="3279">
        <v>76440</v>
      </c>
      <c r="O148" s="3279" t="s">
        <v>30</v>
      </c>
      <c r="P148" s="3279" t="s">
        <v>37</v>
      </c>
      <c r="Q148" s="3310">
        <v>1</v>
      </c>
      <c r="R148" s="3279">
        <v>87517622</v>
      </c>
      <c r="S148" s="3287">
        <v>45810</v>
      </c>
      <c r="T148" s="3279">
        <v>76440</v>
      </c>
      <c r="U148" s="3279" t="s">
        <v>34</v>
      </c>
      <c r="V148" s="3276">
        <v>0</v>
      </c>
      <c r="W148" s="3288" t="s">
        <v>1166</v>
      </c>
      <c r="X148" s="3288" t="s">
        <v>1166</v>
      </c>
      <c r="Y148" s="3288" t="s">
        <v>1166</v>
      </c>
      <c r="Z148" s="3105" t="s">
        <v>1166</v>
      </c>
      <c r="AA148" s="3104" t="s">
        <v>1166</v>
      </c>
      <c r="AB148" s="3048"/>
      <c r="AC148" s="3048"/>
      <c r="AD148" s="3048"/>
      <c r="AE148" s="3048"/>
      <c r="AF148" s="3048"/>
      <c r="AG148" s="3048"/>
      <c r="AH148" s="3048"/>
      <c r="AI148" s="3048"/>
      <c r="AJ148" s="3048"/>
      <c r="AK148" s="3048"/>
      <c r="AL148" s="3048"/>
      <c r="AM148" s="3048"/>
      <c r="AN148" s="3048"/>
      <c r="AO148" s="3048"/>
      <c r="AP148" s="3048"/>
      <c r="AQ148" s="3048"/>
      <c r="AR148" s="3048"/>
      <c r="AS148" s="3048"/>
      <c r="AT148" s="3048"/>
      <c r="AU148" s="3048"/>
    </row>
    <row r="149" spans="1:47">
      <c r="A149" s="3279">
        <v>143</v>
      </c>
      <c r="B149" s="3279" t="s">
        <v>1166</v>
      </c>
      <c r="C149" s="3443" t="s">
        <v>1250</v>
      </c>
      <c r="D149" s="3284" t="s">
        <v>1158</v>
      </c>
      <c r="E149" s="3284" t="s">
        <v>1166</v>
      </c>
      <c r="F149" s="3284" t="s">
        <v>1360</v>
      </c>
      <c r="G149" s="3284">
        <v>9595134464</v>
      </c>
      <c r="H149" s="3326" t="s">
        <v>1361</v>
      </c>
      <c r="I149" s="3268" t="s">
        <v>1511</v>
      </c>
      <c r="J149" s="3280" t="s">
        <v>73</v>
      </c>
      <c r="K149" s="3268" t="s">
        <v>138</v>
      </c>
      <c r="L149" s="3280" t="s">
        <v>1500</v>
      </c>
      <c r="M149" s="3313" t="s">
        <v>1385</v>
      </c>
      <c r="N149" s="3279">
        <v>76440</v>
      </c>
      <c r="O149" s="3279" t="s">
        <v>30</v>
      </c>
      <c r="P149" s="3279" t="s">
        <v>37</v>
      </c>
      <c r="Q149" s="3310">
        <v>1</v>
      </c>
      <c r="R149" s="3279">
        <v>87517622</v>
      </c>
      <c r="S149" s="3287">
        <v>45810</v>
      </c>
      <c r="T149" s="3279">
        <v>76440</v>
      </c>
      <c r="U149" s="3279" t="s">
        <v>34</v>
      </c>
      <c r="V149" s="3276">
        <v>0</v>
      </c>
      <c r="W149" s="3306" t="s">
        <v>1166</v>
      </c>
      <c r="X149" s="3306" t="s">
        <v>1166</v>
      </c>
      <c r="Y149" s="3306" t="s">
        <v>1166</v>
      </c>
      <c r="Z149" s="3105" t="s">
        <v>1166</v>
      </c>
      <c r="AA149" s="3104" t="s">
        <v>1166</v>
      </c>
      <c r="AB149" s="3048"/>
      <c r="AC149" s="3048"/>
      <c r="AD149" s="3048"/>
      <c r="AE149" s="3048"/>
      <c r="AF149" s="3048"/>
      <c r="AG149" s="3048"/>
      <c r="AH149" s="3048"/>
      <c r="AI149" s="3048"/>
      <c r="AJ149" s="3048"/>
      <c r="AK149" s="3048"/>
      <c r="AL149" s="3048"/>
      <c r="AM149" s="3048"/>
      <c r="AN149" s="3048"/>
      <c r="AO149" s="3048"/>
      <c r="AP149" s="3048"/>
      <c r="AQ149" s="3048"/>
      <c r="AR149" s="3048"/>
      <c r="AS149" s="3048"/>
      <c r="AT149" s="3048"/>
      <c r="AU149" s="3048"/>
    </row>
    <row r="150" spans="1:47">
      <c r="A150" s="3265">
        <v>144</v>
      </c>
      <c r="B150" s="3279" t="s">
        <v>1512</v>
      </c>
      <c r="C150" s="3443" t="s">
        <v>173</v>
      </c>
      <c r="D150" s="3284" t="s">
        <v>1175</v>
      </c>
      <c r="E150" s="3284" t="s">
        <v>1166</v>
      </c>
      <c r="F150" s="3284" t="s">
        <v>1513</v>
      </c>
      <c r="G150" s="3284">
        <v>9881304588</v>
      </c>
      <c r="H150" s="3326" t="s">
        <v>1432</v>
      </c>
      <c r="I150" s="3268" t="s">
        <v>1433</v>
      </c>
      <c r="J150" s="3280" t="s">
        <v>73</v>
      </c>
      <c r="K150" s="3280" t="s">
        <v>639</v>
      </c>
      <c r="L150" s="3280" t="s">
        <v>1514</v>
      </c>
      <c r="M150" s="3313" t="s">
        <v>1512</v>
      </c>
      <c r="N150" s="3279">
        <v>93312</v>
      </c>
      <c r="O150" s="3279" t="s">
        <v>30</v>
      </c>
      <c r="P150" s="3279" t="s">
        <v>37</v>
      </c>
      <c r="Q150" s="3310">
        <v>1</v>
      </c>
      <c r="R150" s="3279">
        <v>3110015392</v>
      </c>
      <c r="S150" s="3287">
        <v>45843</v>
      </c>
      <c r="T150" s="3279">
        <v>93312</v>
      </c>
      <c r="U150" s="3279" t="s">
        <v>37</v>
      </c>
      <c r="V150" s="3276">
        <v>0</v>
      </c>
      <c r="W150" s="3279" t="s">
        <v>1166</v>
      </c>
      <c r="X150" s="3279" t="s">
        <v>1166</v>
      </c>
      <c r="Y150" s="3279" t="s">
        <v>1166</v>
      </c>
      <c r="Z150" s="3105" t="s">
        <v>1166</v>
      </c>
      <c r="AA150" s="3104" t="s">
        <v>1166</v>
      </c>
      <c r="AB150" s="3048"/>
      <c r="AC150" s="3048"/>
      <c r="AD150" s="3048"/>
      <c r="AE150" s="3048"/>
      <c r="AF150" s="3048"/>
      <c r="AG150" s="3048"/>
      <c r="AH150" s="3048"/>
      <c r="AI150" s="3048"/>
      <c r="AJ150" s="3048"/>
      <c r="AK150" s="3048"/>
      <c r="AL150" s="3048"/>
      <c r="AM150" s="3048"/>
      <c r="AN150" s="3048"/>
      <c r="AO150" s="3048"/>
      <c r="AP150" s="3048"/>
      <c r="AQ150" s="3048"/>
      <c r="AR150" s="3048"/>
      <c r="AS150" s="3048"/>
      <c r="AT150" s="3048"/>
      <c r="AU150" s="3048"/>
    </row>
    <row r="151" spans="1:47">
      <c r="A151" s="3359">
        <v>145</v>
      </c>
      <c r="B151" s="3359" t="s">
        <v>1515</v>
      </c>
      <c r="C151" s="3450" t="s">
        <v>1157</v>
      </c>
      <c r="D151" s="3361" t="s">
        <v>1175</v>
      </c>
      <c r="E151" s="3361" t="s">
        <v>1166</v>
      </c>
      <c r="F151" s="3361" t="s">
        <v>1516</v>
      </c>
      <c r="G151" s="3361">
        <v>7066110007</v>
      </c>
      <c r="H151" s="3371" t="s">
        <v>1517</v>
      </c>
      <c r="I151" s="1398" t="s">
        <v>1241</v>
      </c>
      <c r="J151" s="3362" t="s">
        <v>83</v>
      </c>
      <c r="K151" s="1398" t="s">
        <v>157</v>
      </c>
      <c r="L151" s="3369" t="s">
        <v>1518</v>
      </c>
      <c r="M151" s="3374" t="s">
        <v>1515</v>
      </c>
      <c r="N151" s="3359">
        <v>2062108</v>
      </c>
      <c r="O151" s="3359" t="s">
        <v>30</v>
      </c>
      <c r="P151" s="3359" t="s">
        <v>62</v>
      </c>
      <c r="Q151" s="3366">
        <v>1</v>
      </c>
      <c r="R151" s="3359" t="s">
        <v>1519</v>
      </c>
      <c r="S151" s="3359" t="s">
        <v>1520</v>
      </c>
      <c r="T151" s="3359">
        <v>809287</v>
      </c>
      <c r="U151" s="3359" t="s">
        <v>62</v>
      </c>
      <c r="V151" s="3367">
        <f>Table6268934562[[#This Row],[Offer Value]]-Table6268934562[[#This Row],[PO Value]]</f>
        <v>1252821</v>
      </c>
      <c r="W151" s="3359"/>
      <c r="X151" s="3359" t="s">
        <v>1166</v>
      </c>
      <c r="Y151" s="3359" t="s">
        <v>1166</v>
      </c>
      <c r="Z151" s="3105" t="s">
        <v>208</v>
      </c>
      <c r="AA151" s="3104" t="s">
        <v>1166</v>
      </c>
      <c r="AB151" s="3048"/>
      <c r="AC151" s="3048"/>
      <c r="AD151" s="3048"/>
      <c r="AE151" s="3048"/>
      <c r="AF151" s="3048"/>
      <c r="AG151" s="3048"/>
      <c r="AH151" s="3048"/>
      <c r="AI151" s="3048"/>
      <c r="AJ151" s="3048"/>
      <c r="AK151" s="3048"/>
      <c r="AL151" s="3048"/>
      <c r="AM151" s="3048"/>
      <c r="AN151" s="3048"/>
      <c r="AO151" s="3048"/>
      <c r="AP151" s="3048"/>
      <c r="AQ151" s="3048"/>
      <c r="AR151" s="3048"/>
      <c r="AS151" s="3048"/>
      <c r="AT151" s="3048"/>
      <c r="AU151" s="3048"/>
    </row>
    <row r="152" spans="1:47">
      <c r="A152" s="3279">
        <v>146</v>
      </c>
      <c r="B152" s="3279" t="s">
        <v>1515</v>
      </c>
      <c r="C152" s="3443" t="s">
        <v>1250</v>
      </c>
      <c r="D152" s="3284" t="s">
        <v>1158</v>
      </c>
      <c r="E152" s="3284" t="s">
        <v>1166</v>
      </c>
      <c r="F152" s="3284" t="s">
        <v>1360</v>
      </c>
      <c r="G152" s="3284">
        <v>9595134464</v>
      </c>
      <c r="H152" s="3326" t="s">
        <v>1361</v>
      </c>
      <c r="I152" s="3268" t="s">
        <v>1501</v>
      </c>
      <c r="J152" s="3280" t="s">
        <v>75</v>
      </c>
      <c r="K152" s="3268" t="s">
        <v>157</v>
      </c>
      <c r="L152" s="3280" t="s">
        <v>1521</v>
      </c>
      <c r="M152" s="3313" t="s">
        <v>1515</v>
      </c>
      <c r="N152" s="3279">
        <v>19380</v>
      </c>
      <c r="O152" s="3279" t="s">
        <v>30</v>
      </c>
      <c r="P152" s="3279" t="s">
        <v>37</v>
      </c>
      <c r="Q152" s="3310">
        <v>1</v>
      </c>
      <c r="R152" s="3279" t="s">
        <v>1522</v>
      </c>
      <c r="S152" s="3279" t="s">
        <v>1523</v>
      </c>
      <c r="T152" s="3279">
        <v>22776</v>
      </c>
      <c r="U152" s="3279" t="s">
        <v>30</v>
      </c>
      <c r="V152" s="3276">
        <v>0</v>
      </c>
      <c r="W152" s="3279" t="s">
        <v>1166</v>
      </c>
      <c r="X152" s="3279" t="s">
        <v>1166</v>
      </c>
      <c r="Y152" s="3279" t="s">
        <v>1166</v>
      </c>
      <c r="Z152" s="3105" t="s">
        <v>1166</v>
      </c>
      <c r="AA152" s="3104" t="s">
        <v>1166</v>
      </c>
      <c r="AB152" s="3048"/>
      <c r="AC152" s="3048"/>
      <c r="AD152" s="3048"/>
      <c r="AE152" s="3048"/>
      <c r="AF152" s="3048"/>
      <c r="AG152" s="3048"/>
      <c r="AH152" s="3048"/>
      <c r="AI152" s="3048"/>
      <c r="AJ152" s="3048"/>
      <c r="AK152" s="3048"/>
      <c r="AL152" s="3048"/>
      <c r="AM152" s="3048"/>
      <c r="AN152" s="3048"/>
      <c r="AO152" s="3048"/>
      <c r="AP152" s="3048"/>
      <c r="AQ152" s="3048"/>
      <c r="AR152" s="3048"/>
      <c r="AS152" s="3048"/>
      <c r="AT152" s="3048"/>
      <c r="AU152" s="3048"/>
    </row>
    <row r="153" spans="1:47">
      <c r="A153" s="1020">
        <v>147</v>
      </c>
      <c r="B153" s="3279" t="s">
        <v>1524</v>
      </c>
      <c r="C153" s="3443" t="s">
        <v>1267</v>
      </c>
      <c r="D153" s="3284" t="s">
        <v>304</v>
      </c>
      <c r="E153" s="3284" t="s">
        <v>1166</v>
      </c>
      <c r="F153" s="3267" t="s">
        <v>1283</v>
      </c>
      <c r="G153" s="3267">
        <v>9011049428</v>
      </c>
      <c r="H153" s="3347" t="s">
        <v>1284</v>
      </c>
      <c r="I153" s="3268" t="s">
        <v>1288</v>
      </c>
      <c r="J153" s="3280" t="s">
        <v>75</v>
      </c>
      <c r="K153" s="3268" t="s">
        <v>157</v>
      </c>
      <c r="L153" s="3280" t="s">
        <v>1525</v>
      </c>
      <c r="M153" s="3313" t="s">
        <v>1524</v>
      </c>
      <c r="N153" s="3279">
        <v>88620</v>
      </c>
      <c r="O153" s="3279" t="s">
        <v>30</v>
      </c>
      <c r="P153" s="3279" t="s">
        <v>30</v>
      </c>
      <c r="Q153" s="3310">
        <v>1</v>
      </c>
      <c r="R153" s="3279" t="s">
        <v>1526</v>
      </c>
      <c r="S153" s="3279" t="s">
        <v>1527</v>
      </c>
      <c r="T153" s="3279">
        <v>81530</v>
      </c>
      <c r="U153" s="3279" t="s">
        <v>30</v>
      </c>
      <c r="V153" s="3276">
        <v>0</v>
      </c>
      <c r="W153" s="3279" t="s">
        <v>1166</v>
      </c>
      <c r="X153" s="3306" t="s">
        <v>1166</v>
      </c>
      <c r="Y153" s="3306" t="s">
        <v>1166</v>
      </c>
      <c r="Z153" s="3105" t="s">
        <v>1166</v>
      </c>
      <c r="AA153" s="3104" t="s">
        <v>1166</v>
      </c>
      <c r="AB153" s="3048"/>
      <c r="AC153" s="3048"/>
      <c r="AD153" s="3048"/>
      <c r="AE153" s="3048"/>
      <c r="AF153" s="3048"/>
      <c r="AG153" s="3048"/>
      <c r="AH153" s="3048"/>
      <c r="AI153" s="3048"/>
      <c r="AJ153" s="3048"/>
      <c r="AK153" s="3048"/>
      <c r="AL153" s="3048"/>
      <c r="AM153" s="3048"/>
      <c r="AN153" s="3048"/>
      <c r="AO153" s="3048"/>
      <c r="AP153" s="3048"/>
      <c r="AQ153" s="3048"/>
      <c r="AR153" s="3048"/>
      <c r="AS153" s="3048"/>
      <c r="AT153" s="3048"/>
      <c r="AU153" s="3048"/>
    </row>
    <row r="154" spans="1:47">
      <c r="A154" s="3288">
        <v>148</v>
      </c>
      <c r="B154" s="3288" t="s">
        <v>1524</v>
      </c>
      <c r="C154" s="3445" t="s">
        <v>1267</v>
      </c>
      <c r="D154" s="3290" t="s">
        <v>304</v>
      </c>
      <c r="E154" s="3290" t="s">
        <v>1166</v>
      </c>
      <c r="F154" s="3291" t="s">
        <v>1283</v>
      </c>
      <c r="G154" s="3291">
        <v>9011049428</v>
      </c>
      <c r="H154" s="3373" t="s">
        <v>1284</v>
      </c>
      <c r="I154" s="3293" t="s">
        <v>1291</v>
      </c>
      <c r="J154" s="3343" t="s">
        <v>75</v>
      </c>
      <c r="K154" s="3293" t="s">
        <v>157</v>
      </c>
      <c r="L154" s="3343" t="s">
        <v>1528</v>
      </c>
      <c r="M154" s="3344" t="s">
        <v>1524</v>
      </c>
      <c r="N154" s="3288">
        <v>444720</v>
      </c>
      <c r="O154" s="3288" t="s">
        <v>30</v>
      </c>
      <c r="P154" s="3288" t="s">
        <v>47</v>
      </c>
      <c r="Q154" s="3297">
        <v>0.3</v>
      </c>
      <c r="R154" s="3288" t="s">
        <v>1166</v>
      </c>
      <c r="S154" s="3288" t="s">
        <v>1166</v>
      </c>
      <c r="T154" s="3288" t="s">
        <v>1166</v>
      </c>
      <c r="U154" s="3288" t="s">
        <v>1166</v>
      </c>
      <c r="V154" s="3298">
        <v>444720</v>
      </c>
      <c r="W154" s="3288" t="s">
        <v>1166</v>
      </c>
      <c r="X154" s="3288" t="s">
        <v>1166</v>
      </c>
      <c r="Y154" s="3288" t="s">
        <v>1166</v>
      </c>
      <c r="Z154" s="3105" t="s">
        <v>157</v>
      </c>
      <c r="AA154" s="3104" t="s">
        <v>1166</v>
      </c>
      <c r="AB154" s="3048"/>
      <c r="AC154" s="3048"/>
      <c r="AD154" s="3048"/>
      <c r="AE154" s="3048"/>
      <c r="AF154" s="3048"/>
      <c r="AG154" s="3048"/>
      <c r="AH154" s="3048"/>
      <c r="AI154" s="3048"/>
      <c r="AJ154" s="3048"/>
      <c r="AK154" s="3048"/>
      <c r="AL154" s="3048"/>
      <c r="AM154" s="3048"/>
      <c r="AN154" s="3048"/>
      <c r="AO154" s="3048"/>
      <c r="AP154" s="3048"/>
      <c r="AQ154" s="3048"/>
      <c r="AR154" s="3048"/>
      <c r="AS154" s="3048"/>
      <c r="AT154" s="3048"/>
      <c r="AU154" s="3048"/>
    </row>
    <row r="155" spans="1:47" ht="20.25" customHeight="1">
      <c r="A155" s="3306">
        <v>149</v>
      </c>
      <c r="B155" s="3306" t="s">
        <v>1524</v>
      </c>
      <c r="C155" s="3447" t="s">
        <v>1267</v>
      </c>
      <c r="D155" s="3302" t="s">
        <v>304</v>
      </c>
      <c r="E155" s="3302" t="s">
        <v>1166</v>
      </c>
      <c r="F155" s="3302" t="s">
        <v>1529</v>
      </c>
      <c r="G155" s="3315">
        <v>9860890445</v>
      </c>
      <c r="H155" s="3354" t="s">
        <v>1530</v>
      </c>
      <c r="I155" s="3295" t="s">
        <v>1281</v>
      </c>
      <c r="J155" s="3315" t="s">
        <v>75</v>
      </c>
      <c r="K155" s="3295" t="s">
        <v>157</v>
      </c>
      <c r="L155" s="3315" t="s">
        <v>1531</v>
      </c>
      <c r="M155" s="3316" t="s">
        <v>1524</v>
      </c>
      <c r="N155" s="3306">
        <v>834157</v>
      </c>
      <c r="O155" s="3306" t="s">
        <v>30</v>
      </c>
      <c r="P155" s="3288" t="s">
        <v>47</v>
      </c>
      <c r="Q155" s="3307">
        <v>0.3</v>
      </c>
      <c r="R155" s="3306" t="s">
        <v>1166</v>
      </c>
      <c r="S155" s="3306" t="s">
        <v>1166</v>
      </c>
      <c r="T155" s="3306" t="s">
        <v>1166</v>
      </c>
      <c r="U155" s="3306" t="s">
        <v>1166</v>
      </c>
      <c r="V155" s="3308">
        <v>834157</v>
      </c>
      <c r="W155" s="3306" t="s">
        <v>1166</v>
      </c>
      <c r="X155" s="3306" t="s">
        <v>1166</v>
      </c>
      <c r="Y155" s="3306" t="s">
        <v>1166</v>
      </c>
      <c r="Z155" s="3105" t="s">
        <v>157</v>
      </c>
      <c r="AA155" s="3104" t="s">
        <v>1166</v>
      </c>
      <c r="AB155" s="3048"/>
      <c r="AC155" s="3048"/>
      <c r="AD155" s="3048"/>
      <c r="AE155" s="3048"/>
      <c r="AF155" s="3048"/>
      <c r="AG155" s="3048"/>
      <c r="AH155" s="3048"/>
      <c r="AI155" s="3048"/>
      <c r="AJ155" s="3048"/>
      <c r="AK155" s="3048"/>
      <c r="AL155" s="3048"/>
      <c r="AM155" s="3048"/>
      <c r="AN155" s="3048"/>
      <c r="AO155" s="3048"/>
      <c r="AP155" s="3048"/>
      <c r="AQ155" s="3048"/>
      <c r="AR155" s="3048"/>
      <c r="AS155" s="3048"/>
      <c r="AT155" s="3048"/>
      <c r="AU155" s="3048"/>
    </row>
    <row r="156" spans="1:47" ht="21.75" customHeight="1">
      <c r="A156" s="1020">
        <v>150</v>
      </c>
      <c r="B156" s="3359" t="s">
        <v>1523</v>
      </c>
      <c r="C156" s="3450" t="s">
        <v>1250</v>
      </c>
      <c r="D156" s="3361" t="s">
        <v>1158</v>
      </c>
      <c r="E156" s="3361" t="s">
        <v>1166</v>
      </c>
      <c r="F156" s="3361" t="s">
        <v>1360</v>
      </c>
      <c r="G156" s="3361">
        <v>9595134464</v>
      </c>
      <c r="H156" s="3371" t="s">
        <v>1361</v>
      </c>
      <c r="I156" s="1398" t="s">
        <v>1457</v>
      </c>
      <c r="J156" s="3362" t="s">
        <v>83</v>
      </c>
      <c r="K156" s="1398" t="s">
        <v>157</v>
      </c>
      <c r="L156" s="3362" t="s">
        <v>1532</v>
      </c>
      <c r="M156" s="3374" t="s">
        <v>1523</v>
      </c>
      <c r="N156" s="3359">
        <v>3839969</v>
      </c>
      <c r="O156" s="3359" t="s">
        <v>30</v>
      </c>
      <c r="P156" s="3359" t="s">
        <v>49</v>
      </c>
      <c r="Q156" s="3366">
        <v>1</v>
      </c>
      <c r="R156" s="3359" t="s">
        <v>1533</v>
      </c>
      <c r="S156" s="3360">
        <v>45725</v>
      </c>
      <c r="T156" s="3359">
        <v>170820</v>
      </c>
      <c r="U156" s="3359" t="s">
        <v>44</v>
      </c>
      <c r="V156" s="3367">
        <v>0</v>
      </c>
      <c r="W156" s="3359" t="s">
        <v>1166</v>
      </c>
      <c r="X156" s="3288" t="s">
        <v>1166</v>
      </c>
      <c r="Y156" s="3288" t="s">
        <v>1166</v>
      </c>
      <c r="Z156" s="3105" t="s">
        <v>208</v>
      </c>
      <c r="AA156" s="3104" t="s">
        <v>1166</v>
      </c>
      <c r="AB156" s="3048"/>
      <c r="AC156" s="3048"/>
      <c r="AD156" s="3048"/>
      <c r="AE156" s="3048"/>
      <c r="AF156" s="3048"/>
      <c r="AG156" s="3048"/>
      <c r="AH156" s="3048"/>
      <c r="AI156" s="3048"/>
      <c r="AJ156" s="3048"/>
      <c r="AK156" s="3048"/>
      <c r="AL156" s="3048"/>
      <c r="AM156" s="3048"/>
      <c r="AN156" s="3048"/>
      <c r="AO156" s="3048"/>
      <c r="AP156" s="3048"/>
      <c r="AQ156" s="3048"/>
      <c r="AR156" s="3048"/>
      <c r="AS156" s="3048"/>
      <c r="AT156" s="3048"/>
      <c r="AU156" s="3048"/>
    </row>
    <row r="157" spans="1:47">
      <c r="A157" s="3359">
        <v>151</v>
      </c>
      <c r="B157" s="3359" t="s">
        <v>1523</v>
      </c>
      <c r="C157" s="3450" t="s">
        <v>1421</v>
      </c>
      <c r="D157" s="3361" t="s">
        <v>1158</v>
      </c>
      <c r="E157" s="3361" t="s">
        <v>1166</v>
      </c>
      <c r="F157" s="3361" t="s">
        <v>1534</v>
      </c>
      <c r="G157" s="3362">
        <v>8412844886</v>
      </c>
      <c r="H157" s="3371" t="s">
        <v>1535</v>
      </c>
      <c r="I157" s="1398" t="s">
        <v>1536</v>
      </c>
      <c r="J157" s="3362" t="s">
        <v>73</v>
      </c>
      <c r="K157" s="1398" t="s">
        <v>812</v>
      </c>
      <c r="L157" s="3362" t="s">
        <v>1537</v>
      </c>
      <c r="M157" s="3374" t="s">
        <v>1523</v>
      </c>
      <c r="N157" s="3359">
        <v>81000</v>
      </c>
      <c r="O157" s="3359" t="s">
        <v>30</v>
      </c>
      <c r="P157" s="3359" t="s">
        <v>39</v>
      </c>
      <c r="Q157" s="3366">
        <v>1</v>
      </c>
      <c r="R157" s="3359" t="s">
        <v>1538</v>
      </c>
      <c r="S157" s="3360">
        <v>45725</v>
      </c>
      <c r="T157" s="3359">
        <v>81000</v>
      </c>
      <c r="U157" s="3359" t="s">
        <v>44</v>
      </c>
      <c r="V157" s="3367">
        <v>0</v>
      </c>
      <c r="W157" s="3359" t="s">
        <v>1166</v>
      </c>
      <c r="X157" s="3359" t="s">
        <v>1166</v>
      </c>
      <c r="Y157" s="3359" t="s">
        <v>1166</v>
      </c>
      <c r="Z157" s="3111" t="s">
        <v>1166</v>
      </c>
      <c r="AA157" s="3104" t="s">
        <v>1166</v>
      </c>
      <c r="AB157" s="3048"/>
      <c r="AC157" s="3048"/>
      <c r="AD157" s="3048"/>
      <c r="AE157" s="3048"/>
      <c r="AF157" s="3048"/>
      <c r="AG157" s="3048"/>
      <c r="AH157" s="3048"/>
      <c r="AI157" s="3048"/>
      <c r="AJ157" s="3048"/>
      <c r="AK157" s="3048"/>
      <c r="AL157" s="3048"/>
      <c r="AM157" s="3048"/>
      <c r="AN157" s="3048"/>
      <c r="AO157" s="3048"/>
      <c r="AP157" s="3048"/>
      <c r="AQ157" s="3048"/>
      <c r="AR157" s="3048"/>
      <c r="AS157" s="3048"/>
      <c r="AT157" s="3048"/>
      <c r="AU157" s="3048"/>
    </row>
    <row r="158" spans="1:47">
      <c r="A158" s="3359">
        <v>152</v>
      </c>
      <c r="B158" s="3359" t="s">
        <v>1166</v>
      </c>
      <c r="C158" s="3450" t="s">
        <v>1421</v>
      </c>
      <c r="D158" s="3361" t="s">
        <v>1158</v>
      </c>
      <c r="E158" s="3361" t="s">
        <v>1166</v>
      </c>
      <c r="F158" s="3361" t="s">
        <v>1534</v>
      </c>
      <c r="G158" s="3362">
        <v>8412844886</v>
      </c>
      <c r="H158" s="3371" t="s">
        <v>1535</v>
      </c>
      <c r="I158" s="1398" t="s">
        <v>1539</v>
      </c>
      <c r="J158" s="3362" t="s">
        <v>73</v>
      </c>
      <c r="K158" s="1398" t="s">
        <v>812</v>
      </c>
      <c r="L158" s="3362" t="s">
        <v>1537</v>
      </c>
      <c r="M158" s="3374" t="s">
        <v>1523</v>
      </c>
      <c r="N158" s="3359">
        <v>81000</v>
      </c>
      <c r="O158" s="3359" t="s">
        <v>30</v>
      </c>
      <c r="P158" s="3359" t="s">
        <v>39</v>
      </c>
      <c r="Q158" s="3366">
        <v>1</v>
      </c>
      <c r="R158" s="3359" t="s">
        <v>1540</v>
      </c>
      <c r="S158" s="3359" t="s">
        <v>1541</v>
      </c>
      <c r="T158" s="3359">
        <v>81000</v>
      </c>
      <c r="U158" s="3359" t="s">
        <v>30</v>
      </c>
      <c r="V158" s="3367">
        <v>0</v>
      </c>
      <c r="W158" s="3359" t="s">
        <v>1166</v>
      </c>
      <c r="X158" s="3359" t="s">
        <v>1166</v>
      </c>
      <c r="Y158" s="3288" t="s">
        <v>1166</v>
      </c>
      <c r="Z158" s="3105" t="s">
        <v>1166</v>
      </c>
      <c r="AA158" s="3104" t="s">
        <v>1166</v>
      </c>
      <c r="AB158" s="3048"/>
      <c r="AC158" s="3048"/>
      <c r="AD158" s="3048"/>
      <c r="AE158" s="3048"/>
      <c r="AF158" s="3048"/>
      <c r="AG158" s="3048"/>
      <c r="AH158" s="3048"/>
      <c r="AI158" s="3048"/>
      <c r="AJ158" s="3048"/>
      <c r="AK158" s="3048"/>
      <c r="AL158" s="3048"/>
      <c r="AM158" s="3048"/>
      <c r="AN158" s="3048"/>
      <c r="AO158" s="3048"/>
      <c r="AP158" s="3048"/>
      <c r="AQ158" s="3048"/>
      <c r="AR158" s="3048"/>
      <c r="AS158" s="3048"/>
      <c r="AT158" s="3048"/>
      <c r="AU158" s="3048"/>
    </row>
    <row r="159" spans="1:47">
      <c r="A159" s="3265">
        <v>153</v>
      </c>
      <c r="B159" s="3287">
        <v>45812</v>
      </c>
      <c r="C159" s="3443" t="s">
        <v>1174</v>
      </c>
      <c r="D159" s="3284" t="s">
        <v>1175</v>
      </c>
      <c r="E159" s="3284" t="s">
        <v>1166</v>
      </c>
      <c r="F159" s="3267" t="s">
        <v>1177</v>
      </c>
      <c r="G159" s="3281">
        <v>8552913019</v>
      </c>
      <c r="H159" s="3286" t="s">
        <v>1178</v>
      </c>
      <c r="I159" s="3268" t="s">
        <v>1179</v>
      </c>
      <c r="J159" s="3280" t="s">
        <v>79</v>
      </c>
      <c r="K159" s="3268" t="s">
        <v>138</v>
      </c>
      <c r="L159" s="3268" t="s">
        <v>1542</v>
      </c>
      <c r="M159" s="3320">
        <v>45812</v>
      </c>
      <c r="N159" s="3279">
        <v>31500</v>
      </c>
      <c r="O159" s="3279" t="s">
        <v>34</v>
      </c>
      <c r="P159" s="3279" t="s">
        <v>37</v>
      </c>
      <c r="Q159" s="3366">
        <v>1</v>
      </c>
      <c r="R159" s="3279" t="s">
        <v>1543</v>
      </c>
      <c r="S159" s="3287">
        <v>45812</v>
      </c>
      <c r="T159" s="3279">
        <v>31500</v>
      </c>
      <c r="U159" s="3279" t="s">
        <v>34</v>
      </c>
      <c r="V159" s="3276">
        <v>0</v>
      </c>
      <c r="W159" s="3279" t="s">
        <v>1166</v>
      </c>
      <c r="X159" s="3279" t="s">
        <v>1166</v>
      </c>
      <c r="Y159" s="3279" t="s">
        <v>1166</v>
      </c>
      <c r="Z159" s="3105" t="s">
        <v>1166</v>
      </c>
      <c r="AA159" s="3104" t="s">
        <v>1166</v>
      </c>
      <c r="AB159" s="3048"/>
      <c r="AC159" s="3048"/>
      <c r="AD159" s="3048"/>
      <c r="AE159" s="3048"/>
      <c r="AF159" s="3048"/>
      <c r="AG159" s="3048"/>
      <c r="AH159" s="3048"/>
      <c r="AI159" s="3048"/>
      <c r="AJ159" s="3048"/>
      <c r="AK159" s="3048"/>
      <c r="AL159" s="3048"/>
      <c r="AM159" s="3048"/>
      <c r="AN159" s="3048"/>
      <c r="AO159" s="3048"/>
      <c r="AP159" s="3048"/>
      <c r="AQ159" s="3048"/>
      <c r="AR159" s="3048"/>
      <c r="AS159" s="3048"/>
      <c r="AT159" s="3048"/>
      <c r="AU159" s="3048"/>
    </row>
    <row r="160" spans="1:47">
      <c r="A160" s="3279">
        <v>154</v>
      </c>
      <c r="B160" s="3287">
        <v>45813</v>
      </c>
      <c r="C160" s="3443" t="s">
        <v>1174</v>
      </c>
      <c r="D160" s="3284" t="s">
        <v>1175</v>
      </c>
      <c r="E160" s="3284" t="s">
        <v>1166</v>
      </c>
      <c r="F160" s="3267" t="s">
        <v>1177</v>
      </c>
      <c r="G160" s="3281">
        <v>8552913019</v>
      </c>
      <c r="H160" s="3286" t="s">
        <v>1178</v>
      </c>
      <c r="I160" s="3268" t="s">
        <v>1187</v>
      </c>
      <c r="J160" s="3280" t="s">
        <v>75</v>
      </c>
      <c r="K160" s="3268" t="s">
        <v>157</v>
      </c>
      <c r="L160" s="3280" t="s">
        <v>1544</v>
      </c>
      <c r="M160" s="3320">
        <v>45813</v>
      </c>
      <c r="N160" s="3279">
        <v>283350</v>
      </c>
      <c r="O160" s="3279" t="s">
        <v>34</v>
      </c>
      <c r="P160" s="3279" t="s">
        <v>37</v>
      </c>
      <c r="Q160" s="3366">
        <v>1</v>
      </c>
      <c r="R160" s="3279" t="s">
        <v>1545</v>
      </c>
      <c r="S160" s="3279" t="s">
        <v>1546</v>
      </c>
      <c r="T160" s="3279">
        <v>267062</v>
      </c>
      <c r="U160" s="3279" t="s">
        <v>37</v>
      </c>
      <c r="V160" s="3276">
        <v>0</v>
      </c>
      <c r="W160" s="3279" t="s">
        <v>1166</v>
      </c>
      <c r="X160" s="3279" t="s">
        <v>1166</v>
      </c>
      <c r="Y160" s="3279" t="s">
        <v>1166</v>
      </c>
      <c r="Z160" s="3105" t="s">
        <v>1166</v>
      </c>
      <c r="AA160" s="3104" t="s">
        <v>1166</v>
      </c>
      <c r="AB160" s="3048"/>
      <c r="AC160" s="3048"/>
      <c r="AD160" s="3048"/>
      <c r="AE160" s="3048"/>
      <c r="AF160" s="3048"/>
      <c r="AG160" s="3048"/>
      <c r="AH160" s="3048"/>
      <c r="AI160" s="3048"/>
      <c r="AJ160" s="3048"/>
      <c r="AK160" s="3048"/>
      <c r="AL160" s="3048"/>
      <c r="AM160" s="3048"/>
      <c r="AN160" s="3048"/>
      <c r="AO160" s="3048"/>
      <c r="AP160" s="3048"/>
      <c r="AQ160" s="3048"/>
      <c r="AR160" s="3048"/>
      <c r="AS160" s="3048"/>
      <c r="AT160" s="3048"/>
      <c r="AU160" s="3048"/>
    </row>
    <row r="161" spans="1:47">
      <c r="A161" s="3279">
        <v>155</v>
      </c>
      <c r="B161" s="3287">
        <v>45818</v>
      </c>
      <c r="C161" s="3443" t="s">
        <v>427</v>
      </c>
      <c r="D161" s="3284" t="s">
        <v>1445</v>
      </c>
      <c r="E161" s="3284" t="s">
        <v>1166</v>
      </c>
      <c r="F161" s="3284" t="s">
        <v>1446</v>
      </c>
      <c r="G161" s="3284">
        <v>8805061137</v>
      </c>
      <c r="H161" s="3326" t="s">
        <v>1447</v>
      </c>
      <c r="I161" s="3268" t="s">
        <v>1448</v>
      </c>
      <c r="J161" s="3280" t="s">
        <v>80</v>
      </c>
      <c r="K161" s="3268" t="s">
        <v>157</v>
      </c>
      <c r="L161" s="3268" t="s">
        <v>1547</v>
      </c>
      <c r="M161" s="3320">
        <v>45818</v>
      </c>
      <c r="N161" s="3279">
        <v>390450</v>
      </c>
      <c r="O161" s="3279" t="s">
        <v>34</v>
      </c>
      <c r="P161" s="3279" t="s">
        <v>39</v>
      </c>
      <c r="Q161" s="3366">
        <v>1</v>
      </c>
      <c r="R161" s="3279">
        <v>356000221</v>
      </c>
      <c r="S161" s="3287">
        <v>45840</v>
      </c>
      <c r="T161" s="3279">
        <v>370850</v>
      </c>
      <c r="U161" s="3279" t="s">
        <v>37</v>
      </c>
      <c r="V161" s="3276">
        <v>0</v>
      </c>
      <c r="W161" s="3279" t="s">
        <v>1166</v>
      </c>
      <c r="X161" s="3279" t="s">
        <v>1166</v>
      </c>
      <c r="Y161" s="3306" t="s">
        <v>1166</v>
      </c>
      <c r="Z161" s="3105" t="s">
        <v>1166</v>
      </c>
      <c r="AA161" s="3104" t="s">
        <v>1166</v>
      </c>
      <c r="AB161" s="3048"/>
      <c r="AC161" s="3048"/>
      <c r="AD161" s="3048"/>
      <c r="AE161" s="3048"/>
      <c r="AF161" s="3048"/>
      <c r="AG161" s="3048"/>
      <c r="AH161" s="3048"/>
      <c r="AI161" s="3048"/>
      <c r="AJ161" s="3048"/>
      <c r="AK161" s="3048"/>
      <c r="AL161" s="3048"/>
      <c r="AM161" s="3048"/>
      <c r="AN161" s="3048"/>
      <c r="AO161" s="3048"/>
      <c r="AP161" s="3048"/>
      <c r="AQ161" s="3048"/>
      <c r="AR161" s="3048"/>
      <c r="AS161" s="3048"/>
      <c r="AT161" s="3048"/>
      <c r="AU161" s="3048"/>
    </row>
    <row r="162" spans="1:47">
      <c r="A162" s="1020">
        <v>156</v>
      </c>
      <c r="B162" s="3360">
        <v>45818</v>
      </c>
      <c r="C162" s="3450" t="s">
        <v>1250</v>
      </c>
      <c r="D162" s="3361" t="s">
        <v>1158</v>
      </c>
      <c r="E162" s="3361" t="s">
        <v>1166</v>
      </c>
      <c r="F162" s="3361" t="s">
        <v>1425</v>
      </c>
      <c r="G162" s="3361">
        <v>7768004492</v>
      </c>
      <c r="H162" s="3371" t="s">
        <v>1426</v>
      </c>
      <c r="I162" s="1398" t="s">
        <v>1427</v>
      </c>
      <c r="J162" s="3362" t="s">
        <v>73</v>
      </c>
      <c r="K162" s="1398" t="s">
        <v>138</v>
      </c>
      <c r="L162" s="3362" t="s">
        <v>1548</v>
      </c>
      <c r="M162" s="3365">
        <v>45818</v>
      </c>
      <c r="N162" s="3359">
        <v>76440</v>
      </c>
      <c r="O162" s="3359" t="s">
        <v>34</v>
      </c>
      <c r="P162" s="3359" t="s">
        <v>39</v>
      </c>
      <c r="Q162" s="3366">
        <v>1</v>
      </c>
      <c r="R162" s="3375">
        <v>85411668</v>
      </c>
      <c r="S162" s="3360">
        <v>45968</v>
      </c>
      <c r="T162" s="3359">
        <v>76440</v>
      </c>
      <c r="U162" s="3359" t="s">
        <v>37</v>
      </c>
      <c r="V162" s="3367">
        <v>0</v>
      </c>
      <c r="W162" s="3359" t="s">
        <v>1166</v>
      </c>
      <c r="X162" s="3359" t="s">
        <v>1166</v>
      </c>
      <c r="Y162" s="3359" t="s">
        <v>1166</v>
      </c>
      <c r="Z162" s="3105" t="s">
        <v>1166</v>
      </c>
      <c r="AA162" s="3104" t="s">
        <v>1166</v>
      </c>
      <c r="AB162" s="3048"/>
      <c r="AC162" s="3048"/>
      <c r="AD162" s="3048"/>
      <c r="AE162" s="3048"/>
      <c r="AF162" s="3048"/>
      <c r="AG162" s="3048"/>
      <c r="AH162" s="3048"/>
      <c r="AI162" s="3048"/>
      <c r="AJ162" s="3048"/>
      <c r="AK162" s="3048"/>
      <c r="AL162" s="3048"/>
      <c r="AM162" s="3048"/>
      <c r="AN162" s="3048"/>
      <c r="AO162" s="3048"/>
      <c r="AP162" s="3048"/>
      <c r="AQ162" s="3048"/>
      <c r="AR162" s="3048"/>
      <c r="AS162" s="3048"/>
      <c r="AT162" s="3048"/>
      <c r="AU162" s="3048"/>
    </row>
    <row r="163" spans="1:47">
      <c r="A163" s="3279">
        <v>157</v>
      </c>
      <c r="B163" s="3279" t="s">
        <v>1549</v>
      </c>
      <c r="C163" s="3443" t="s">
        <v>1174</v>
      </c>
      <c r="D163" s="3284" t="s">
        <v>1175</v>
      </c>
      <c r="E163" s="3284" t="s">
        <v>1166</v>
      </c>
      <c r="F163" s="3267" t="s">
        <v>1177</v>
      </c>
      <c r="G163" s="3281">
        <v>8552913019</v>
      </c>
      <c r="H163" s="3286" t="s">
        <v>1178</v>
      </c>
      <c r="I163" s="3268" t="s">
        <v>1184</v>
      </c>
      <c r="J163" s="3280" t="s">
        <v>75</v>
      </c>
      <c r="K163" s="3268" t="s">
        <v>157</v>
      </c>
      <c r="L163" s="3268" t="s">
        <v>1550</v>
      </c>
      <c r="M163" s="3313" t="s">
        <v>1549</v>
      </c>
      <c r="N163" s="3279">
        <v>383350</v>
      </c>
      <c r="O163" s="3279" t="s">
        <v>34</v>
      </c>
      <c r="P163" s="3279" t="s">
        <v>37</v>
      </c>
      <c r="Q163" s="3366">
        <v>1</v>
      </c>
      <c r="R163" s="3279" t="s">
        <v>1551</v>
      </c>
      <c r="S163" s="3279" t="s">
        <v>1552</v>
      </c>
      <c r="T163" s="3279">
        <v>227030</v>
      </c>
      <c r="U163" s="3279" t="s">
        <v>34</v>
      </c>
      <c r="V163" s="3276">
        <v>0</v>
      </c>
      <c r="W163" s="3279" t="s">
        <v>1166</v>
      </c>
      <c r="X163" s="3279" t="s">
        <v>1166</v>
      </c>
      <c r="Y163" s="3306" t="s">
        <v>1166</v>
      </c>
      <c r="Z163" s="3105" t="s">
        <v>1166</v>
      </c>
      <c r="AA163" s="3104" t="s">
        <v>1166</v>
      </c>
      <c r="AB163" s="3048"/>
      <c r="AC163" s="3048"/>
      <c r="AD163" s="3048"/>
      <c r="AE163" s="3048"/>
      <c r="AF163" s="3048"/>
      <c r="AG163" s="3048"/>
      <c r="AH163" s="3048"/>
      <c r="AI163" s="3048"/>
      <c r="AJ163" s="3048"/>
      <c r="AK163" s="3048"/>
      <c r="AL163" s="3048"/>
      <c r="AM163" s="3048"/>
      <c r="AN163" s="3048"/>
      <c r="AO163" s="3048"/>
      <c r="AP163" s="3048"/>
      <c r="AQ163" s="3048"/>
      <c r="AR163" s="3048"/>
      <c r="AS163" s="3048"/>
      <c r="AT163" s="3048"/>
      <c r="AU163" s="3048"/>
    </row>
    <row r="164" spans="1:47">
      <c r="A164" s="3279">
        <v>158</v>
      </c>
      <c r="B164" s="3279" t="s">
        <v>1553</v>
      </c>
      <c r="C164" s="3443" t="s">
        <v>687</v>
      </c>
      <c r="D164" s="3284" t="s">
        <v>1158</v>
      </c>
      <c r="E164" s="3284" t="s">
        <v>1166</v>
      </c>
      <c r="F164" s="3284" t="s">
        <v>1554</v>
      </c>
      <c r="G164" s="3284">
        <v>9404867432</v>
      </c>
      <c r="H164" s="3326" t="s">
        <v>1555</v>
      </c>
      <c r="I164" s="3268" t="s">
        <v>1168</v>
      </c>
      <c r="J164" s="3280" t="s">
        <v>79</v>
      </c>
      <c r="K164" s="3268" t="s">
        <v>812</v>
      </c>
      <c r="L164" s="3268" t="s">
        <v>1556</v>
      </c>
      <c r="M164" s="3313" t="s">
        <v>1557</v>
      </c>
      <c r="N164" s="3279">
        <v>45000</v>
      </c>
      <c r="O164" s="3279" t="s">
        <v>34</v>
      </c>
      <c r="P164" s="3279" t="s">
        <v>37</v>
      </c>
      <c r="Q164" s="3366">
        <v>1</v>
      </c>
      <c r="R164" s="3279" t="s">
        <v>1558</v>
      </c>
      <c r="S164" s="3287">
        <v>45841</v>
      </c>
      <c r="T164" s="3279">
        <v>45000</v>
      </c>
      <c r="U164" s="3279" t="s">
        <v>37</v>
      </c>
      <c r="V164" s="3276">
        <v>0</v>
      </c>
      <c r="W164" s="3279" t="s">
        <v>1166</v>
      </c>
      <c r="X164" s="3288" t="s">
        <v>1166</v>
      </c>
      <c r="Y164" s="3288" t="s">
        <v>1166</v>
      </c>
      <c r="Z164" s="3105" t="s">
        <v>1166</v>
      </c>
      <c r="AA164" s="3104" t="s">
        <v>1166</v>
      </c>
      <c r="AB164" s="3048"/>
      <c r="AC164" s="3048"/>
      <c r="AD164" s="3048"/>
      <c r="AE164" s="3048"/>
      <c r="AF164" s="3048"/>
      <c r="AG164" s="3048"/>
      <c r="AH164" s="3048"/>
      <c r="AI164" s="3048"/>
      <c r="AJ164" s="3048"/>
      <c r="AK164" s="3048"/>
      <c r="AL164" s="3048"/>
      <c r="AM164" s="3048"/>
      <c r="AN164" s="3048"/>
      <c r="AO164" s="3048"/>
      <c r="AP164" s="3048"/>
      <c r="AQ164" s="3048"/>
      <c r="AR164" s="3048"/>
      <c r="AS164" s="3048"/>
      <c r="AT164" s="3048"/>
      <c r="AU164" s="3048"/>
    </row>
    <row r="165" spans="1:47">
      <c r="A165" s="1020">
        <v>159</v>
      </c>
      <c r="B165" s="3360">
        <v>45849</v>
      </c>
      <c r="C165" s="3450" t="s">
        <v>1350</v>
      </c>
      <c r="D165" s="3361" t="s">
        <v>1158</v>
      </c>
      <c r="E165" s="3361" t="s">
        <v>1166</v>
      </c>
      <c r="F165" s="3361" t="s">
        <v>1351</v>
      </c>
      <c r="G165" s="3361">
        <v>9623101254</v>
      </c>
      <c r="H165" s="3371" t="s">
        <v>1352</v>
      </c>
      <c r="I165" s="1398" t="s">
        <v>1420</v>
      </c>
      <c r="J165" s="3362" t="s">
        <v>75</v>
      </c>
      <c r="K165" s="1398" t="s">
        <v>157</v>
      </c>
      <c r="L165" s="3362" t="s">
        <v>1559</v>
      </c>
      <c r="M165" s="3365">
        <v>45849</v>
      </c>
      <c r="N165" s="3359">
        <v>66960</v>
      </c>
      <c r="O165" s="3359" t="s">
        <v>37</v>
      </c>
      <c r="P165" s="3359" t="s">
        <v>39</v>
      </c>
      <c r="Q165" s="3366">
        <v>1</v>
      </c>
      <c r="R165" s="3359" t="s">
        <v>1560</v>
      </c>
      <c r="S165" s="3359" t="s">
        <v>1561</v>
      </c>
      <c r="T165" s="3359">
        <v>66960</v>
      </c>
      <c r="U165" s="3359" t="s">
        <v>37</v>
      </c>
      <c r="V165" s="3367">
        <f>Table6268934562[[#This Row],[Offer Value]]-Table6268934562[[#This Row],[PO Value]]</f>
        <v>0</v>
      </c>
      <c r="W165" s="3359" t="s">
        <v>1166</v>
      </c>
      <c r="X165" s="3359" t="s">
        <v>1166</v>
      </c>
      <c r="Y165" s="3359" t="s">
        <v>1166</v>
      </c>
      <c r="Z165" s="3105" t="s">
        <v>1166</v>
      </c>
      <c r="AA165" s="3104" t="s">
        <v>1166</v>
      </c>
      <c r="AB165" s="3048"/>
      <c r="AC165" s="3048"/>
      <c r="AD165" s="3048"/>
      <c r="AE165" s="3048"/>
      <c r="AF165" s="3048"/>
      <c r="AG165" s="3048"/>
      <c r="AH165" s="3048"/>
      <c r="AI165" s="3048"/>
      <c r="AJ165" s="3048"/>
      <c r="AK165" s="3048"/>
      <c r="AL165" s="3048"/>
      <c r="AM165" s="3048"/>
      <c r="AN165" s="3048"/>
      <c r="AO165" s="3048"/>
      <c r="AP165" s="3048"/>
      <c r="AQ165" s="3048"/>
      <c r="AR165" s="3048"/>
      <c r="AS165" s="3048"/>
      <c r="AT165" s="3048"/>
      <c r="AU165" s="3048"/>
    </row>
    <row r="166" spans="1:47">
      <c r="A166" s="3359">
        <v>160</v>
      </c>
      <c r="B166" s="3360">
        <v>45819</v>
      </c>
      <c r="C166" s="3450" t="s">
        <v>1250</v>
      </c>
      <c r="D166" s="3361" t="s">
        <v>1158</v>
      </c>
      <c r="E166" s="3361" t="s">
        <v>1166</v>
      </c>
      <c r="F166" s="3376" t="s">
        <v>1483</v>
      </c>
      <c r="G166" s="3374">
        <v>9607001672</v>
      </c>
      <c r="H166" s="3377" t="s">
        <v>1405</v>
      </c>
      <c r="I166" s="1398" t="s">
        <v>1495</v>
      </c>
      <c r="J166" s="3362" t="s">
        <v>75</v>
      </c>
      <c r="K166" s="1398" t="s">
        <v>157</v>
      </c>
      <c r="L166" s="3362" t="s">
        <v>1562</v>
      </c>
      <c r="M166" s="3365">
        <v>45849</v>
      </c>
      <c r="N166" s="3359">
        <v>21180</v>
      </c>
      <c r="O166" s="3359" t="s">
        <v>37</v>
      </c>
      <c r="P166" s="3359" t="s">
        <v>39</v>
      </c>
      <c r="Q166" s="3366">
        <v>1</v>
      </c>
      <c r="R166" s="3359" t="s">
        <v>1486</v>
      </c>
      <c r="S166" s="3359" t="s">
        <v>1487</v>
      </c>
      <c r="T166" s="3359">
        <v>21180</v>
      </c>
      <c r="U166" s="3359" t="s">
        <v>37</v>
      </c>
      <c r="V166" s="3367">
        <f>Table6268934562[[#This Row],[Offer Value]]-Table6268934562[[#This Row],[PO Value]]</f>
        <v>0</v>
      </c>
      <c r="W166" s="3359" t="s">
        <v>1166</v>
      </c>
      <c r="X166" s="3359" t="s">
        <v>1166</v>
      </c>
      <c r="Y166" s="3288" t="s">
        <v>1166</v>
      </c>
      <c r="Z166" s="3105" t="s">
        <v>1166</v>
      </c>
      <c r="AA166" s="3104" t="s">
        <v>1166</v>
      </c>
      <c r="AB166" s="3048"/>
      <c r="AC166" s="3048"/>
      <c r="AD166" s="3048"/>
      <c r="AE166" s="3048"/>
      <c r="AF166" s="3048"/>
      <c r="AG166" s="3048"/>
      <c r="AH166" s="3048"/>
      <c r="AI166" s="3048"/>
      <c r="AJ166" s="3048"/>
      <c r="AK166" s="3048"/>
      <c r="AL166" s="3048"/>
      <c r="AM166" s="3048"/>
      <c r="AN166" s="3048"/>
      <c r="AO166" s="3048"/>
      <c r="AP166" s="3048"/>
      <c r="AQ166" s="3048"/>
      <c r="AR166" s="3048"/>
      <c r="AS166" s="3048"/>
      <c r="AT166" s="3048"/>
      <c r="AU166" s="3048"/>
    </row>
    <row r="167" spans="1:47">
      <c r="A167" s="3359">
        <v>161</v>
      </c>
      <c r="B167" s="3360" t="s">
        <v>1487</v>
      </c>
      <c r="C167" s="3450" t="s">
        <v>1267</v>
      </c>
      <c r="D167" s="3361" t="s">
        <v>304</v>
      </c>
      <c r="E167" s="3361"/>
      <c r="F167" s="3378" t="s">
        <v>1283</v>
      </c>
      <c r="G167" s="3378">
        <v>9011049428</v>
      </c>
      <c r="H167" s="3379" t="s">
        <v>1284</v>
      </c>
      <c r="I167" s="1398" t="s">
        <v>1291</v>
      </c>
      <c r="J167" s="3362" t="s">
        <v>75</v>
      </c>
      <c r="K167" s="1398" t="s">
        <v>157</v>
      </c>
      <c r="L167" s="3362" t="s">
        <v>1563</v>
      </c>
      <c r="M167" s="3365" t="s">
        <v>1487</v>
      </c>
      <c r="N167" s="3380">
        <v>149920</v>
      </c>
      <c r="O167" s="3359" t="s">
        <v>37</v>
      </c>
      <c r="P167" s="3359" t="s">
        <v>37</v>
      </c>
      <c r="Q167" s="3366">
        <v>1</v>
      </c>
      <c r="R167" s="3359" t="s">
        <v>1564</v>
      </c>
      <c r="S167" s="3381" t="s">
        <v>1565</v>
      </c>
      <c r="T167" s="3359">
        <v>140400</v>
      </c>
      <c r="U167" s="3359" t="s">
        <v>37</v>
      </c>
      <c r="V167" s="3367">
        <v>0</v>
      </c>
      <c r="W167" s="3359"/>
      <c r="X167" s="3359"/>
      <c r="Y167" s="3360"/>
      <c r="Z167" s="3084"/>
      <c r="AA167" s="3085"/>
      <c r="AB167" s="3048"/>
      <c r="AC167" s="3048"/>
      <c r="AD167" s="3048"/>
      <c r="AE167" s="3048"/>
      <c r="AF167" s="3048"/>
      <c r="AG167" s="3048"/>
      <c r="AH167" s="3048"/>
      <c r="AI167" s="3048"/>
      <c r="AJ167" s="3048"/>
      <c r="AK167" s="3048"/>
      <c r="AL167" s="3048"/>
      <c r="AM167" s="3048"/>
      <c r="AN167" s="3048"/>
      <c r="AO167" s="3048"/>
      <c r="AP167" s="3048"/>
      <c r="AQ167" s="3048"/>
      <c r="AR167" s="3048"/>
      <c r="AS167" s="3048"/>
      <c r="AT167" s="3048"/>
      <c r="AU167" s="3048"/>
    </row>
    <row r="168" spans="1:47">
      <c r="A168" s="480">
        <v>162</v>
      </c>
      <c r="B168" s="3289" t="s">
        <v>1566</v>
      </c>
      <c r="C168" s="3445" t="s">
        <v>1387</v>
      </c>
      <c r="D168" s="3290" t="s">
        <v>1158</v>
      </c>
      <c r="E168" s="3290"/>
      <c r="F168" s="3290" t="s">
        <v>1388</v>
      </c>
      <c r="G168" s="3294">
        <v>8788392320</v>
      </c>
      <c r="H168" s="3382" t="s">
        <v>1389</v>
      </c>
      <c r="I168" s="3293" t="s">
        <v>1390</v>
      </c>
      <c r="J168" s="3343" t="s">
        <v>75</v>
      </c>
      <c r="K168" s="3293" t="s">
        <v>157</v>
      </c>
      <c r="L168" s="3343" t="s">
        <v>1567</v>
      </c>
      <c r="M168" s="3351" t="s">
        <v>1566</v>
      </c>
      <c r="N168" s="3383">
        <v>289450</v>
      </c>
      <c r="O168" s="3288" t="s">
        <v>37</v>
      </c>
      <c r="P168" s="3288" t="s">
        <v>62</v>
      </c>
      <c r="Q168" s="3384">
        <v>0.3</v>
      </c>
      <c r="R168" s="3288"/>
      <c r="S168" s="3385"/>
      <c r="T168" s="3288">
        <v>50000</v>
      </c>
      <c r="U168" s="3288"/>
      <c r="V168" s="3298">
        <f>Table6268934562[[#This Row],[Offer Value]]-Table6268934562[[#This Row],[PO Value]]</f>
        <v>239450</v>
      </c>
      <c r="W168" s="3288"/>
      <c r="X168" s="3288"/>
      <c r="Y168" s="3288"/>
      <c r="Z168" s="3084"/>
      <c r="AA168" s="3085"/>
      <c r="AB168" s="3048"/>
      <c r="AC168" s="3048"/>
      <c r="AD168" s="3048"/>
      <c r="AE168" s="3048"/>
      <c r="AF168" s="3048"/>
      <c r="AG168" s="3048"/>
      <c r="AH168" s="3048"/>
      <c r="AI168" s="3048"/>
      <c r="AJ168" s="3048"/>
      <c r="AK168" s="3048"/>
      <c r="AL168" s="3048"/>
      <c r="AM168" s="3048"/>
      <c r="AN168" s="3048"/>
      <c r="AO168" s="3048"/>
      <c r="AP168" s="3048"/>
      <c r="AQ168" s="3048"/>
      <c r="AR168" s="3048"/>
      <c r="AS168" s="3048"/>
      <c r="AT168" s="3048"/>
      <c r="AU168" s="3048"/>
    </row>
    <row r="169" spans="1:47">
      <c r="A169" s="3288">
        <v>163</v>
      </c>
      <c r="B169" s="3289" t="s">
        <v>1566</v>
      </c>
      <c r="C169" s="3445" t="s">
        <v>1387</v>
      </c>
      <c r="D169" s="3290" t="s">
        <v>1158</v>
      </c>
      <c r="E169" s="3290"/>
      <c r="F169" s="3290" t="s">
        <v>1388</v>
      </c>
      <c r="G169" s="3294">
        <v>8788392320</v>
      </c>
      <c r="H169" s="3382" t="s">
        <v>1389</v>
      </c>
      <c r="I169" s="3293" t="s">
        <v>1390</v>
      </c>
      <c r="J169" s="3343" t="s">
        <v>77</v>
      </c>
      <c r="K169" s="3293" t="s">
        <v>157</v>
      </c>
      <c r="L169" s="3293" t="s">
        <v>1568</v>
      </c>
      <c r="M169" s="3351" t="s">
        <v>1566</v>
      </c>
      <c r="N169" s="3383">
        <v>350000</v>
      </c>
      <c r="O169" s="3288" t="s">
        <v>37</v>
      </c>
      <c r="P169" s="3288" t="s">
        <v>62</v>
      </c>
      <c r="Q169" s="3384">
        <v>0.3</v>
      </c>
      <c r="R169" s="3288"/>
      <c r="S169" s="3385"/>
      <c r="T169" s="3288"/>
      <c r="U169" s="3288"/>
      <c r="V169" s="3298">
        <f>Table6268934562[[#This Row],[Offer Value]]-Table6268934562[[#This Row],[PO Value]]</f>
        <v>350000</v>
      </c>
      <c r="W169" s="3288" t="s">
        <v>1569</v>
      </c>
      <c r="X169" s="3288"/>
      <c r="Y169" s="3288"/>
      <c r="Z169" s="3084"/>
      <c r="AA169" s="3085"/>
      <c r="AB169" s="3048"/>
      <c r="AC169" s="3048"/>
      <c r="AD169" s="3048"/>
      <c r="AE169" s="3048"/>
      <c r="AF169" s="3048"/>
      <c r="AG169" s="3048"/>
      <c r="AH169" s="3048"/>
      <c r="AI169" s="3048"/>
      <c r="AJ169" s="3048"/>
      <c r="AK169" s="3048"/>
      <c r="AL169" s="3048"/>
      <c r="AM169" s="3048"/>
      <c r="AN169" s="3048"/>
      <c r="AO169" s="3048"/>
      <c r="AP169" s="3048"/>
      <c r="AQ169" s="3048"/>
      <c r="AR169" s="3048"/>
      <c r="AS169" s="3048"/>
      <c r="AT169" s="3048"/>
      <c r="AU169" s="3048"/>
    </row>
    <row r="170" spans="1:47">
      <c r="A170" s="3359">
        <v>164</v>
      </c>
      <c r="B170" s="3360" t="s">
        <v>1478</v>
      </c>
      <c r="C170" s="3450" t="s">
        <v>755</v>
      </c>
      <c r="D170" s="3361" t="s">
        <v>1158</v>
      </c>
      <c r="E170" s="3361"/>
      <c r="F170" s="3361" t="s">
        <v>1394</v>
      </c>
      <c r="G170" s="3361">
        <v>9960460637</v>
      </c>
      <c r="H170" s="3371" t="s">
        <v>1263</v>
      </c>
      <c r="I170" s="3378" t="s">
        <v>1395</v>
      </c>
      <c r="J170" s="3362" t="s">
        <v>73</v>
      </c>
      <c r="K170" s="1398" t="s">
        <v>812</v>
      </c>
      <c r="L170" s="3362" t="s">
        <v>1570</v>
      </c>
      <c r="M170" s="3365" t="s">
        <v>1571</v>
      </c>
      <c r="N170" s="3380">
        <v>81200</v>
      </c>
      <c r="O170" s="3359" t="s">
        <v>34</v>
      </c>
      <c r="P170" s="3359" t="s">
        <v>39</v>
      </c>
      <c r="Q170" s="3386">
        <v>1</v>
      </c>
      <c r="R170" s="3359">
        <v>4507651363</v>
      </c>
      <c r="S170" s="3381" t="s">
        <v>1572</v>
      </c>
      <c r="T170" s="3359">
        <v>77000</v>
      </c>
      <c r="U170" s="3359" t="s">
        <v>39</v>
      </c>
      <c r="V170" s="3367">
        <v>0</v>
      </c>
      <c r="W170" s="3359"/>
      <c r="X170" s="3359"/>
      <c r="Y170" s="3359"/>
      <c r="Z170" s="3084"/>
      <c r="AA170" s="3085"/>
      <c r="AB170" s="3048"/>
      <c r="AC170" s="3048"/>
      <c r="AD170" s="3048"/>
      <c r="AE170" s="3048"/>
      <c r="AF170" s="3048"/>
      <c r="AG170" s="3048"/>
      <c r="AH170" s="3048"/>
      <c r="AI170" s="3048"/>
      <c r="AJ170" s="3048"/>
      <c r="AK170" s="3048"/>
      <c r="AL170" s="3048"/>
      <c r="AM170" s="3048"/>
      <c r="AN170" s="3048"/>
      <c r="AO170" s="3048"/>
      <c r="AP170" s="3048"/>
      <c r="AQ170" s="3048"/>
      <c r="AR170" s="3048"/>
      <c r="AS170" s="3048"/>
      <c r="AT170" s="3048"/>
      <c r="AU170" s="3048"/>
    </row>
    <row r="171" spans="1:47">
      <c r="A171" s="1020">
        <v>165</v>
      </c>
      <c r="B171" s="3360"/>
      <c r="C171" s="3450" t="s">
        <v>755</v>
      </c>
      <c r="D171" s="3361" t="s">
        <v>1158</v>
      </c>
      <c r="E171" s="3361"/>
      <c r="F171" s="3361" t="s">
        <v>1394</v>
      </c>
      <c r="G171" s="3361">
        <v>9960460637</v>
      </c>
      <c r="H171" s="3371" t="s">
        <v>1263</v>
      </c>
      <c r="I171" s="3378" t="s">
        <v>1573</v>
      </c>
      <c r="J171" s="3362" t="s">
        <v>73</v>
      </c>
      <c r="K171" s="1398" t="s">
        <v>138</v>
      </c>
      <c r="L171" s="3362" t="s">
        <v>1570</v>
      </c>
      <c r="M171" s="3365" t="s">
        <v>1571</v>
      </c>
      <c r="N171" s="3380">
        <v>81200</v>
      </c>
      <c r="O171" s="3359" t="s">
        <v>34</v>
      </c>
      <c r="P171" s="3359" t="s">
        <v>39</v>
      </c>
      <c r="Q171" s="3386">
        <v>1</v>
      </c>
      <c r="R171" s="3359">
        <v>4507651363</v>
      </c>
      <c r="S171" s="3381" t="s">
        <v>1572</v>
      </c>
      <c r="T171" s="3359">
        <v>77000</v>
      </c>
      <c r="U171" s="3359" t="s">
        <v>39</v>
      </c>
      <c r="V171" s="3367">
        <v>0</v>
      </c>
      <c r="W171" s="3359"/>
      <c r="X171" s="3359"/>
      <c r="Y171" s="3360"/>
      <c r="Z171" s="3084"/>
      <c r="AA171" s="3085"/>
      <c r="AB171" s="3048"/>
      <c r="AC171" s="3048"/>
      <c r="AD171" s="3048"/>
      <c r="AE171" s="3048"/>
      <c r="AF171" s="3048"/>
      <c r="AG171" s="3048"/>
      <c r="AH171" s="3048"/>
      <c r="AI171" s="3048"/>
      <c r="AJ171" s="3048"/>
      <c r="AK171" s="3048"/>
      <c r="AL171" s="3048"/>
      <c r="AM171" s="3048"/>
      <c r="AN171" s="3048"/>
      <c r="AO171" s="3048"/>
      <c r="AP171" s="3048"/>
      <c r="AQ171" s="3048"/>
      <c r="AR171" s="3048"/>
      <c r="AS171" s="3048"/>
      <c r="AT171" s="3048"/>
      <c r="AU171" s="3048"/>
    </row>
    <row r="172" spans="1:47">
      <c r="A172" s="3359">
        <v>166</v>
      </c>
      <c r="B172" s="3360"/>
      <c r="C172" s="3450" t="s">
        <v>755</v>
      </c>
      <c r="D172" s="3361" t="s">
        <v>1158</v>
      </c>
      <c r="E172" s="3361"/>
      <c r="F172" s="3361" t="s">
        <v>1394</v>
      </c>
      <c r="G172" s="3361">
        <v>9960460637</v>
      </c>
      <c r="H172" s="3371" t="s">
        <v>1263</v>
      </c>
      <c r="I172" s="3378" t="s">
        <v>1574</v>
      </c>
      <c r="J172" s="3362" t="s">
        <v>73</v>
      </c>
      <c r="K172" s="1398" t="s">
        <v>138</v>
      </c>
      <c r="L172" s="3362" t="s">
        <v>1570</v>
      </c>
      <c r="M172" s="3365" t="s">
        <v>1571</v>
      </c>
      <c r="N172" s="3380">
        <v>81200</v>
      </c>
      <c r="O172" s="3359" t="s">
        <v>34</v>
      </c>
      <c r="P172" s="3359" t="s">
        <v>39</v>
      </c>
      <c r="Q172" s="3386">
        <v>1</v>
      </c>
      <c r="R172" s="3359">
        <v>4507651363</v>
      </c>
      <c r="S172" s="3381" t="s">
        <v>1572</v>
      </c>
      <c r="T172" s="3359">
        <v>77000</v>
      </c>
      <c r="U172" s="3359" t="s">
        <v>39</v>
      </c>
      <c r="V172" s="3367">
        <v>0</v>
      </c>
      <c r="W172" s="3359"/>
      <c r="X172" s="3359"/>
      <c r="Y172" s="3360"/>
      <c r="Z172" s="3084"/>
      <c r="AA172" s="3085"/>
      <c r="AB172" s="3048"/>
      <c r="AC172" s="3048"/>
      <c r="AD172" s="3048"/>
      <c r="AE172" s="3048"/>
      <c r="AF172" s="3048"/>
      <c r="AG172" s="3048"/>
      <c r="AH172" s="3048"/>
      <c r="AI172" s="3048"/>
      <c r="AJ172" s="3048"/>
      <c r="AK172" s="3048"/>
      <c r="AL172" s="3048"/>
      <c r="AM172" s="3048"/>
      <c r="AN172" s="3048"/>
      <c r="AO172" s="3048"/>
      <c r="AP172" s="3048"/>
      <c r="AQ172" s="3048"/>
      <c r="AR172" s="3048"/>
      <c r="AS172" s="3048"/>
      <c r="AT172" s="3048"/>
      <c r="AU172" s="3048"/>
    </row>
    <row r="173" spans="1:47">
      <c r="A173" s="3359">
        <v>167</v>
      </c>
      <c r="B173" s="3360"/>
      <c r="C173" s="3450" t="s">
        <v>755</v>
      </c>
      <c r="D173" s="3361" t="s">
        <v>1158</v>
      </c>
      <c r="E173" s="3361"/>
      <c r="F173" s="3361" t="s">
        <v>1394</v>
      </c>
      <c r="G173" s="3361">
        <v>9960460637</v>
      </c>
      <c r="H173" s="3371" t="s">
        <v>1263</v>
      </c>
      <c r="I173" s="3378" t="s">
        <v>1575</v>
      </c>
      <c r="J173" s="3362" t="s">
        <v>73</v>
      </c>
      <c r="K173" s="1398" t="s">
        <v>138</v>
      </c>
      <c r="L173" s="3362" t="s">
        <v>1570</v>
      </c>
      <c r="M173" s="3365" t="s">
        <v>1571</v>
      </c>
      <c r="N173" s="3380">
        <v>81200</v>
      </c>
      <c r="O173" s="3359" t="s">
        <v>34</v>
      </c>
      <c r="P173" s="3359" t="s">
        <v>39</v>
      </c>
      <c r="Q173" s="3386">
        <v>1</v>
      </c>
      <c r="R173" s="3359">
        <v>4507651363</v>
      </c>
      <c r="S173" s="3381" t="s">
        <v>1572</v>
      </c>
      <c r="T173" s="3359">
        <v>77000</v>
      </c>
      <c r="U173" s="3359" t="s">
        <v>39</v>
      </c>
      <c r="V173" s="3367">
        <v>0</v>
      </c>
      <c r="W173" s="3359"/>
      <c r="X173" s="3359"/>
      <c r="Y173" s="3359"/>
      <c r="Z173" s="3084"/>
      <c r="AA173" s="3085"/>
      <c r="AB173" s="3048"/>
      <c r="AC173" s="3048"/>
      <c r="AD173" s="3048"/>
      <c r="AE173" s="3048"/>
      <c r="AF173" s="3048"/>
      <c r="AG173" s="3048"/>
      <c r="AH173" s="3048"/>
      <c r="AI173" s="3048"/>
      <c r="AJ173" s="3048"/>
      <c r="AK173" s="3048"/>
      <c r="AL173" s="3048"/>
      <c r="AM173" s="3048"/>
      <c r="AN173" s="3048"/>
      <c r="AO173" s="3048"/>
      <c r="AP173" s="3048"/>
      <c r="AQ173" s="3048"/>
      <c r="AR173" s="3048"/>
      <c r="AS173" s="3048"/>
      <c r="AT173" s="3048"/>
      <c r="AU173" s="3048"/>
    </row>
    <row r="174" spans="1:47">
      <c r="A174" s="1020">
        <v>168</v>
      </c>
      <c r="B174" s="3360"/>
      <c r="C174" s="3450" t="s">
        <v>755</v>
      </c>
      <c r="D174" s="3361" t="s">
        <v>1158</v>
      </c>
      <c r="E174" s="3361"/>
      <c r="F174" s="3361" t="s">
        <v>1394</v>
      </c>
      <c r="G174" s="3361">
        <v>9960460637</v>
      </c>
      <c r="H174" s="3371" t="s">
        <v>1263</v>
      </c>
      <c r="I174" s="3378" t="s">
        <v>1576</v>
      </c>
      <c r="J174" s="3374" t="s">
        <v>73</v>
      </c>
      <c r="K174" s="1398" t="s">
        <v>138</v>
      </c>
      <c r="L174" s="3362" t="s">
        <v>1570</v>
      </c>
      <c r="M174" s="3365" t="s">
        <v>1571</v>
      </c>
      <c r="N174" s="3380">
        <v>81200</v>
      </c>
      <c r="O174" s="3359" t="s">
        <v>34</v>
      </c>
      <c r="P174" s="3359" t="s">
        <v>39</v>
      </c>
      <c r="Q174" s="3386">
        <v>1</v>
      </c>
      <c r="R174" s="3359">
        <v>4507651363</v>
      </c>
      <c r="S174" s="3381" t="s">
        <v>1572</v>
      </c>
      <c r="T174" s="3359">
        <v>77000</v>
      </c>
      <c r="U174" s="3359" t="s">
        <v>39</v>
      </c>
      <c r="V174" s="3367">
        <v>0</v>
      </c>
      <c r="W174" s="3359"/>
      <c r="X174" s="3359"/>
      <c r="Y174" s="3360"/>
      <c r="Z174" s="3084"/>
      <c r="AA174" s="3085"/>
      <c r="AB174" s="3048"/>
      <c r="AC174" s="3048"/>
      <c r="AD174" s="3048"/>
      <c r="AE174" s="3048"/>
      <c r="AF174" s="3048"/>
      <c r="AG174" s="3048"/>
      <c r="AH174" s="3048"/>
      <c r="AI174" s="3048"/>
      <c r="AJ174" s="3048"/>
      <c r="AK174" s="3048"/>
      <c r="AL174" s="3048"/>
      <c r="AM174" s="3048"/>
      <c r="AN174" s="3048"/>
      <c r="AO174" s="3048"/>
      <c r="AP174" s="3048"/>
      <c r="AQ174" s="3048"/>
      <c r="AR174" s="3048"/>
      <c r="AS174" s="3048"/>
      <c r="AT174" s="3048"/>
      <c r="AU174" s="3048"/>
    </row>
    <row r="175" spans="1:47">
      <c r="A175" s="3359">
        <v>169</v>
      </c>
      <c r="B175" s="3360"/>
      <c r="C175" s="3450" t="s">
        <v>755</v>
      </c>
      <c r="D175" s="3361" t="s">
        <v>1158</v>
      </c>
      <c r="E175" s="3361"/>
      <c r="F175" s="3361" t="s">
        <v>1394</v>
      </c>
      <c r="G175" s="3361">
        <v>9960460637</v>
      </c>
      <c r="H175" s="3371" t="s">
        <v>1263</v>
      </c>
      <c r="I175" s="3378" t="s">
        <v>1264</v>
      </c>
      <c r="J175" s="3362" t="s">
        <v>73</v>
      </c>
      <c r="K175" s="1398" t="s">
        <v>138</v>
      </c>
      <c r="L175" s="3362" t="s">
        <v>1570</v>
      </c>
      <c r="M175" s="3365" t="s">
        <v>1571</v>
      </c>
      <c r="N175" s="3380">
        <v>81200</v>
      </c>
      <c r="O175" s="3359" t="s">
        <v>34</v>
      </c>
      <c r="P175" s="3359" t="s">
        <v>39</v>
      </c>
      <c r="Q175" s="3386">
        <v>1</v>
      </c>
      <c r="R175" s="3359">
        <v>4507651363</v>
      </c>
      <c r="S175" s="3381" t="s">
        <v>1572</v>
      </c>
      <c r="T175" s="3359">
        <v>77000</v>
      </c>
      <c r="U175" s="3359" t="s">
        <v>39</v>
      </c>
      <c r="V175" s="3367">
        <v>0</v>
      </c>
      <c r="W175" s="3359"/>
      <c r="X175" s="3359"/>
      <c r="Y175" s="3359"/>
      <c r="Z175" s="3084"/>
      <c r="AA175" s="3085"/>
      <c r="AB175" s="3048"/>
      <c r="AC175" s="3048"/>
      <c r="AD175" s="3048"/>
      <c r="AE175" s="3048"/>
      <c r="AF175" s="3048"/>
      <c r="AG175" s="3048"/>
      <c r="AH175" s="3048"/>
      <c r="AI175" s="3048"/>
      <c r="AJ175" s="3048"/>
      <c r="AK175" s="3048"/>
      <c r="AL175" s="3048"/>
      <c r="AM175" s="3048"/>
      <c r="AN175" s="3048"/>
      <c r="AO175" s="3048"/>
      <c r="AP175" s="3048"/>
      <c r="AQ175" s="3048"/>
      <c r="AR175" s="3048"/>
      <c r="AS175" s="3048"/>
      <c r="AT175" s="3048"/>
      <c r="AU175" s="3048"/>
    </row>
    <row r="176" spans="1:47" ht="16.5" customHeight="1">
      <c r="A176" s="3359">
        <v>170</v>
      </c>
      <c r="B176" s="3360">
        <v>45846</v>
      </c>
      <c r="C176" s="3450" t="s">
        <v>509</v>
      </c>
      <c r="D176" s="3361" t="s">
        <v>304</v>
      </c>
      <c r="E176" s="3361"/>
      <c r="F176" s="3361" t="s">
        <v>1577</v>
      </c>
      <c r="G176" s="3361">
        <v>9867952989</v>
      </c>
      <c r="H176" s="3387" t="s">
        <v>1578</v>
      </c>
      <c r="I176" s="3378" t="s">
        <v>512</v>
      </c>
      <c r="J176" s="3362" t="s">
        <v>79</v>
      </c>
      <c r="K176" s="3362" t="s">
        <v>138</v>
      </c>
      <c r="L176" s="3362" t="s">
        <v>1579</v>
      </c>
      <c r="M176" s="3365">
        <v>45877</v>
      </c>
      <c r="N176" s="3359">
        <v>37500</v>
      </c>
      <c r="O176" s="3359" t="s">
        <v>39</v>
      </c>
      <c r="P176" s="3359" t="s">
        <v>49</v>
      </c>
      <c r="Q176" s="3386">
        <v>1</v>
      </c>
      <c r="R176" s="3388" t="s">
        <v>1580</v>
      </c>
      <c r="S176" s="3381" t="s">
        <v>1581</v>
      </c>
      <c r="T176" s="3359">
        <v>37500</v>
      </c>
      <c r="U176" s="3359" t="s">
        <v>39</v>
      </c>
      <c r="V176" s="3367">
        <f>Table6268934562[[#This Row],[Offer Value]]-Table6268934562[[#This Row],[PO Value]]</f>
        <v>0</v>
      </c>
      <c r="W176" s="3359"/>
      <c r="X176" s="3359"/>
      <c r="Y176" s="3360"/>
      <c r="Z176" s="3084"/>
      <c r="AA176" s="3085"/>
      <c r="AB176" s="3048"/>
      <c r="AC176" s="3048"/>
      <c r="AD176" s="3048"/>
      <c r="AE176" s="3048"/>
      <c r="AF176" s="3048"/>
      <c r="AG176" s="3048"/>
      <c r="AH176" s="3048"/>
      <c r="AI176" s="3048"/>
      <c r="AJ176" s="3048"/>
      <c r="AK176" s="3048"/>
      <c r="AL176" s="3048"/>
      <c r="AM176" s="3048"/>
      <c r="AN176" s="3048"/>
      <c r="AO176" s="3048"/>
      <c r="AP176" s="3048"/>
      <c r="AQ176" s="3048"/>
      <c r="AR176" s="3048"/>
      <c r="AS176" s="3048"/>
      <c r="AT176" s="3048"/>
      <c r="AU176" s="3048"/>
    </row>
    <row r="177" spans="1:214">
      <c r="A177" s="480">
        <v>171</v>
      </c>
      <c r="B177" s="3289">
        <v>45877</v>
      </c>
      <c r="C177" s="3445" t="s">
        <v>1411</v>
      </c>
      <c r="D177" s="3290" t="s">
        <v>304</v>
      </c>
      <c r="E177" s="3290"/>
      <c r="F177" s="3290" t="s">
        <v>1412</v>
      </c>
      <c r="G177" s="3290">
        <v>8669908679</v>
      </c>
      <c r="H177" s="3382" t="s">
        <v>1413</v>
      </c>
      <c r="I177" s="3291" t="s">
        <v>1414</v>
      </c>
      <c r="J177" s="3343" t="s">
        <v>75</v>
      </c>
      <c r="K177" s="3343" t="s">
        <v>157</v>
      </c>
      <c r="L177" s="3343" t="s">
        <v>1582</v>
      </c>
      <c r="M177" s="3351">
        <v>45877</v>
      </c>
      <c r="N177" s="3288">
        <v>726907</v>
      </c>
      <c r="O177" s="3288" t="s">
        <v>39</v>
      </c>
      <c r="P177" s="3288" t="s">
        <v>62</v>
      </c>
      <c r="Q177" s="3384">
        <v>0.4</v>
      </c>
      <c r="R177" s="3288"/>
      <c r="S177" s="3385"/>
      <c r="T177" s="3288"/>
      <c r="U177" s="3288"/>
      <c r="V177" s="3298">
        <f>Table6268934562[[#This Row],[Offer Value]]-Table6268934562[[#This Row],[PO Value]]</f>
        <v>726907</v>
      </c>
      <c r="W177" s="3288"/>
      <c r="X177" s="3288"/>
      <c r="Y177" s="3289"/>
      <c r="Z177" s="3084" t="s">
        <v>157</v>
      </c>
      <c r="AA177" s="3085"/>
      <c r="AB177" s="3048"/>
      <c r="AC177" s="3048"/>
      <c r="AD177" s="3048"/>
      <c r="AE177" s="3048"/>
      <c r="AF177" s="3048"/>
      <c r="AG177" s="3048"/>
      <c r="AH177" s="3048"/>
      <c r="AI177" s="3048"/>
      <c r="AJ177" s="3048"/>
      <c r="AK177" s="3048"/>
      <c r="AL177" s="3048"/>
      <c r="AM177" s="3048"/>
      <c r="AN177" s="3048"/>
      <c r="AO177" s="3048"/>
      <c r="AP177" s="3048"/>
      <c r="AQ177" s="3048"/>
      <c r="AR177" s="3048"/>
      <c r="AS177" s="3048"/>
      <c r="AT177" s="3048"/>
      <c r="AU177" s="3048"/>
    </row>
    <row r="178" spans="1:214">
      <c r="A178" s="3288">
        <v>172</v>
      </c>
      <c r="B178" s="3289">
        <v>45877</v>
      </c>
      <c r="C178" s="3445" t="s">
        <v>687</v>
      </c>
      <c r="D178" s="3290" t="s">
        <v>1175</v>
      </c>
      <c r="E178" s="3290"/>
      <c r="F178" s="3290" t="s">
        <v>1583</v>
      </c>
      <c r="G178" s="3344">
        <v>9890304103</v>
      </c>
      <c r="H178" s="3382" t="s">
        <v>1584</v>
      </c>
      <c r="I178" s="3291" t="s">
        <v>1309</v>
      </c>
      <c r="J178" s="3343" t="s">
        <v>75</v>
      </c>
      <c r="K178" s="3343" t="s">
        <v>685</v>
      </c>
      <c r="L178" s="3343" t="s">
        <v>1585</v>
      </c>
      <c r="M178" s="3351">
        <v>45969</v>
      </c>
      <c r="N178" s="3288">
        <v>652060</v>
      </c>
      <c r="O178" s="3288" t="s">
        <v>39</v>
      </c>
      <c r="P178" s="3288" t="s">
        <v>62</v>
      </c>
      <c r="Q178" s="3384">
        <v>0.3</v>
      </c>
      <c r="R178" s="3289"/>
      <c r="S178" s="3385"/>
      <c r="T178" s="3288"/>
      <c r="U178" s="3288"/>
      <c r="V178" s="3298">
        <f>Table6268934562[[#This Row],[Offer Value]]-Table6268934562[[#This Row],[PO Value]]</f>
        <v>652060</v>
      </c>
      <c r="W178" s="3288"/>
      <c r="X178" s="3288"/>
      <c r="Y178" s="3289"/>
      <c r="Z178" s="3084" t="s">
        <v>157</v>
      </c>
      <c r="AA178" s="3085"/>
      <c r="AB178" s="3048"/>
      <c r="AC178" s="3048"/>
      <c r="AD178" s="3048"/>
      <c r="AE178" s="3048"/>
      <c r="AF178" s="3048"/>
      <c r="AG178" s="3048"/>
      <c r="AH178" s="3048"/>
      <c r="AI178" s="3048"/>
      <c r="AJ178" s="3048"/>
      <c r="AK178" s="3048"/>
      <c r="AL178" s="3048"/>
      <c r="AM178" s="3048"/>
      <c r="AN178" s="3048"/>
      <c r="AO178" s="3048"/>
      <c r="AP178" s="3048"/>
      <c r="AQ178" s="3048"/>
      <c r="AR178" s="3048"/>
      <c r="AS178" s="3048"/>
      <c r="AT178" s="3048"/>
      <c r="AU178" s="3048"/>
    </row>
    <row r="179" spans="1:214">
      <c r="A179" s="3359">
        <v>173</v>
      </c>
      <c r="B179" s="3360" t="s">
        <v>1572</v>
      </c>
      <c r="C179" s="3450" t="s">
        <v>687</v>
      </c>
      <c r="D179" s="3361" t="s">
        <v>304</v>
      </c>
      <c r="E179" s="3361"/>
      <c r="F179" s="3361" t="s">
        <v>1586</v>
      </c>
      <c r="G179" s="3374">
        <v>9819459963</v>
      </c>
      <c r="H179" s="3371" t="s">
        <v>1587</v>
      </c>
      <c r="I179" s="3378" t="s">
        <v>979</v>
      </c>
      <c r="J179" s="3362" t="s">
        <v>73</v>
      </c>
      <c r="K179" s="3362" t="s">
        <v>639</v>
      </c>
      <c r="L179" s="3362" t="s">
        <v>1588</v>
      </c>
      <c r="M179" s="3365" t="s">
        <v>1572</v>
      </c>
      <c r="N179" s="3359">
        <v>82000</v>
      </c>
      <c r="O179" s="3359" t="s">
        <v>39</v>
      </c>
      <c r="P179" s="3359" t="s">
        <v>44</v>
      </c>
      <c r="Q179" s="3386">
        <v>1</v>
      </c>
      <c r="R179" s="3359">
        <v>9709372716</v>
      </c>
      <c r="S179" s="3381" t="s">
        <v>1589</v>
      </c>
      <c r="T179" s="3359">
        <v>80000</v>
      </c>
      <c r="U179" s="3359" t="s">
        <v>44</v>
      </c>
      <c r="V179" s="3367">
        <f>Table6268934562[[#This Row],[Offer Value]]-Table6268934562[[#This Row],[PO Value]]</f>
        <v>2000</v>
      </c>
      <c r="W179" s="3359"/>
      <c r="X179" s="3359"/>
      <c r="Y179" s="3288"/>
      <c r="Z179" s="3084"/>
      <c r="AA179" s="3085"/>
      <c r="AB179" s="3048"/>
      <c r="AC179" s="3048"/>
      <c r="AD179" s="3048"/>
      <c r="AE179" s="3048"/>
      <c r="AF179" s="3048"/>
      <c r="AG179" s="3048"/>
      <c r="AH179" s="3048"/>
      <c r="AI179" s="3048"/>
      <c r="AJ179" s="3048"/>
      <c r="AK179" s="3048"/>
      <c r="AL179" s="3048"/>
      <c r="AM179" s="3048"/>
      <c r="AN179" s="3048"/>
      <c r="AO179" s="3048"/>
      <c r="AP179" s="3048"/>
      <c r="AQ179" s="3048"/>
      <c r="AR179" s="3048"/>
      <c r="AS179" s="3048"/>
      <c r="AT179" s="3048"/>
      <c r="AU179" s="3048"/>
    </row>
    <row r="180" spans="1:214">
      <c r="A180" s="1020">
        <v>174</v>
      </c>
      <c r="B180" s="3360"/>
      <c r="C180" s="3450" t="s">
        <v>687</v>
      </c>
      <c r="D180" s="3361" t="s">
        <v>304</v>
      </c>
      <c r="E180" s="3361"/>
      <c r="F180" s="3361" t="s">
        <v>1586</v>
      </c>
      <c r="G180" s="3374">
        <v>9819459963</v>
      </c>
      <c r="H180" s="3371" t="s">
        <v>1587</v>
      </c>
      <c r="I180" s="3378" t="s">
        <v>1045</v>
      </c>
      <c r="J180" s="3362" t="s">
        <v>73</v>
      </c>
      <c r="K180" s="3362" t="s">
        <v>639</v>
      </c>
      <c r="L180" s="3362" t="s">
        <v>1588</v>
      </c>
      <c r="M180" s="3365" t="s">
        <v>1572</v>
      </c>
      <c r="N180" s="3359">
        <v>82000</v>
      </c>
      <c r="O180" s="3359" t="s">
        <v>39</v>
      </c>
      <c r="P180" s="3359" t="s">
        <v>44</v>
      </c>
      <c r="Q180" s="3386">
        <v>1</v>
      </c>
      <c r="R180" s="3359">
        <v>9709372716</v>
      </c>
      <c r="S180" s="3381" t="s">
        <v>1589</v>
      </c>
      <c r="T180" s="3359">
        <v>80000</v>
      </c>
      <c r="U180" s="3359" t="s">
        <v>44</v>
      </c>
      <c r="V180" s="3367">
        <f>Table6268934562[[#This Row],[Offer Value]]-Table6268934562[[#This Row],[PO Value]]</f>
        <v>2000</v>
      </c>
      <c r="W180" s="3359"/>
      <c r="X180" s="3359"/>
      <c r="Y180" s="3289"/>
      <c r="Z180" s="3084"/>
      <c r="AA180" s="3085"/>
      <c r="AB180" s="3048"/>
      <c r="AC180" s="3048"/>
      <c r="AD180" s="3048"/>
      <c r="AE180" s="3048"/>
      <c r="AF180" s="3048"/>
      <c r="AG180" s="3048"/>
      <c r="AH180" s="3048"/>
      <c r="AI180" s="3048"/>
      <c r="AJ180" s="3048"/>
      <c r="AK180" s="3048"/>
      <c r="AL180" s="3048"/>
      <c r="AM180" s="3048"/>
      <c r="AN180" s="3048"/>
      <c r="AO180" s="3048"/>
      <c r="AP180" s="3048"/>
      <c r="AQ180" s="3048"/>
      <c r="AR180" s="3048"/>
      <c r="AS180" s="3048"/>
      <c r="AT180" s="3048"/>
      <c r="AU180" s="3048"/>
    </row>
    <row r="181" spans="1:214">
      <c r="A181" s="3359">
        <v>175</v>
      </c>
      <c r="B181" s="3360" t="s">
        <v>1572</v>
      </c>
      <c r="C181" s="3450" t="s">
        <v>687</v>
      </c>
      <c r="D181" s="3361" t="s">
        <v>304</v>
      </c>
      <c r="E181" s="3361"/>
      <c r="F181" s="3361" t="s">
        <v>1586</v>
      </c>
      <c r="G181" s="3374">
        <v>9819459963</v>
      </c>
      <c r="H181" s="3371" t="s">
        <v>1587</v>
      </c>
      <c r="I181" s="3378" t="s">
        <v>691</v>
      </c>
      <c r="J181" s="3362" t="s">
        <v>73</v>
      </c>
      <c r="K181" s="3362" t="s">
        <v>639</v>
      </c>
      <c r="L181" s="3362" t="s">
        <v>1590</v>
      </c>
      <c r="M181" s="3365" t="s">
        <v>1572</v>
      </c>
      <c r="N181" s="3359">
        <v>82000</v>
      </c>
      <c r="O181" s="3359" t="s">
        <v>39</v>
      </c>
      <c r="P181" s="3359" t="s">
        <v>44</v>
      </c>
      <c r="Q181" s="3386">
        <v>1</v>
      </c>
      <c r="R181" s="3359">
        <v>4513730038</v>
      </c>
      <c r="S181" s="3381">
        <v>46002</v>
      </c>
      <c r="T181" s="3359">
        <v>254200</v>
      </c>
      <c r="U181" s="3359" t="s">
        <v>49</v>
      </c>
      <c r="V181" s="3367">
        <f>Table6268934562[[#This Row],[Offer Value]]-Table6268934562[[#This Row],[PO Value]]</f>
        <v>-172200</v>
      </c>
      <c r="W181" s="3359" t="s">
        <v>1591</v>
      </c>
      <c r="X181" s="3359"/>
      <c r="Y181" s="3288"/>
      <c r="Z181" s="3084"/>
      <c r="AA181" s="3085"/>
      <c r="AB181" s="3048"/>
      <c r="AC181" s="3048"/>
      <c r="AD181" s="3048"/>
      <c r="AE181" s="3048"/>
      <c r="AF181" s="3048"/>
      <c r="AG181" s="3048"/>
      <c r="AH181" s="3048"/>
      <c r="AI181" s="3048"/>
      <c r="AJ181" s="3048"/>
      <c r="AK181" s="3048"/>
      <c r="AL181" s="3048"/>
      <c r="AM181" s="3048"/>
      <c r="AN181" s="3048"/>
      <c r="AO181" s="3048"/>
      <c r="AP181" s="3048"/>
      <c r="AQ181" s="3048"/>
      <c r="AR181" s="3048"/>
      <c r="AS181" s="3048"/>
      <c r="AT181" s="3048"/>
      <c r="AU181" s="3048"/>
    </row>
    <row r="182" spans="1:214" s="243" customFormat="1">
      <c r="A182" s="3359">
        <v>176</v>
      </c>
      <c r="B182" s="3359" t="s">
        <v>1592</v>
      </c>
      <c r="C182" s="3450" t="s">
        <v>1593</v>
      </c>
      <c r="D182" s="3361" t="s">
        <v>1175</v>
      </c>
      <c r="E182" s="3361"/>
      <c r="F182" s="3361" t="s">
        <v>1594</v>
      </c>
      <c r="G182" s="3374">
        <v>9834895166</v>
      </c>
      <c r="H182" s="3371" t="s">
        <v>1595</v>
      </c>
      <c r="I182" s="3378" t="s">
        <v>1596</v>
      </c>
      <c r="J182" s="3374" t="s">
        <v>79</v>
      </c>
      <c r="K182" s="3362" t="s">
        <v>639</v>
      </c>
      <c r="L182" s="3362" t="s">
        <v>1597</v>
      </c>
      <c r="M182" s="3374" t="s">
        <v>1592</v>
      </c>
      <c r="N182" s="3359">
        <v>31500</v>
      </c>
      <c r="O182" s="3359" t="s">
        <v>39</v>
      </c>
      <c r="P182" s="3359" t="s">
        <v>39</v>
      </c>
      <c r="Q182" s="3366">
        <v>1</v>
      </c>
      <c r="R182" s="3359">
        <v>4500524313</v>
      </c>
      <c r="S182" s="3381" t="s">
        <v>1598</v>
      </c>
      <c r="T182" s="3359">
        <v>29000</v>
      </c>
      <c r="U182" s="3359" t="s">
        <v>39</v>
      </c>
      <c r="V182" s="3367">
        <v>0</v>
      </c>
      <c r="W182" s="3359"/>
      <c r="X182" s="3359"/>
      <c r="Y182" s="3288"/>
      <c r="Z182" s="3084"/>
      <c r="AA182" s="3085"/>
      <c r="AB182" s="3051"/>
      <c r="AC182" s="3051"/>
      <c r="AD182" s="3051"/>
      <c r="AE182" s="3051"/>
      <c r="AF182" s="3051"/>
      <c r="AG182" s="3051"/>
      <c r="AH182" s="3051"/>
      <c r="AI182" s="3051"/>
      <c r="AJ182" s="3051"/>
      <c r="AK182" s="3051"/>
      <c r="AL182" s="3051"/>
      <c r="AM182" s="3051"/>
      <c r="AN182" s="3051"/>
      <c r="AO182" s="3051"/>
      <c r="AP182" s="3051"/>
      <c r="AQ182" s="3051"/>
      <c r="AR182" s="3051"/>
      <c r="AS182" s="3051"/>
      <c r="AT182" s="3051"/>
      <c r="AU182" s="3051"/>
      <c r="AV182" s="445"/>
      <c r="AW182" s="445"/>
      <c r="AX182" s="445"/>
      <c r="AY182" s="445"/>
      <c r="AZ182" s="445"/>
      <c r="BA182" s="445"/>
      <c r="BB182" s="445"/>
      <c r="BC182" s="445"/>
      <c r="BD182" s="445"/>
      <c r="BE182" s="445"/>
      <c r="BF182" s="445"/>
      <c r="BG182" s="445"/>
      <c r="BH182" s="445"/>
      <c r="BI182" s="445"/>
      <c r="BJ182" s="445"/>
      <c r="BK182" s="445"/>
      <c r="BL182" s="445"/>
      <c r="BM182" s="445"/>
      <c r="BN182" s="445"/>
      <c r="BO182" s="445"/>
      <c r="BP182" s="445"/>
      <c r="BQ182" s="445"/>
      <c r="BR182" s="445"/>
      <c r="BS182" s="445"/>
      <c r="BT182" s="445"/>
      <c r="BU182" s="445"/>
      <c r="BV182" s="445"/>
      <c r="BW182" s="445"/>
      <c r="BX182" s="445"/>
      <c r="BY182" s="445"/>
      <c r="BZ182" s="445"/>
      <c r="CA182" s="445"/>
      <c r="CB182" s="445"/>
      <c r="CC182" s="445"/>
      <c r="CD182" s="445"/>
      <c r="CE182" s="445"/>
      <c r="CF182" s="445"/>
      <c r="CG182" s="445"/>
      <c r="CH182" s="445"/>
      <c r="CI182" s="445"/>
      <c r="CJ182" s="445"/>
      <c r="CK182" s="445"/>
      <c r="CL182" s="445"/>
      <c r="CM182" s="445"/>
      <c r="CN182" s="445"/>
      <c r="CO182" s="445"/>
      <c r="CP182" s="445"/>
      <c r="CQ182" s="445"/>
      <c r="CR182" s="445"/>
      <c r="CS182" s="445"/>
      <c r="CT182" s="445"/>
      <c r="CU182" s="445"/>
      <c r="CV182" s="445"/>
      <c r="CW182" s="445"/>
      <c r="CX182" s="445"/>
      <c r="CY182" s="445"/>
      <c r="CZ182" s="445"/>
      <c r="DA182" s="445"/>
      <c r="DB182" s="445"/>
      <c r="DC182" s="445"/>
      <c r="DD182" s="445"/>
      <c r="DE182" s="445"/>
      <c r="DF182" s="445"/>
      <c r="DG182" s="445"/>
      <c r="DH182" s="445"/>
      <c r="DI182" s="445"/>
      <c r="DJ182" s="445"/>
      <c r="DK182" s="445"/>
      <c r="DL182" s="445"/>
      <c r="DM182" s="445"/>
      <c r="DN182" s="445"/>
      <c r="DO182" s="445"/>
      <c r="DP182" s="445"/>
      <c r="DQ182" s="445"/>
      <c r="DR182" s="445"/>
      <c r="DS182" s="445"/>
      <c r="DT182" s="445"/>
      <c r="DU182" s="445"/>
      <c r="DV182" s="445"/>
      <c r="DW182" s="445"/>
      <c r="DX182" s="445"/>
      <c r="DY182" s="445"/>
      <c r="DZ182" s="445"/>
      <c r="EA182" s="445"/>
      <c r="EB182" s="445"/>
      <c r="EC182" s="445"/>
      <c r="ED182" s="445"/>
      <c r="EE182" s="445"/>
      <c r="EF182" s="445"/>
      <c r="EG182" s="445"/>
      <c r="EH182" s="445"/>
      <c r="EI182" s="445"/>
      <c r="EJ182" s="445"/>
      <c r="EK182" s="445"/>
      <c r="EL182" s="445"/>
      <c r="EM182" s="445"/>
      <c r="EN182" s="445"/>
      <c r="EO182" s="445"/>
      <c r="EP182" s="445"/>
      <c r="EQ182" s="445"/>
      <c r="ER182" s="445"/>
      <c r="ES182" s="445"/>
      <c r="ET182" s="445"/>
      <c r="EU182" s="445"/>
      <c r="EV182" s="445"/>
      <c r="EW182" s="445"/>
      <c r="EX182" s="445"/>
      <c r="EY182" s="445"/>
      <c r="EZ182" s="445"/>
      <c r="FA182" s="445"/>
      <c r="FB182" s="445"/>
      <c r="FC182" s="445"/>
      <c r="FD182" s="445"/>
      <c r="FE182" s="445"/>
      <c r="FF182" s="445"/>
      <c r="FG182" s="445"/>
      <c r="FH182" s="445"/>
      <c r="FI182" s="445"/>
      <c r="FJ182" s="445"/>
      <c r="FK182" s="445"/>
      <c r="FL182" s="445"/>
      <c r="FM182" s="445"/>
      <c r="FN182" s="445"/>
      <c r="FO182" s="445"/>
      <c r="FP182" s="445"/>
      <c r="FQ182" s="445"/>
      <c r="FR182" s="445"/>
      <c r="FS182" s="445"/>
      <c r="FT182" s="445"/>
      <c r="FU182" s="445"/>
      <c r="FV182" s="445"/>
      <c r="FW182" s="445"/>
      <c r="FX182" s="445"/>
      <c r="FY182" s="445"/>
      <c r="FZ182" s="445"/>
      <c r="GA182" s="445"/>
      <c r="GB182" s="445"/>
      <c r="GC182" s="445"/>
      <c r="GD182" s="445"/>
      <c r="GE182" s="445"/>
      <c r="GF182" s="445"/>
      <c r="GG182" s="445"/>
      <c r="GH182" s="445"/>
      <c r="GI182" s="445"/>
      <c r="GJ182" s="445"/>
      <c r="GK182" s="445"/>
      <c r="GL182" s="445"/>
      <c r="GM182" s="445"/>
      <c r="GN182" s="445"/>
      <c r="GO182" s="445"/>
      <c r="GP182" s="445"/>
      <c r="GQ182" s="445"/>
      <c r="GR182" s="445"/>
      <c r="GS182" s="445"/>
      <c r="GT182" s="445"/>
      <c r="GU182" s="445"/>
      <c r="GV182" s="445"/>
      <c r="GW182" s="445"/>
      <c r="GX182" s="445"/>
      <c r="GY182" s="445"/>
      <c r="GZ182" s="445"/>
      <c r="HA182" s="445"/>
      <c r="HB182" s="445"/>
      <c r="HC182" s="445"/>
      <c r="HD182" s="445"/>
      <c r="HE182" s="445"/>
      <c r="HF182" s="445"/>
    </row>
    <row r="183" spans="1:214">
      <c r="A183" s="1020">
        <v>177</v>
      </c>
      <c r="B183" s="3359" t="s">
        <v>1599</v>
      </c>
      <c r="C183" s="3450" t="s">
        <v>1593</v>
      </c>
      <c r="D183" s="3361" t="s">
        <v>1175</v>
      </c>
      <c r="E183" s="3361"/>
      <c r="F183" s="3361" t="s">
        <v>1594</v>
      </c>
      <c r="G183" s="3374">
        <v>9834895166</v>
      </c>
      <c r="H183" s="3371" t="s">
        <v>1595</v>
      </c>
      <c r="I183" s="3378" t="s">
        <v>1596</v>
      </c>
      <c r="J183" s="3362" t="s">
        <v>74</v>
      </c>
      <c r="K183" s="3362" t="s">
        <v>685</v>
      </c>
      <c r="L183" s="3362" t="s">
        <v>1600</v>
      </c>
      <c r="M183" s="3374" t="s">
        <v>1601</v>
      </c>
      <c r="N183" s="3359">
        <v>275490</v>
      </c>
      <c r="O183" s="3359" t="s">
        <v>39</v>
      </c>
      <c r="P183" s="3359" t="s">
        <v>44</v>
      </c>
      <c r="Q183" s="3366">
        <v>1</v>
      </c>
      <c r="R183" s="3374">
        <v>5200358968</v>
      </c>
      <c r="S183" s="3389" t="s">
        <v>1602</v>
      </c>
      <c r="T183" s="3374">
        <v>264470</v>
      </c>
      <c r="U183" s="3359" t="s">
        <v>39</v>
      </c>
      <c r="V183" s="3367">
        <v>0</v>
      </c>
      <c r="W183" s="3359"/>
      <c r="X183" s="3359"/>
      <c r="Y183" s="3360"/>
      <c r="Z183" s="3084"/>
      <c r="AA183" s="3085"/>
      <c r="AB183" s="3048"/>
      <c r="AC183" s="3048"/>
      <c r="AD183" s="3048"/>
      <c r="AE183" s="3048"/>
      <c r="AF183" s="3048"/>
      <c r="AG183" s="3048"/>
      <c r="AH183" s="3048"/>
      <c r="AI183" s="3048"/>
      <c r="AJ183" s="3048"/>
      <c r="AK183" s="3048"/>
      <c r="AL183" s="3048"/>
      <c r="AM183" s="3048"/>
      <c r="AN183" s="3048"/>
      <c r="AO183" s="3048"/>
      <c r="AP183" s="3048"/>
      <c r="AQ183" s="3048"/>
      <c r="AR183" s="3048"/>
      <c r="AS183" s="3048"/>
      <c r="AT183" s="3048"/>
      <c r="AU183" s="3048"/>
    </row>
    <row r="184" spans="1:214">
      <c r="A184" s="3359">
        <v>178</v>
      </c>
      <c r="B184" s="3359" t="s">
        <v>1581</v>
      </c>
      <c r="C184" s="3450" t="s">
        <v>733</v>
      </c>
      <c r="D184" s="3361" t="s">
        <v>304</v>
      </c>
      <c r="E184" s="3361"/>
      <c r="F184" s="3361" t="s">
        <v>1603</v>
      </c>
      <c r="G184" s="3361">
        <v>9326387581</v>
      </c>
      <c r="H184" s="3368" t="s">
        <v>1325</v>
      </c>
      <c r="I184" s="1398" t="s">
        <v>736</v>
      </c>
      <c r="J184" s="3362" t="s">
        <v>75</v>
      </c>
      <c r="K184" s="3362" t="s">
        <v>385</v>
      </c>
      <c r="L184" s="3362" t="s">
        <v>1604</v>
      </c>
      <c r="M184" s="3374" t="s">
        <v>1581</v>
      </c>
      <c r="N184" s="3359">
        <v>151500</v>
      </c>
      <c r="O184" s="3359" t="s">
        <v>39</v>
      </c>
      <c r="P184" s="3359" t="s">
        <v>44</v>
      </c>
      <c r="Q184" s="3366">
        <v>1</v>
      </c>
      <c r="R184" s="3359">
        <v>5000016686</v>
      </c>
      <c r="S184" s="3381" t="s">
        <v>1581</v>
      </c>
      <c r="T184" s="3359">
        <v>61380</v>
      </c>
      <c r="U184" s="3359"/>
      <c r="V184" s="3367">
        <v>0</v>
      </c>
      <c r="W184" s="3359"/>
      <c r="X184" s="3359"/>
      <c r="Y184" s="3359"/>
      <c r="Z184" s="3084"/>
      <c r="AA184" s="3085"/>
      <c r="AB184" s="3048"/>
      <c r="AC184" s="3048"/>
      <c r="AD184" s="3048"/>
      <c r="AE184" s="3048"/>
      <c r="AF184" s="3048"/>
      <c r="AG184" s="3048"/>
      <c r="AH184" s="3048"/>
      <c r="AI184" s="3048"/>
      <c r="AJ184" s="3048"/>
      <c r="AK184" s="3048"/>
      <c r="AL184" s="3048"/>
      <c r="AM184" s="3048"/>
      <c r="AN184" s="3048"/>
      <c r="AO184" s="3048"/>
      <c r="AP184" s="3048"/>
      <c r="AQ184" s="3048"/>
      <c r="AR184" s="3048"/>
      <c r="AS184" s="3048"/>
      <c r="AT184" s="3048"/>
      <c r="AU184" s="3048"/>
    </row>
    <row r="185" spans="1:214">
      <c r="A185" s="3288">
        <v>179</v>
      </c>
      <c r="B185" s="3288" t="s">
        <v>1581</v>
      </c>
      <c r="C185" s="3445" t="s">
        <v>173</v>
      </c>
      <c r="D185" s="3290" t="s">
        <v>1175</v>
      </c>
      <c r="E185" s="3290"/>
      <c r="F185" s="3291" t="s">
        <v>1231</v>
      </c>
      <c r="G185" s="3291">
        <v>7757057351</v>
      </c>
      <c r="H185" s="3390" t="s">
        <v>1232</v>
      </c>
      <c r="I185" s="3293" t="s">
        <v>1233</v>
      </c>
      <c r="J185" s="3294" t="s">
        <v>75</v>
      </c>
      <c r="K185" s="3294" t="s">
        <v>157</v>
      </c>
      <c r="L185" s="3343" t="s">
        <v>1605</v>
      </c>
      <c r="M185" s="3344" t="s">
        <v>1581</v>
      </c>
      <c r="N185" s="3288">
        <v>252240</v>
      </c>
      <c r="O185" s="3288" t="s">
        <v>39</v>
      </c>
      <c r="P185" s="3288" t="s">
        <v>49</v>
      </c>
      <c r="Q185" s="3297">
        <v>0.3</v>
      </c>
      <c r="R185" s="3344"/>
      <c r="S185" s="3385"/>
      <c r="T185" s="3288"/>
      <c r="U185" s="3288"/>
      <c r="V185" s="3298">
        <f>Table6268934562[[#This Row],[Offer Value]]-Table6268934562[[#This Row],[PO Value]]</f>
        <v>252240</v>
      </c>
      <c r="W185" s="3288"/>
      <c r="X185" s="3288"/>
      <c r="Y185" s="3288"/>
      <c r="Z185" s="3084"/>
      <c r="AA185" s="3085"/>
      <c r="AB185" s="3048"/>
      <c r="AC185" s="3048"/>
      <c r="AD185" s="3048"/>
      <c r="AE185" s="3048"/>
      <c r="AF185" s="3048"/>
      <c r="AG185" s="3048"/>
      <c r="AH185" s="3048"/>
      <c r="AI185" s="3048"/>
      <c r="AJ185" s="3048"/>
      <c r="AK185" s="3048"/>
      <c r="AL185" s="3048"/>
      <c r="AM185" s="3048"/>
      <c r="AN185" s="3048"/>
      <c r="AO185" s="3048"/>
      <c r="AP185" s="3048"/>
      <c r="AQ185" s="3048"/>
      <c r="AR185" s="3048"/>
      <c r="AS185" s="3048"/>
      <c r="AT185" s="3048"/>
      <c r="AU185" s="3048"/>
    </row>
    <row r="186" spans="1:214">
      <c r="A186" s="480">
        <v>180</v>
      </c>
      <c r="B186" s="3289">
        <v>45725</v>
      </c>
      <c r="C186" s="3445" t="s">
        <v>1606</v>
      </c>
      <c r="D186" s="3290" t="s">
        <v>1175</v>
      </c>
      <c r="E186" s="3290"/>
      <c r="F186" s="3343" t="s">
        <v>1607</v>
      </c>
      <c r="G186" s="3343">
        <v>8668716634</v>
      </c>
      <c r="H186" s="3391" t="s">
        <v>1608</v>
      </c>
      <c r="I186" s="3291" t="s">
        <v>1609</v>
      </c>
      <c r="J186" s="3344" t="s">
        <v>75</v>
      </c>
      <c r="K186" s="3343" t="s">
        <v>639</v>
      </c>
      <c r="L186" s="3343" t="s">
        <v>1610</v>
      </c>
      <c r="M186" s="3351">
        <v>45725</v>
      </c>
      <c r="N186" s="3288">
        <v>233890</v>
      </c>
      <c r="O186" s="3288" t="s">
        <v>44</v>
      </c>
      <c r="P186" s="3288" t="s">
        <v>44</v>
      </c>
      <c r="Q186" s="3384">
        <v>0.5</v>
      </c>
      <c r="R186" s="480"/>
      <c r="S186" s="3392"/>
      <c r="T186" s="480"/>
      <c r="U186" s="480"/>
      <c r="V186" s="3298">
        <f>Table6268934562[[#This Row],[Offer Value]]-Table6268934562[[#This Row],[PO Value]]</f>
        <v>233890</v>
      </c>
      <c r="W186" s="3288"/>
      <c r="X186" s="3288"/>
      <c r="Y186" s="3288"/>
      <c r="Z186" s="3084"/>
      <c r="AA186" s="3085"/>
      <c r="AB186" s="3048"/>
      <c r="AC186" s="3048"/>
      <c r="AD186" s="3048"/>
      <c r="AE186" s="3048"/>
      <c r="AF186" s="3048"/>
      <c r="AG186" s="3048"/>
      <c r="AH186" s="3048"/>
      <c r="AI186" s="3048"/>
      <c r="AJ186" s="3048"/>
      <c r="AK186" s="3048"/>
      <c r="AL186" s="3048"/>
      <c r="AM186" s="3048"/>
      <c r="AN186" s="3048"/>
      <c r="AO186" s="3048"/>
      <c r="AP186" s="3048"/>
      <c r="AQ186" s="3048"/>
      <c r="AR186" s="3048"/>
      <c r="AS186" s="3048"/>
      <c r="AT186" s="3048"/>
      <c r="AU186" s="3048"/>
    </row>
    <row r="187" spans="1:214">
      <c r="A187" s="3359">
        <v>181</v>
      </c>
      <c r="B187" s="3360">
        <v>45786</v>
      </c>
      <c r="C187" s="3450" t="s">
        <v>1606</v>
      </c>
      <c r="D187" s="3361" t="s">
        <v>1175</v>
      </c>
      <c r="E187" s="3361"/>
      <c r="F187" s="3362" t="s">
        <v>1607</v>
      </c>
      <c r="G187" s="3362">
        <v>8668716634</v>
      </c>
      <c r="H187" s="3387" t="s">
        <v>1608</v>
      </c>
      <c r="I187" s="3378" t="s">
        <v>1609</v>
      </c>
      <c r="J187" s="3374" t="s">
        <v>79</v>
      </c>
      <c r="K187" s="3362" t="s">
        <v>639</v>
      </c>
      <c r="L187" s="3362" t="s">
        <v>1611</v>
      </c>
      <c r="M187" s="3365">
        <v>45786</v>
      </c>
      <c r="N187" s="3359">
        <v>25500</v>
      </c>
      <c r="O187" s="3359" t="s">
        <v>44</v>
      </c>
      <c r="P187" s="3359" t="s">
        <v>44</v>
      </c>
      <c r="Q187" s="3386">
        <v>1</v>
      </c>
      <c r="R187" s="3359" t="s">
        <v>1612</v>
      </c>
      <c r="S187" s="3381">
        <v>45970</v>
      </c>
      <c r="T187" s="3359">
        <v>24480</v>
      </c>
      <c r="U187" s="3359" t="s">
        <v>44</v>
      </c>
      <c r="V187" s="3367">
        <v>0</v>
      </c>
      <c r="W187" s="3359"/>
      <c r="X187" s="3359"/>
      <c r="Y187" s="3359"/>
      <c r="Z187" s="3086"/>
      <c r="AA187" s="3085"/>
      <c r="AB187" s="3048"/>
      <c r="AC187" s="3048"/>
      <c r="AD187" s="3048"/>
      <c r="AE187" s="3048"/>
      <c r="AF187" s="3048"/>
      <c r="AG187" s="3048"/>
      <c r="AH187" s="3048"/>
      <c r="AI187" s="3048"/>
      <c r="AJ187" s="3048"/>
      <c r="AK187" s="3048"/>
      <c r="AL187" s="3048"/>
      <c r="AM187" s="3048"/>
      <c r="AN187" s="3048"/>
      <c r="AO187" s="3048"/>
      <c r="AP187" s="3048"/>
      <c r="AQ187" s="3048"/>
      <c r="AR187" s="3048"/>
      <c r="AS187" s="3048"/>
      <c r="AT187" s="3048"/>
      <c r="AU187" s="3048"/>
    </row>
    <row r="188" spans="1:214">
      <c r="A188" s="3288">
        <v>182</v>
      </c>
      <c r="B188" s="3289">
        <v>45786</v>
      </c>
      <c r="C188" s="3445" t="s">
        <v>733</v>
      </c>
      <c r="D188" s="3290" t="s">
        <v>304</v>
      </c>
      <c r="E188" s="3290"/>
      <c r="F188" s="3290" t="s">
        <v>1603</v>
      </c>
      <c r="G188" s="3290">
        <v>9326387581</v>
      </c>
      <c r="H188" s="3393" t="s">
        <v>1325</v>
      </c>
      <c r="I188" s="3293" t="s">
        <v>736</v>
      </c>
      <c r="J188" s="3343" t="s">
        <v>75</v>
      </c>
      <c r="K188" s="3343" t="s">
        <v>385</v>
      </c>
      <c r="L188" s="3343" t="s">
        <v>1613</v>
      </c>
      <c r="M188" s="3351">
        <v>45786</v>
      </c>
      <c r="N188" s="3288">
        <v>62800</v>
      </c>
      <c r="O188" s="3288" t="s">
        <v>44</v>
      </c>
      <c r="P188" s="3288" t="s">
        <v>44</v>
      </c>
      <c r="Q188" s="3384">
        <v>0.5</v>
      </c>
      <c r="R188" s="3288"/>
      <c r="S188" s="3385"/>
      <c r="T188" s="3288"/>
      <c r="U188" s="3288"/>
      <c r="V188" s="3298">
        <f>Table6268934562[[#This Row],[Offer Value]]-Table6268934562[[#This Row],[PO Value]]</f>
        <v>62800</v>
      </c>
      <c r="W188" s="3288"/>
      <c r="X188" s="3288"/>
      <c r="Y188" s="3288"/>
      <c r="Z188" s="3084"/>
      <c r="AA188" s="3085"/>
      <c r="AB188" s="3048"/>
      <c r="AC188" s="3048"/>
      <c r="AD188" s="3048"/>
      <c r="AE188" s="3048"/>
      <c r="AF188" s="3048"/>
      <c r="AG188" s="3048"/>
      <c r="AH188" s="3048"/>
      <c r="AI188" s="3048"/>
      <c r="AJ188" s="3048"/>
      <c r="AK188" s="3048"/>
      <c r="AL188" s="3048"/>
      <c r="AM188" s="3048"/>
      <c r="AN188" s="3048"/>
      <c r="AO188" s="3048"/>
      <c r="AP188" s="3048"/>
      <c r="AQ188" s="3048"/>
      <c r="AR188" s="3048"/>
      <c r="AS188" s="3048"/>
      <c r="AT188" s="3048"/>
      <c r="AU188" s="3048"/>
    </row>
    <row r="189" spans="1:214">
      <c r="A189" s="480">
        <v>183</v>
      </c>
      <c r="B189" s="3289">
        <v>45786</v>
      </c>
      <c r="C189" s="3445" t="s">
        <v>1250</v>
      </c>
      <c r="D189" s="3290" t="s">
        <v>1158</v>
      </c>
      <c r="E189" s="3290"/>
      <c r="F189" s="3290" t="s">
        <v>1483</v>
      </c>
      <c r="G189" s="3290">
        <v>9607001672</v>
      </c>
      <c r="H189" s="3342" t="s">
        <v>1405</v>
      </c>
      <c r="I189" s="3291" t="s">
        <v>1406</v>
      </c>
      <c r="J189" s="3343" t="s">
        <v>75</v>
      </c>
      <c r="K189" s="3343" t="s">
        <v>208</v>
      </c>
      <c r="L189" s="3343" t="s">
        <v>1614</v>
      </c>
      <c r="M189" s="3351">
        <v>45786</v>
      </c>
      <c r="N189" s="3288">
        <v>19700</v>
      </c>
      <c r="O189" s="3288" t="s">
        <v>44</v>
      </c>
      <c r="P189" s="3288" t="s">
        <v>47</v>
      </c>
      <c r="Q189" s="3394">
        <v>0.5</v>
      </c>
      <c r="R189" s="3289"/>
      <c r="S189" s="3385"/>
      <c r="T189" s="3288"/>
      <c r="U189" s="3288"/>
      <c r="V189" s="3298">
        <f>Table6268934562[[#This Row],[Offer Value]]-Table6268934562[[#This Row],[PO Value]]</f>
        <v>19700</v>
      </c>
      <c r="W189" s="3288"/>
      <c r="X189" s="3288"/>
      <c r="Y189" s="3289"/>
      <c r="Z189" s="3084"/>
      <c r="AA189" s="3085"/>
      <c r="AB189" s="3048"/>
      <c r="AC189" s="3048"/>
      <c r="AD189" s="3048"/>
      <c r="AE189" s="3048"/>
      <c r="AF189" s="3048"/>
      <c r="AG189" s="3048"/>
      <c r="AH189" s="3048"/>
      <c r="AI189" s="3048"/>
      <c r="AJ189" s="3048"/>
      <c r="AK189" s="3048"/>
      <c r="AL189" s="3048"/>
      <c r="AM189" s="3048"/>
      <c r="AN189" s="3048"/>
      <c r="AO189" s="3048"/>
      <c r="AP189" s="3048"/>
      <c r="AQ189" s="3048"/>
      <c r="AR189" s="3048"/>
      <c r="AS189" s="3048"/>
      <c r="AT189" s="3048"/>
      <c r="AU189" s="3048"/>
    </row>
    <row r="190" spans="1:214">
      <c r="A190" s="3288">
        <v>184</v>
      </c>
      <c r="B190" s="3289">
        <v>45939</v>
      </c>
      <c r="C190" s="3445" t="s">
        <v>1157</v>
      </c>
      <c r="D190" s="3290" t="s">
        <v>1175</v>
      </c>
      <c r="E190" s="3290"/>
      <c r="F190" s="3290" t="s">
        <v>1615</v>
      </c>
      <c r="G190" s="3290">
        <v>8888827337</v>
      </c>
      <c r="H190" s="3382" t="s">
        <v>1236</v>
      </c>
      <c r="I190" s="3291" t="s">
        <v>1237</v>
      </c>
      <c r="J190" s="3343" t="s">
        <v>75</v>
      </c>
      <c r="K190" s="3343" t="s">
        <v>157</v>
      </c>
      <c r="L190" s="3343" t="s">
        <v>1616</v>
      </c>
      <c r="M190" s="3351">
        <v>45939</v>
      </c>
      <c r="N190" s="3288">
        <v>140180</v>
      </c>
      <c r="O190" s="3288" t="s">
        <v>44</v>
      </c>
      <c r="P190" s="3288" t="s">
        <v>62</v>
      </c>
      <c r="Q190" s="3297">
        <v>0.5</v>
      </c>
      <c r="R190" s="3289"/>
      <c r="S190" s="3385"/>
      <c r="T190" s="3288"/>
      <c r="U190" s="3288"/>
      <c r="V190" s="3298">
        <f>Table6268934562[[#This Row],[Offer Value]]-Table6268934562[[#This Row],[PO Value]]</f>
        <v>140180</v>
      </c>
      <c r="W190" s="3288"/>
      <c r="X190" s="3288"/>
      <c r="Y190" s="3289"/>
      <c r="Z190" s="3084"/>
      <c r="AA190" s="3085"/>
      <c r="AB190" s="3048"/>
      <c r="AC190" s="3048"/>
      <c r="AD190" s="3048"/>
      <c r="AE190" s="3048"/>
      <c r="AF190" s="3048"/>
      <c r="AG190" s="3048"/>
      <c r="AH190" s="3048"/>
      <c r="AI190" s="3048"/>
      <c r="AJ190" s="3048"/>
      <c r="AK190" s="3048"/>
      <c r="AL190" s="3048"/>
      <c r="AM190" s="3048"/>
      <c r="AN190" s="3048"/>
      <c r="AO190" s="3048"/>
      <c r="AP190" s="3048"/>
      <c r="AQ190" s="3048"/>
      <c r="AR190" s="3048"/>
      <c r="AS190" s="3048"/>
      <c r="AT190" s="3048"/>
      <c r="AU190" s="3048"/>
    </row>
    <row r="191" spans="1:214">
      <c r="A191" s="3359">
        <v>185</v>
      </c>
      <c r="B191" s="1021" t="s">
        <v>1617</v>
      </c>
      <c r="C191" s="3451" t="s">
        <v>782</v>
      </c>
      <c r="D191" s="3378" t="s">
        <v>304</v>
      </c>
      <c r="E191" s="3378"/>
      <c r="F191" s="3378" t="s">
        <v>1618</v>
      </c>
      <c r="G191" s="3378">
        <v>7506093377</v>
      </c>
      <c r="H191" s="3375" t="s">
        <v>1619</v>
      </c>
      <c r="I191" s="3378" t="s">
        <v>786</v>
      </c>
      <c r="J191" s="1398" t="s">
        <v>75</v>
      </c>
      <c r="K191" s="1398" t="s">
        <v>157</v>
      </c>
      <c r="L191" s="3362" t="s">
        <v>1620</v>
      </c>
      <c r="M191" s="3365" t="s">
        <v>1617</v>
      </c>
      <c r="N191" s="1020">
        <v>262750</v>
      </c>
      <c r="O191" s="1020" t="s">
        <v>44</v>
      </c>
      <c r="P191" s="1020" t="s">
        <v>44</v>
      </c>
      <c r="Q191" s="3395">
        <v>1</v>
      </c>
      <c r="R191" s="3359" t="s">
        <v>1621</v>
      </c>
      <c r="S191" s="3381" t="s">
        <v>1622</v>
      </c>
      <c r="T191" s="3359">
        <v>262750</v>
      </c>
      <c r="U191" s="3359" t="s">
        <v>44</v>
      </c>
      <c r="V191" s="3367">
        <f>Table6268934562[[#This Row],[Offer Value]]-Table6268934562[[#This Row],[PO Value]]</f>
        <v>0</v>
      </c>
      <c r="W191" s="3359"/>
      <c r="X191" s="3359"/>
      <c r="Y191" s="3288"/>
      <c r="Z191" s="3084"/>
      <c r="AA191" s="3085"/>
      <c r="AB191" s="3048"/>
      <c r="AC191" s="3048"/>
      <c r="AD191" s="3048"/>
      <c r="AE191" s="3048"/>
      <c r="AF191" s="3048"/>
      <c r="AG191" s="3048"/>
      <c r="AH191" s="3048"/>
      <c r="AI191" s="3048"/>
      <c r="AJ191" s="3048"/>
      <c r="AK191" s="3048"/>
      <c r="AL191" s="3048"/>
      <c r="AM191" s="3048"/>
      <c r="AN191" s="3048"/>
      <c r="AO191" s="3048"/>
      <c r="AP191" s="3048"/>
      <c r="AQ191" s="3048"/>
      <c r="AR191" s="3048"/>
      <c r="AS191" s="3048"/>
      <c r="AT191" s="3048"/>
      <c r="AU191" s="3048"/>
    </row>
    <row r="192" spans="1:214">
      <c r="A192" s="480">
        <v>186</v>
      </c>
      <c r="B192" s="480" t="s">
        <v>1623</v>
      </c>
      <c r="C192" s="2517" t="s">
        <v>998</v>
      </c>
      <c r="D192" s="3291" t="s">
        <v>1296</v>
      </c>
      <c r="E192" s="3291"/>
      <c r="F192" s="3291" t="s">
        <v>1297</v>
      </c>
      <c r="G192" s="3291">
        <v>8411055991</v>
      </c>
      <c r="H192" s="3292" t="s">
        <v>1298</v>
      </c>
      <c r="I192" s="3291" t="s">
        <v>1624</v>
      </c>
      <c r="J192" s="3396" t="s">
        <v>73</v>
      </c>
      <c r="K192" s="3293" t="s">
        <v>138</v>
      </c>
      <c r="L192" s="3343" t="s">
        <v>1625</v>
      </c>
      <c r="M192" s="3396" t="s">
        <v>1623</v>
      </c>
      <c r="N192" s="480">
        <v>80000</v>
      </c>
      <c r="O192" s="480" t="s">
        <v>44</v>
      </c>
      <c r="P192" s="480" t="s">
        <v>47</v>
      </c>
      <c r="Q192" s="3397">
        <v>0.7</v>
      </c>
      <c r="R192" s="3288"/>
      <c r="S192" s="3385"/>
      <c r="T192" s="3288"/>
      <c r="U192" s="3288"/>
      <c r="V192" s="3298">
        <f>Table6268934562[[#This Row],[Offer Value]]-Table6268934562[[#This Row],[PO Value]]</f>
        <v>80000</v>
      </c>
      <c r="W192" s="3288"/>
      <c r="X192" s="3288"/>
      <c r="Y192" s="3288"/>
      <c r="Z192" s="3084"/>
      <c r="AA192" s="3085"/>
      <c r="AB192" s="3048"/>
      <c r="AC192" s="3048"/>
      <c r="AD192" s="3048"/>
      <c r="AE192" s="3048"/>
      <c r="AF192" s="3048"/>
      <c r="AG192" s="3048"/>
      <c r="AH192" s="3048"/>
      <c r="AI192" s="3048"/>
      <c r="AJ192" s="3048"/>
      <c r="AK192" s="3048"/>
      <c r="AL192" s="3048"/>
      <c r="AM192" s="3048"/>
      <c r="AN192" s="3048"/>
      <c r="AO192" s="3048"/>
      <c r="AP192" s="3048"/>
      <c r="AQ192" s="3048"/>
      <c r="AR192" s="3048"/>
      <c r="AS192" s="3048"/>
      <c r="AT192" s="3048"/>
      <c r="AU192" s="3048"/>
    </row>
    <row r="193" spans="1:47">
      <c r="A193" s="3359">
        <v>187</v>
      </c>
      <c r="B193" s="1021">
        <v>45879</v>
      </c>
      <c r="C193" s="3451" t="s">
        <v>687</v>
      </c>
      <c r="D193" s="3378" t="s">
        <v>304</v>
      </c>
      <c r="E193" s="3378"/>
      <c r="F193" s="3378" t="s">
        <v>1626</v>
      </c>
      <c r="G193" s="3378">
        <v>9833658459</v>
      </c>
      <c r="H193" s="3364" t="s">
        <v>1129</v>
      </c>
      <c r="I193" s="3378" t="s">
        <v>691</v>
      </c>
      <c r="J193" s="1398" t="s">
        <v>77</v>
      </c>
      <c r="K193" s="1398" t="s">
        <v>138</v>
      </c>
      <c r="L193" s="1398" t="s">
        <v>1627</v>
      </c>
      <c r="M193" s="3398">
        <v>45879</v>
      </c>
      <c r="N193" s="1020">
        <v>585000</v>
      </c>
      <c r="O193" s="1020" t="s">
        <v>47</v>
      </c>
      <c r="P193" s="1020" t="s">
        <v>47</v>
      </c>
      <c r="Q193" s="3395">
        <v>1</v>
      </c>
      <c r="R193" s="1020">
        <v>4513692315</v>
      </c>
      <c r="S193" s="3399">
        <v>45940</v>
      </c>
      <c r="T193" s="1020">
        <v>585000</v>
      </c>
      <c r="U193" s="1020" t="s">
        <v>47</v>
      </c>
      <c r="V193" s="3367">
        <f>Table6268934562[[#This Row],[Offer Value]]-Table6268934562[[#This Row],[PO Value]]</f>
        <v>0</v>
      </c>
      <c r="W193" s="3359"/>
      <c r="X193" s="3359"/>
      <c r="Y193" s="3289"/>
      <c r="Z193" s="3084"/>
      <c r="AA193" s="3085"/>
      <c r="AB193" s="3048"/>
      <c r="AC193" s="3048"/>
      <c r="AD193" s="3048"/>
      <c r="AE193" s="3048"/>
      <c r="AF193" s="3048"/>
      <c r="AG193" s="3048"/>
      <c r="AH193" s="3048"/>
      <c r="AI193" s="3048"/>
      <c r="AJ193" s="3048"/>
      <c r="AK193" s="3048"/>
      <c r="AL193" s="3048"/>
      <c r="AM193" s="3048"/>
      <c r="AN193" s="3048"/>
      <c r="AO193" s="3048"/>
      <c r="AP193" s="3048"/>
      <c r="AQ193" s="3048"/>
      <c r="AR193" s="3048"/>
      <c r="AS193" s="3048"/>
      <c r="AT193" s="3048"/>
      <c r="AU193" s="3048"/>
    </row>
    <row r="194" spans="1:47">
      <c r="A194" s="3288">
        <v>188</v>
      </c>
      <c r="B194" s="481">
        <v>45879</v>
      </c>
      <c r="C194" s="2517" t="s">
        <v>687</v>
      </c>
      <c r="D194" s="3291" t="s">
        <v>304</v>
      </c>
      <c r="E194" s="3291"/>
      <c r="F194" s="3291" t="s">
        <v>1628</v>
      </c>
      <c r="G194" s="3291">
        <v>9819509486</v>
      </c>
      <c r="H194" s="3390" t="s">
        <v>1209</v>
      </c>
      <c r="I194" s="3291" t="s">
        <v>1215</v>
      </c>
      <c r="J194" s="3293" t="s">
        <v>73</v>
      </c>
      <c r="K194" s="3293" t="s">
        <v>138</v>
      </c>
      <c r="L194" s="3343" t="s">
        <v>1629</v>
      </c>
      <c r="M194" s="3400">
        <v>45879</v>
      </c>
      <c r="N194" s="480">
        <v>80000</v>
      </c>
      <c r="O194" s="480" t="s">
        <v>47</v>
      </c>
      <c r="P194" s="480" t="s">
        <v>62</v>
      </c>
      <c r="Q194" s="3397">
        <v>0.7</v>
      </c>
      <c r="R194" s="3289"/>
      <c r="S194" s="3385"/>
      <c r="T194" s="3288"/>
      <c r="U194" s="3288"/>
      <c r="V194" s="3298">
        <f>Table6268934562[[#This Row],[Offer Value]]-Table6268934562[[#This Row],[PO Value]]</f>
        <v>80000</v>
      </c>
      <c r="W194" s="3288"/>
      <c r="X194" s="3288"/>
      <c r="Y194" s="3289"/>
      <c r="Z194" s="3084"/>
      <c r="AA194" s="3085"/>
      <c r="AB194" s="3048"/>
      <c r="AC194" s="3048"/>
      <c r="AD194" s="3048"/>
      <c r="AE194" s="3048"/>
      <c r="AF194" s="3048"/>
      <c r="AG194" s="3048"/>
      <c r="AH194" s="3048"/>
      <c r="AI194" s="3048"/>
      <c r="AJ194" s="3048"/>
      <c r="AK194" s="3048"/>
      <c r="AL194" s="3048"/>
      <c r="AM194" s="3048"/>
      <c r="AN194" s="3048"/>
      <c r="AO194" s="3048"/>
      <c r="AP194" s="3048"/>
      <c r="AQ194" s="3048"/>
      <c r="AR194" s="3048"/>
      <c r="AS194" s="3048"/>
      <c r="AT194" s="3048"/>
      <c r="AU194" s="3048"/>
    </row>
    <row r="195" spans="1:47">
      <c r="A195" s="480">
        <v>189</v>
      </c>
      <c r="B195" s="480"/>
      <c r="C195" s="2517" t="s">
        <v>687</v>
      </c>
      <c r="D195" s="3291" t="s">
        <v>304</v>
      </c>
      <c r="E195" s="3291"/>
      <c r="F195" s="3291" t="s">
        <v>1628</v>
      </c>
      <c r="G195" s="3291">
        <v>9819509486</v>
      </c>
      <c r="H195" s="3390" t="s">
        <v>1209</v>
      </c>
      <c r="I195" s="3291" t="s">
        <v>1216</v>
      </c>
      <c r="J195" s="3293" t="s">
        <v>73</v>
      </c>
      <c r="K195" s="3293" t="s">
        <v>138</v>
      </c>
      <c r="L195" s="3343" t="s">
        <v>1629</v>
      </c>
      <c r="M195" s="3400">
        <v>45879</v>
      </c>
      <c r="N195" s="480">
        <v>80000</v>
      </c>
      <c r="O195" s="480" t="s">
        <v>47</v>
      </c>
      <c r="P195" s="480" t="s">
        <v>62</v>
      </c>
      <c r="Q195" s="3397">
        <v>0.7</v>
      </c>
      <c r="R195" s="480"/>
      <c r="S195" s="3392"/>
      <c r="T195" s="480"/>
      <c r="U195" s="480"/>
      <c r="V195" s="3298">
        <f>Table6268934562[[#This Row],[Offer Value]]-Table6268934562[[#This Row],[PO Value]]</f>
        <v>80000</v>
      </c>
      <c r="W195" s="3288"/>
      <c r="X195" s="3288"/>
      <c r="Y195" s="3401"/>
      <c r="Z195" s="3084"/>
      <c r="AA195" s="3085"/>
      <c r="AB195" s="3048"/>
      <c r="AC195" s="3048"/>
      <c r="AD195" s="3048"/>
      <c r="AE195" s="3048"/>
      <c r="AF195" s="3048"/>
      <c r="AG195" s="3048"/>
      <c r="AH195" s="3048"/>
      <c r="AI195" s="3048"/>
      <c r="AJ195" s="3048"/>
      <c r="AK195" s="3048"/>
      <c r="AL195" s="3048"/>
      <c r="AM195" s="3048"/>
      <c r="AN195" s="3048"/>
      <c r="AO195" s="3048"/>
      <c r="AP195" s="3048"/>
      <c r="AQ195" s="3048"/>
      <c r="AR195" s="3048"/>
      <c r="AS195" s="3048"/>
      <c r="AT195" s="3048"/>
      <c r="AU195" s="3048"/>
    </row>
    <row r="196" spans="1:47">
      <c r="A196" s="3288">
        <v>190</v>
      </c>
      <c r="B196" s="480"/>
      <c r="C196" s="2517" t="s">
        <v>687</v>
      </c>
      <c r="D196" s="3291" t="s">
        <v>304</v>
      </c>
      <c r="E196" s="3291"/>
      <c r="F196" s="3291" t="s">
        <v>1628</v>
      </c>
      <c r="G196" s="3291">
        <v>9819509486</v>
      </c>
      <c r="H196" s="3390" t="s">
        <v>1209</v>
      </c>
      <c r="I196" s="3291">
        <v>500003859</v>
      </c>
      <c r="J196" s="3293" t="s">
        <v>73</v>
      </c>
      <c r="K196" s="3293" t="s">
        <v>138</v>
      </c>
      <c r="L196" s="3343" t="s">
        <v>1629</v>
      </c>
      <c r="M196" s="3400">
        <v>45879</v>
      </c>
      <c r="N196" s="480">
        <v>80000</v>
      </c>
      <c r="O196" s="480" t="s">
        <v>47</v>
      </c>
      <c r="P196" s="480" t="s">
        <v>62</v>
      </c>
      <c r="Q196" s="3397">
        <v>0.7</v>
      </c>
      <c r="R196" s="480"/>
      <c r="S196" s="3392"/>
      <c r="T196" s="480"/>
      <c r="U196" s="480"/>
      <c r="V196" s="3298">
        <f>Table6268934562[[#This Row],[Offer Value]]-Table6268934562[[#This Row],[PO Value]]</f>
        <v>80000</v>
      </c>
      <c r="W196" s="3288"/>
      <c r="X196" s="3288"/>
      <c r="Y196" s="3289"/>
      <c r="Z196" s="3084"/>
      <c r="AA196" s="3085"/>
      <c r="AB196" s="3048"/>
      <c r="AC196" s="3048"/>
      <c r="AD196" s="3048"/>
      <c r="AE196" s="3048"/>
      <c r="AF196" s="3048"/>
      <c r="AG196" s="3048"/>
      <c r="AH196" s="3048"/>
      <c r="AI196" s="3048"/>
      <c r="AJ196" s="3048"/>
      <c r="AK196" s="3048"/>
      <c r="AL196" s="3048"/>
      <c r="AM196" s="3048"/>
      <c r="AN196" s="3048"/>
      <c r="AO196" s="3048"/>
      <c r="AP196" s="3048"/>
      <c r="AQ196" s="3048"/>
      <c r="AR196" s="3048"/>
      <c r="AS196" s="3048"/>
      <c r="AT196" s="3048"/>
      <c r="AU196" s="3048"/>
    </row>
    <row r="197" spans="1:47">
      <c r="A197" s="3288">
        <v>191</v>
      </c>
      <c r="B197" s="480"/>
      <c r="C197" s="2517" t="s">
        <v>687</v>
      </c>
      <c r="D197" s="3291" t="s">
        <v>304</v>
      </c>
      <c r="E197" s="3291"/>
      <c r="F197" s="3291" t="s">
        <v>1628</v>
      </c>
      <c r="G197" s="3291">
        <v>9819509486</v>
      </c>
      <c r="H197" s="3390" t="s">
        <v>1209</v>
      </c>
      <c r="I197" s="3291" t="s">
        <v>1219</v>
      </c>
      <c r="J197" s="3293" t="s">
        <v>73</v>
      </c>
      <c r="K197" s="3293" t="s">
        <v>138</v>
      </c>
      <c r="L197" s="3343" t="s">
        <v>1629</v>
      </c>
      <c r="M197" s="3400">
        <v>45879</v>
      </c>
      <c r="N197" s="480">
        <v>80000</v>
      </c>
      <c r="O197" s="480" t="s">
        <v>47</v>
      </c>
      <c r="P197" s="480" t="s">
        <v>62</v>
      </c>
      <c r="Q197" s="3397">
        <v>0.7</v>
      </c>
      <c r="R197" s="3288"/>
      <c r="S197" s="3385"/>
      <c r="T197" s="3288"/>
      <c r="U197" s="3288"/>
      <c r="V197" s="3298">
        <f>Table6268934562[[#This Row],[Offer Value]]-Table6268934562[[#This Row],[PO Value]]</f>
        <v>80000</v>
      </c>
      <c r="W197" s="3299"/>
      <c r="X197" s="3299"/>
      <c r="Y197" s="3288"/>
      <c r="Z197" s="3084"/>
      <c r="AA197" s="3085"/>
      <c r="AB197" s="3048"/>
      <c r="AC197" s="3048"/>
      <c r="AD197" s="3048"/>
      <c r="AE197" s="3048"/>
      <c r="AF197" s="3048"/>
      <c r="AG197" s="3048"/>
      <c r="AH197" s="3048"/>
      <c r="AI197" s="3048"/>
      <c r="AJ197" s="3048"/>
      <c r="AK197" s="3048"/>
      <c r="AL197" s="3048"/>
      <c r="AM197" s="3048"/>
      <c r="AN197" s="3048"/>
      <c r="AO197" s="3048"/>
      <c r="AP197" s="3048"/>
      <c r="AQ197" s="3048"/>
      <c r="AR197" s="3048"/>
      <c r="AS197" s="3048"/>
      <c r="AT197" s="3048"/>
      <c r="AU197" s="3048"/>
    </row>
    <row r="198" spans="1:47">
      <c r="A198" s="480">
        <v>192</v>
      </c>
      <c r="B198" s="480"/>
      <c r="C198" s="2517" t="s">
        <v>687</v>
      </c>
      <c r="D198" s="3291" t="s">
        <v>304</v>
      </c>
      <c r="E198" s="3291"/>
      <c r="F198" s="3291" t="s">
        <v>1628</v>
      </c>
      <c r="G198" s="3291">
        <v>9819509486</v>
      </c>
      <c r="H198" s="3390" t="s">
        <v>1209</v>
      </c>
      <c r="I198" s="3291" t="s">
        <v>900</v>
      </c>
      <c r="J198" s="3293" t="s">
        <v>73</v>
      </c>
      <c r="K198" s="3293" t="s">
        <v>138</v>
      </c>
      <c r="L198" s="3343" t="s">
        <v>1629</v>
      </c>
      <c r="M198" s="3400">
        <v>45879</v>
      </c>
      <c r="N198" s="480">
        <v>80000</v>
      </c>
      <c r="O198" s="480" t="s">
        <v>47</v>
      </c>
      <c r="P198" s="480" t="s">
        <v>62</v>
      </c>
      <c r="Q198" s="3397">
        <v>0.7</v>
      </c>
      <c r="R198" s="3288"/>
      <c r="S198" s="3385"/>
      <c r="T198" s="3288"/>
      <c r="U198" s="3288"/>
      <c r="V198" s="3298">
        <f>Table6268934562[[#This Row],[Offer Value]]-Table6268934562[[#This Row],[PO Value]]</f>
        <v>80000</v>
      </c>
      <c r="W198" s="3288"/>
      <c r="X198" s="3288"/>
      <c r="Y198" s="3288"/>
      <c r="Z198" s="3084"/>
      <c r="AA198" s="3085"/>
      <c r="AB198" s="3048"/>
      <c r="AC198" s="3048"/>
      <c r="AD198" s="3048"/>
      <c r="AE198" s="3048"/>
      <c r="AF198" s="3048"/>
      <c r="AG198" s="3048"/>
      <c r="AH198" s="3048"/>
      <c r="AI198" s="3048"/>
      <c r="AJ198" s="3048"/>
      <c r="AK198" s="3048"/>
      <c r="AL198" s="3048"/>
      <c r="AM198" s="3048"/>
      <c r="AN198" s="3048"/>
      <c r="AO198" s="3048"/>
      <c r="AP198" s="3048"/>
      <c r="AQ198" s="3048"/>
      <c r="AR198" s="3048"/>
      <c r="AS198" s="3048"/>
      <c r="AT198" s="3048"/>
      <c r="AU198" s="3048"/>
    </row>
    <row r="199" spans="1:47">
      <c r="A199" s="3288">
        <v>193</v>
      </c>
      <c r="B199" s="480"/>
      <c r="C199" s="2517" t="s">
        <v>687</v>
      </c>
      <c r="D199" s="3291" t="s">
        <v>304</v>
      </c>
      <c r="E199" s="3291"/>
      <c r="F199" s="3291" t="s">
        <v>1628</v>
      </c>
      <c r="G199" s="3291">
        <v>9819509486</v>
      </c>
      <c r="H199" s="3390" t="s">
        <v>1209</v>
      </c>
      <c r="I199" s="3291" t="s">
        <v>1221</v>
      </c>
      <c r="J199" s="3293" t="s">
        <v>73</v>
      </c>
      <c r="K199" s="3293" t="s">
        <v>138</v>
      </c>
      <c r="L199" s="3343" t="s">
        <v>1629</v>
      </c>
      <c r="M199" s="3400">
        <v>45879</v>
      </c>
      <c r="N199" s="480">
        <v>80000</v>
      </c>
      <c r="O199" s="480" t="s">
        <v>47</v>
      </c>
      <c r="P199" s="480" t="s">
        <v>62</v>
      </c>
      <c r="Q199" s="3397">
        <v>0.7</v>
      </c>
      <c r="R199" s="3288"/>
      <c r="S199" s="3385"/>
      <c r="T199" s="3288"/>
      <c r="U199" s="3288"/>
      <c r="V199" s="3298">
        <f>Table6268934562[[#This Row],[Offer Value]]-Table6268934562[[#This Row],[PO Value]]</f>
        <v>80000</v>
      </c>
      <c r="W199" s="3288"/>
      <c r="X199" s="3288"/>
      <c r="Y199" s="3288"/>
      <c r="Z199" s="3084"/>
      <c r="AA199" s="3085"/>
      <c r="AB199" s="3048"/>
      <c r="AC199" s="3048"/>
      <c r="AD199" s="3048"/>
      <c r="AE199" s="3048"/>
      <c r="AF199" s="3048"/>
      <c r="AG199" s="3048"/>
      <c r="AH199" s="3048"/>
      <c r="AI199" s="3048"/>
      <c r="AJ199" s="3048"/>
      <c r="AK199" s="3048"/>
      <c r="AL199" s="3048"/>
      <c r="AM199" s="3048"/>
      <c r="AN199" s="3048"/>
      <c r="AO199" s="3048"/>
      <c r="AP199" s="3048"/>
      <c r="AQ199" s="3048"/>
      <c r="AR199" s="3048"/>
      <c r="AS199" s="3048"/>
      <c r="AT199" s="3048"/>
      <c r="AU199" s="3048"/>
    </row>
    <row r="200" spans="1:47">
      <c r="A200" s="3288">
        <v>194</v>
      </c>
      <c r="B200" s="480"/>
      <c r="C200" s="2517" t="s">
        <v>687</v>
      </c>
      <c r="D200" s="3291" t="s">
        <v>304</v>
      </c>
      <c r="E200" s="3291"/>
      <c r="F200" s="3291" t="s">
        <v>1628</v>
      </c>
      <c r="G200" s="3291">
        <v>9819509486</v>
      </c>
      <c r="H200" s="3390" t="s">
        <v>1209</v>
      </c>
      <c r="I200" s="3291" t="s">
        <v>1630</v>
      </c>
      <c r="J200" s="3293" t="s">
        <v>73</v>
      </c>
      <c r="K200" s="3293" t="s">
        <v>138</v>
      </c>
      <c r="L200" s="3343" t="s">
        <v>1629</v>
      </c>
      <c r="M200" s="3400">
        <v>45879</v>
      </c>
      <c r="N200" s="480">
        <v>80000</v>
      </c>
      <c r="O200" s="480" t="s">
        <v>47</v>
      </c>
      <c r="P200" s="480" t="s">
        <v>62</v>
      </c>
      <c r="Q200" s="3397">
        <v>0.7</v>
      </c>
      <c r="R200" s="3289"/>
      <c r="S200" s="3385"/>
      <c r="T200" s="3288"/>
      <c r="U200" s="3288"/>
      <c r="V200" s="3298">
        <f>Table6268934562[[#This Row],[Offer Value]]-Table6268934562[[#This Row],[PO Value]]</f>
        <v>80000</v>
      </c>
      <c r="W200" s="3288"/>
      <c r="X200" s="3288"/>
      <c r="Y200" s="3289"/>
      <c r="Z200" s="3084"/>
      <c r="AA200" s="3085"/>
      <c r="AB200" s="3048"/>
      <c r="AC200" s="3048"/>
      <c r="AD200" s="3048"/>
      <c r="AE200" s="3048"/>
      <c r="AF200" s="3048"/>
      <c r="AG200" s="3048"/>
      <c r="AH200" s="3048"/>
      <c r="AI200" s="3048"/>
      <c r="AJ200" s="3048"/>
      <c r="AK200" s="3048"/>
      <c r="AL200" s="3048"/>
      <c r="AM200" s="3048"/>
      <c r="AN200" s="3048"/>
      <c r="AO200" s="3048"/>
      <c r="AP200" s="3048"/>
      <c r="AQ200" s="3048"/>
      <c r="AR200" s="3048"/>
      <c r="AS200" s="3048"/>
      <c r="AT200" s="3048"/>
      <c r="AU200" s="3048"/>
    </row>
    <row r="201" spans="1:47">
      <c r="A201" s="480">
        <v>195</v>
      </c>
      <c r="B201" s="480"/>
      <c r="C201" s="2517" t="s">
        <v>687</v>
      </c>
      <c r="D201" s="3291" t="s">
        <v>304</v>
      </c>
      <c r="E201" s="3291"/>
      <c r="F201" s="3291" t="s">
        <v>1628</v>
      </c>
      <c r="G201" s="3291">
        <v>9819509486</v>
      </c>
      <c r="H201" s="3390" t="s">
        <v>1209</v>
      </c>
      <c r="I201" s="3291" t="s">
        <v>898</v>
      </c>
      <c r="J201" s="3293" t="s">
        <v>73</v>
      </c>
      <c r="K201" s="3293" t="s">
        <v>138</v>
      </c>
      <c r="L201" s="3343" t="s">
        <v>1629</v>
      </c>
      <c r="M201" s="3400">
        <v>45879</v>
      </c>
      <c r="N201" s="480">
        <v>80000</v>
      </c>
      <c r="O201" s="480" t="s">
        <v>47</v>
      </c>
      <c r="P201" s="480" t="s">
        <v>62</v>
      </c>
      <c r="Q201" s="3397">
        <v>0.7</v>
      </c>
      <c r="R201" s="3288"/>
      <c r="S201" s="3385"/>
      <c r="T201" s="3288"/>
      <c r="U201" s="3288"/>
      <c r="V201" s="3298">
        <f>Table6268934562[[#This Row],[Offer Value]]-Table6268934562[[#This Row],[PO Value]]</f>
        <v>80000</v>
      </c>
      <c r="W201" s="3288"/>
      <c r="X201" s="3288"/>
      <c r="Y201" s="3288"/>
      <c r="Z201" s="3084"/>
      <c r="AA201" s="3085"/>
      <c r="AB201" s="3048"/>
      <c r="AC201" s="3048"/>
      <c r="AD201" s="3048"/>
      <c r="AE201" s="3048"/>
      <c r="AF201" s="3048"/>
      <c r="AG201" s="3048"/>
      <c r="AH201" s="3048"/>
      <c r="AI201" s="3048"/>
      <c r="AJ201" s="3048"/>
      <c r="AK201" s="3048"/>
      <c r="AL201" s="3048"/>
      <c r="AM201" s="3048"/>
      <c r="AN201" s="3048"/>
      <c r="AO201" s="3048"/>
      <c r="AP201" s="3048"/>
      <c r="AQ201" s="3048"/>
      <c r="AR201" s="3048"/>
      <c r="AS201" s="3048"/>
      <c r="AT201" s="3048"/>
      <c r="AU201" s="3048"/>
    </row>
    <row r="202" spans="1:47">
      <c r="A202" s="3288">
        <v>196</v>
      </c>
      <c r="B202" s="480"/>
      <c r="C202" s="2517" t="s">
        <v>687</v>
      </c>
      <c r="D202" s="3291" t="s">
        <v>304</v>
      </c>
      <c r="E202" s="3291"/>
      <c r="F202" s="3291" t="s">
        <v>1628</v>
      </c>
      <c r="G202" s="3291">
        <v>9819509486</v>
      </c>
      <c r="H202" s="3390" t="s">
        <v>1209</v>
      </c>
      <c r="I202" s="3291" t="s">
        <v>1220</v>
      </c>
      <c r="J202" s="3293" t="s">
        <v>73</v>
      </c>
      <c r="K202" s="3293" t="s">
        <v>138</v>
      </c>
      <c r="L202" s="3343" t="s">
        <v>1629</v>
      </c>
      <c r="M202" s="3400">
        <v>45879</v>
      </c>
      <c r="N202" s="480">
        <v>80000</v>
      </c>
      <c r="O202" s="480" t="s">
        <v>47</v>
      </c>
      <c r="P202" s="480" t="s">
        <v>62</v>
      </c>
      <c r="Q202" s="3397">
        <v>0.7</v>
      </c>
      <c r="R202" s="3288"/>
      <c r="S202" s="3385"/>
      <c r="T202" s="3288"/>
      <c r="U202" s="3288"/>
      <c r="V202" s="3298">
        <f>Table6268934562[[#This Row],[Offer Value]]-Table6268934562[[#This Row],[PO Value]]</f>
        <v>80000</v>
      </c>
      <c r="W202" s="3288"/>
      <c r="X202" s="3288"/>
      <c r="Y202" s="3288"/>
      <c r="Z202" s="3084"/>
      <c r="AA202" s="3085"/>
      <c r="AB202" s="3048"/>
      <c r="AC202" s="3048"/>
      <c r="AD202" s="3048"/>
      <c r="AE202" s="3048"/>
      <c r="AF202" s="3048"/>
      <c r="AG202" s="3048"/>
      <c r="AH202" s="3048"/>
      <c r="AI202" s="3048"/>
      <c r="AJ202" s="3048"/>
      <c r="AK202" s="3048"/>
      <c r="AL202" s="3048"/>
      <c r="AM202" s="3048"/>
      <c r="AN202" s="3048"/>
      <c r="AO202" s="3048"/>
      <c r="AP202" s="3048"/>
      <c r="AQ202" s="3048"/>
      <c r="AR202" s="3048"/>
      <c r="AS202" s="3048"/>
      <c r="AT202" s="3048"/>
      <c r="AU202" s="3048"/>
    </row>
    <row r="203" spans="1:47">
      <c r="A203" s="3288">
        <v>197</v>
      </c>
      <c r="B203" s="480"/>
      <c r="C203" s="2517" t="s">
        <v>687</v>
      </c>
      <c r="D203" s="3291" t="s">
        <v>304</v>
      </c>
      <c r="E203" s="3291"/>
      <c r="F203" s="3291" t="s">
        <v>1628</v>
      </c>
      <c r="G203" s="3291">
        <v>9819509486</v>
      </c>
      <c r="H203" s="3390" t="s">
        <v>1209</v>
      </c>
      <c r="I203" s="3291" t="s">
        <v>1217</v>
      </c>
      <c r="J203" s="3293" t="s">
        <v>73</v>
      </c>
      <c r="K203" s="3293" t="s">
        <v>138</v>
      </c>
      <c r="L203" s="3343" t="s">
        <v>1629</v>
      </c>
      <c r="M203" s="3400">
        <v>45879</v>
      </c>
      <c r="N203" s="480">
        <v>80000</v>
      </c>
      <c r="O203" s="480" t="s">
        <v>47</v>
      </c>
      <c r="P203" s="480" t="s">
        <v>62</v>
      </c>
      <c r="Q203" s="3397">
        <v>0.7</v>
      </c>
      <c r="R203" s="3288"/>
      <c r="S203" s="3385"/>
      <c r="T203" s="3288"/>
      <c r="U203" s="3288"/>
      <c r="V203" s="3298">
        <f>Table6268934562[[#This Row],[Offer Value]]-Table6268934562[[#This Row],[PO Value]]</f>
        <v>80000</v>
      </c>
      <c r="W203" s="3288"/>
      <c r="X203" s="3288"/>
      <c r="Y203" s="3288"/>
      <c r="Z203" s="3084"/>
      <c r="AA203" s="3085"/>
      <c r="AB203" s="3048"/>
      <c r="AC203" s="3048"/>
      <c r="AD203" s="3048"/>
      <c r="AE203" s="3048"/>
      <c r="AF203" s="3048"/>
      <c r="AG203" s="3048"/>
      <c r="AH203" s="3048"/>
      <c r="AI203" s="3048"/>
      <c r="AJ203" s="3048"/>
      <c r="AK203" s="3048"/>
      <c r="AL203" s="3048"/>
      <c r="AM203" s="3048"/>
      <c r="AN203" s="3048"/>
      <c r="AO203" s="3048"/>
      <c r="AP203" s="3048"/>
      <c r="AQ203" s="3048"/>
      <c r="AR203" s="3048"/>
      <c r="AS203" s="3048"/>
      <c r="AT203" s="3048"/>
      <c r="AU203" s="3048"/>
    </row>
    <row r="204" spans="1:47">
      <c r="A204" s="480">
        <v>198</v>
      </c>
      <c r="B204" s="480"/>
      <c r="C204" s="2517" t="s">
        <v>687</v>
      </c>
      <c r="D204" s="3291" t="s">
        <v>304</v>
      </c>
      <c r="E204" s="3291"/>
      <c r="F204" s="3291" t="s">
        <v>1628</v>
      </c>
      <c r="G204" s="3291">
        <v>9819509486</v>
      </c>
      <c r="H204" s="3390" t="s">
        <v>1209</v>
      </c>
      <c r="I204" s="3291" t="s">
        <v>1218</v>
      </c>
      <c r="J204" s="3293" t="s">
        <v>73</v>
      </c>
      <c r="K204" s="3293" t="s">
        <v>138</v>
      </c>
      <c r="L204" s="3343" t="s">
        <v>1629</v>
      </c>
      <c r="M204" s="3400">
        <v>45879</v>
      </c>
      <c r="N204" s="480">
        <v>80000</v>
      </c>
      <c r="O204" s="480" t="s">
        <v>47</v>
      </c>
      <c r="P204" s="480" t="s">
        <v>62</v>
      </c>
      <c r="Q204" s="3397">
        <v>0.7</v>
      </c>
      <c r="R204" s="3288"/>
      <c r="S204" s="3385"/>
      <c r="T204" s="3288"/>
      <c r="U204" s="3288"/>
      <c r="V204" s="3298">
        <f>Table6268934562[[#This Row],[Offer Value]]-Table6268934562[[#This Row],[PO Value]]</f>
        <v>80000</v>
      </c>
      <c r="W204" s="3288"/>
      <c r="X204" s="3288"/>
      <c r="Y204" s="3288"/>
      <c r="Z204" s="3084"/>
      <c r="AA204" s="3085"/>
      <c r="AB204" s="3048"/>
      <c r="AC204" s="3048"/>
      <c r="AD204" s="3048"/>
      <c r="AE204" s="3048"/>
      <c r="AF204" s="3048"/>
      <c r="AG204" s="3048"/>
      <c r="AH204" s="3048"/>
      <c r="AI204" s="3048"/>
      <c r="AJ204" s="3048"/>
      <c r="AK204" s="3048"/>
      <c r="AL204" s="3048"/>
      <c r="AM204" s="3048"/>
      <c r="AN204" s="3048"/>
      <c r="AO204" s="3048"/>
      <c r="AP204" s="3048"/>
      <c r="AQ204" s="3048"/>
      <c r="AR204" s="3048"/>
      <c r="AS204" s="3048"/>
      <c r="AT204" s="3048"/>
      <c r="AU204" s="3048"/>
    </row>
    <row r="205" spans="1:47">
      <c r="A205" s="3288">
        <v>199</v>
      </c>
      <c r="B205" s="480"/>
      <c r="C205" s="2517" t="s">
        <v>687</v>
      </c>
      <c r="D205" s="3291" t="s">
        <v>304</v>
      </c>
      <c r="E205" s="3291"/>
      <c r="F205" s="3291" t="s">
        <v>1628</v>
      </c>
      <c r="G205" s="3291">
        <v>9819509486</v>
      </c>
      <c r="H205" s="3390" t="s">
        <v>1209</v>
      </c>
      <c r="I205" s="3291" t="s">
        <v>1213</v>
      </c>
      <c r="J205" s="3293" t="s">
        <v>73</v>
      </c>
      <c r="K205" s="3293" t="s">
        <v>138</v>
      </c>
      <c r="L205" s="3343" t="s">
        <v>1629</v>
      </c>
      <c r="M205" s="3400">
        <v>45879</v>
      </c>
      <c r="N205" s="480">
        <v>80000</v>
      </c>
      <c r="O205" s="480" t="s">
        <v>47</v>
      </c>
      <c r="P205" s="480" t="s">
        <v>62</v>
      </c>
      <c r="Q205" s="3397">
        <v>0.7</v>
      </c>
      <c r="R205" s="3289"/>
      <c r="S205" s="3385"/>
      <c r="T205" s="3288"/>
      <c r="U205" s="3288"/>
      <c r="V205" s="3298">
        <f>Table6268934562[[#This Row],[Offer Value]]-Table6268934562[[#This Row],[PO Value]]</f>
        <v>80000</v>
      </c>
      <c r="W205" s="3288"/>
      <c r="X205" s="3288"/>
      <c r="Y205" s="3289"/>
      <c r="Z205" s="3084"/>
      <c r="AA205" s="3085"/>
      <c r="AB205" s="3048"/>
      <c r="AC205" s="3048"/>
      <c r="AD205" s="3048"/>
      <c r="AE205" s="3048"/>
      <c r="AF205" s="3048"/>
      <c r="AG205" s="3048"/>
      <c r="AH205" s="3048"/>
      <c r="AI205" s="3048"/>
      <c r="AJ205" s="3048"/>
      <c r="AK205" s="3048"/>
      <c r="AL205" s="3048"/>
      <c r="AM205" s="3048"/>
      <c r="AN205" s="3048"/>
      <c r="AO205" s="3048"/>
      <c r="AP205" s="3048"/>
      <c r="AQ205" s="3048"/>
      <c r="AR205" s="3048"/>
      <c r="AS205" s="3048"/>
      <c r="AT205" s="3048"/>
      <c r="AU205" s="3048"/>
    </row>
    <row r="206" spans="1:47">
      <c r="A206" s="3288">
        <v>200</v>
      </c>
      <c r="B206" s="480"/>
      <c r="C206" s="2517" t="s">
        <v>687</v>
      </c>
      <c r="D206" s="3291" t="s">
        <v>304</v>
      </c>
      <c r="E206" s="3291"/>
      <c r="F206" s="3291" t="s">
        <v>1628</v>
      </c>
      <c r="G206" s="3291">
        <v>9819509486</v>
      </c>
      <c r="H206" s="3390" t="s">
        <v>1209</v>
      </c>
      <c r="I206" s="3291" t="s">
        <v>1214</v>
      </c>
      <c r="J206" s="3293" t="s">
        <v>73</v>
      </c>
      <c r="K206" s="3293" t="s">
        <v>138</v>
      </c>
      <c r="L206" s="3343" t="s">
        <v>1629</v>
      </c>
      <c r="M206" s="3400">
        <v>45879</v>
      </c>
      <c r="N206" s="480">
        <v>80000</v>
      </c>
      <c r="O206" s="480" t="s">
        <v>47</v>
      </c>
      <c r="P206" s="480" t="s">
        <v>62</v>
      </c>
      <c r="Q206" s="3397">
        <v>0.7</v>
      </c>
      <c r="R206" s="3288"/>
      <c r="S206" s="3385"/>
      <c r="T206" s="3288"/>
      <c r="U206" s="3288"/>
      <c r="V206" s="3298">
        <f>Table6268934562[[#This Row],[Offer Value]]-Table6268934562[[#This Row],[PO Value]]</f>
        <v>80000</v>
      </c>
      <c r="W206" s="3288"/>
      <c r="X206" s="3288"/>
      <c r="Y206" s="3288"/>
      <c r="Z206" s="3084"/>
      <c r="AA206" s="3085"/>
      <c r="AB206" s="3048"/>
      <c r="AC206" s="3048"/>
      <c r="AD206" s="3048"/>
      <c r="AE206" s="3048"/>
      <c r="AF206" s="3048"/>
      <c r="AG206" s="3048"/>
      <c r="AH206" s="3048"/>
      <c r="AI206" s="3048"/>
      <c r="AJ206" s="3048"/>
      <c r="AK206" s="3048"/>
      <c r="AL206" s="3048"/>
      <c r="AM206" s="3048"/>
      <c r="AN206" s="3048"/>
      <c r="AO206" s="3048"/>
      <c r="AP206" s="3048"/>
      <c r="AQ206" s="3048"/>
      <c r="AR206" s="3048"/>
      <c r="AS206" s="3048"/>
      <c r="AT206" s="3048"/>
      <c r="AU206" s="3048"/>
    </row>
    <row r="207" spans="1:47">
      <c r="A207" s="1020">
        <v>201</v>
      </c>
      <c r="B207" s="1020" t="s">
        <v>1631</v>
      </c>
      <c r="C207" s="3451" t="s">
        <v>1606</v>
      </c>
      <c r="D207" s="3378" t="s">
        <v>1175</v>
      </c>
      <c r="E207" s="3378"/>
      <c r="F207" s="3378" t="s">
        <v>1632</v>
      </c>
      <c r="G207" s="3378">
        <v>8888836078</v>
      </c>
      <c r="H207" s="3364" t="s">
        <v>1633</v>
      </c>
      <c r="I207" s="3378" t="s">
        <v>1609</v>
      </c>
      <c r="J207" s="1398" t="s">
        <v>73</v>
      </c>
      <c r="K207" s="1398" t="s">
        <v>138</v>
      </c>
      <c r="L207" s="3362" t="s">
        <v>1634</v>
      </c>
      <c r="M207" s="3363" t="s">
        <v>1631</v>
      </c>
      <c r="N207" s="1020">
        <v>60000</v>
      </c>
      <c r="O207" s="1020" t="s">
        <v>47</v>
      </c>
      <c r="P207" s="1020" t="s">
        <v>49</v>
      </c>
      <c r="Q207" s="3395">
        <v>1</v>
      </c>
      <c r="R207" s="3375" t="s">
        <v>1635</v>
      </c>
      <c r="S207" s="3381" t="s">
        <v>1636</v>
      </c>
      <c r="T207" s="3359">
        <v>55200</v>
      </c>
      <c r="U207" s="3359" t="s">
        <v>49</v>
      </c>
      <c r="V207" s="3367">
        <v>0</v>
      </c>
      <c r="W207" s="3359"/>
      <c r="X207" s="3359"/>
      <c r="Y207" s="3288"/>
      <c r="Z207" s="3084"/>
      <c r="AA207" s="3085"/>
      <c r="AB207" s="3048"/>
      <c r="AC207" s="3048"/>
      <c r="AD207" s="3048"/>
      <c r="AE207" s="3048"/>
      <c r="AF207" s="3048"/>
      <c r="AG207" s="3048"/>
      <c r="AH207" s="3048"/>
      <c r="AI207" s="3048"/>
      <c r="AJ207" s="3048"/>
      <c r="AK207" s="3048"/>
      <c r="AL207" s="3048"/>
      <c r="AM207" s="3048"/>
      <c r="AN207" s="3048"/>
      <c r="AO207" s="3048"/>
      <c r="AP207" s="3048"/>
      <c r="AQ207" s="3048"/>
      <c r="AR207" s="3048"/>
      <c r="AS207" s="3048"/>
      <c r="AT207" s="3048"/>
      <c r="AU207" s="3048"/>
    </row>
    <row r="208" spans="1:47">
      <c r="A208" s="3359">
        <v>202</v>
      </c>
      <c r="B208" s="1020" t="s">
        <v>1637</v>
      </c>
      <c r="C208" s="3451" t="s">
        <v>1267</v>
      </c>
      <c r="D208" s="3378" t="s">
        <v>304</v>
      </c>
      <c r="E208" s="3378"/>
      <c r="F208" s="3378" t="s">
        <v>1283</v>
      </c>
      <c r="G208" s="3378">
        <v>9011049428</v>
      </c>
      <c r="H208" s="3379" t="s">
        <v>1284</v>
      </c>
      <c r="I208" s="1398" t="s">
        <v>1288</v>
      </c>
      <c r="J208" s="1398" t="s">
        <v>75</v>
      </c>
      <c r="K208" s="1398" t="s">
        <v>157</v>
      </c>
      <c r="L208" s="3362" t="s">
        <v>1638</v>
      </c>
      <c r="M208" s="3363" t="s">
        <v>1637</v>
      </c>
      <c r="N208" s="1020">
        <v>357800</v>
      </c>
      <c r="O208" s="1020" t="s">
        <v>47</v>
      </c>
      <c r="P208" s="1020" t="s">
        <v>49</v>
      </c>
      <c r="Q208" s="3395">
        <v>1</v>
      </c>
      <c r="R208" s="3360" t="s">
        <v>1639</v>
      </c>
      <c r="S208" s="3381" t="s">
        <v>1636</v>
      </c>
      <c r="T208" s="3359">
        <v>336332</v>
      </c>
      <c r="U208" s="3359" t="s">
        <v>49</v>
      </c>
      <c r="V208" s="3367">
        <v>0</v>
      </c>
      <c r="W208" s="3359"/>
      <c r="X208" s="3359"/>
      <c r="Y208" s="3289"/>
      <c r="Z208" s="3084"/>
      <c r="AA208" s="3085"/>
      <c r="AB208" s="3048"/>
      <c r="AC208" s="3048"/>
      <c r="AD208" s="3048"/>
      <c r="AE208" s="3048"/>
      <c r="AF208" s="3048"/>
      <c r="AG208" s="3048"/>
      <c r="AH208" s="3048"/>
      <c r="AI208" s="3048"/>
      <c r="AJ208" s="3048"/>
      <c r="AK208" s="3048"/>
      <c r="AL208" s="3048"/>
      <c r="AM208" s="3048"/>
      <c r="AN208" s="3048"/>
      <c r="AO208" s="3048"/>
      <c r="AP208" s="3048"/>
      <c r="AQ208" s="3048"/>
      <c r="AR208" s="3048"/>
      <c r="AS208" s="3048"/>
      <c r="AT208" s="3048"/>
      <c r="AU208" s="3048"/>
    </row>
    <row r="209" spans="1:214">
      <c r="A209" s="3359">
        <v>203</v>
      </c>
      <c r="B209" s="1020" t="s">
        <v>1637</v>
      </c>
      <c r="C209" s="3451" t="s">
        <v>782</v>
      </c>
      <c r="D209" s="3378" t="s">
        <v>1640</v>
      </c>
      <c r="E209" s="3378"/>
      <c r="F209" s="3378" t="s">
        <v>1641</v>
      </c>
      <c r="G209" s="3378">
        <v>9049668781</v>
      </c>
      <c r="H209" s="3364" t="s">
        <v>1642</v>
      </c>
      <c r="I209" s="3454" t="s">
        <v>1643</v>
      </c>
      <c r="J209" s="1398" t="s">
        <v>75</v>
      </c>
      <c r="K209" s="1398" t="s">
        <v>385</v>
      </c>
      <c r="L209" s="3362" t="s">
        <v>1644</v>
      </c>
      <c r="M209" s="3363" t="s">
        <v>1637</v>
      </c>
      <c r="N209" s="1020">
        <v>61590</v>
      </c>
      <c r="O209" s="1020" t="s">
        <v>47</v>
      </c>
      <c r="P209" s="1020" t="s">
        <v>49</v>
      </c>
      <c r="Q209" s="3395">
        <v>1</v>
      </c>
      <c r="R209" s="3359">
        <v>3800322934</v>
      </c>
      <c r="S209" s="3381">
        <v>45758</v>
      </c>
      <c r="T209" s="3359">
        <v>61590</v>
      </c>
      <c r="U209" s="1020" t="s">
        <v>49</v>
      </c>
      <c r="V209" s="3367">
        <f>Table6268934562[[#This Row],[Offer Value]]-Table6268934562[[#This Row],[PO Value]]</f>
        <v>0</v>
      </c>
      <c r="W209" s="3359"/>
      <c r="X209" s="3288"/>
      <c r="Y209" s="3289"/>
      <c r="Z209" s="3084"/>
      <c r="AA209" s="3085"/>
      <c r="AB209" s="3048"/>
      <c r="AC209" s="3048"/>
      <c r="AD209" s="3048"/>
      <c r="AE209" s="3048"/>
      <c r="AF209" s="3048"/>
      <c r="AG209" s="3048"/>
      <c r="AH209" s="3048"/>
      <c r="AI209" s="3048"/>
      <c r="AJ209" s="3048"/>
      <c r="AK209" s="3048"/>
      <c r="AL209" s="3048"/>
      <c r="AM209" s="3048"/>
      <c r="AN209" s="3048"/>
      <c r="AO209" s="3048"/>
      <c r="AP209" s="3048"/>
      <c r="AQ209" s="3048"/>
      <c r="AR209" s="3048"/>
      <c r="AS209" s="3048"/>
      <c r="AT209" s="3048"/>
      <c r="AU209" s="3048"/>
    </row>
    <row r="210" spans="1:214" s="243" customFormat="1" ht="18" customHeight="1">
      <c r="A210" s="1020">
        <v>204</v>
      </c>
      <c r="B210" s="1020" t="s">
        <v>1645</v>
      </c>
      <c r="C210" s="3451" t="s">
        <v>1421</v>
      </c>
      <c r="D210" s="3378" t="s">
        <v>1158</v>
      </c>
      <c r="E210" s="3378"/>
      <c r="F210" s="3378" t="s">
        <v>1646</v>
      </c>
      <c r="G210" s="3378">
        <v>9881085170</v>
      </c>
      <c r="H210" s="3364" t="s">
        <v>1647</v>
      </c>
      <c r="I210" s="3378">
        <v>500003930</v>
      </c>
      <c r="J210" s="1398" t="s">
        <v>79</v>
      </c>
      <c r="K210" s="1398" t="s">
        <v>639</v>
      </c>
      <c r="L210" s="1398" t="s">
        <v>1648</v>
      </c>
      <c r="M210" s="3363" t="s">
        <v>1645</v>
      </c>
      <c r="N210" s="1020">
        <v>85500</v>
      </c>
      <c r="O210" s="1020" t="s">
        <v>47</v>
      </c>
      <c r="P210" s="1020" t="s">
        <v>47</v>
      </c>
      <c r="Q210" s="3395">
        <v>1</v>
      </c>
      <c r="R210" s="3359">
        <v>7100120703</v>
      </c>
      <c r="S210" s="3381" t="s">
        <v>1048</v>
      </c>
      <c r="T210" s="3359">
        <v>82080</v>
      </c>
      <c r="U210" s="3359" t="s">
        <v>47</v>
      </c>
      <c r="V210" s="3367">
        <v>0</v>
      </c>
      <c r="W210" s="3359"/>
      <c r="X210" s="3288"/>
      <c r="Y210" s="3288"/>
      <c r="Z210" s="3084"/>
      <c r="AA210" s="3085"/>
      <c r="AB210" s="3051"/>
      <c r="AC210" s="3051"/>
      <c r="AD210" s="3051"/>
      <c r="AE210" s="3051"/>
      <c r="AF210" s="3051"/>
      <c r="AG210" s="3051"/>
      <c r="AH210" s="3051"/>
      <c r="AI210" s="3051"/>
      <c r="AJ210" s="3051"/>
      <c r="AK210" s="3051"/>
      <c r="AL210" s="3051"/>
      <c r="AM210" s="3051"/>
      <c r="AN210" s="3051"/>
      <c r="AO210" s="3051"/>
      <c r="AP210" s="3051"/>
      <c r="AQ210" s="3051"/>
      <c r="AR210" s="3051"/>
      <c r="AS210" s="3051"/>
      <c r="AT210" s="3051"/>
      <c r="AU210" s="3051"/>
      <c r="AV210" s="445"/>
      <c r="AW210" s="445"/>
      <c r="AX210" s="445"/>
      <c r="AY210" s="445"/>
      <c r="AZ210" s="445"/>
      <c r="BA210" s="445"/>
      <c r="BB210" s="445"/>
      <c r="BC210" s="445"/>
      <c r="BD210" s="445"/>
      <c r="BE210" s="445"/>
      <c r="BF210" s="445"/>
      <c r="BG210" s="445"/>
      <c r="BH210" s="445"/>
      <c r="BI210" s="445"/>
      <c r="BJ210" s="445"/>
      <c r="BK210" s="445"/>
      <c r="BL210" s="445"/>
      <c r="BM210" s="445"/>
      <c r="BN210" s="445"/>
      <c r="BO210" s="445"/>
      <c r="BP210" s="445"/>
      <c r="BQ210" s="445"/>
      <c r="BR210" s="445"/>
      <c r="BS210" s="445"/>
      <c r="BT210" s="445"/>
      <c r="BU210" s="445"/>
      <c r="BV210" s="445"/>
      <c r="BW210" s="445"/>
      <c r="BX210" s="445"/>
      <c r="BY210" s="445"/>
      <c r="BZ210" s="445"/>
      <c r="CA210" s="445"/>
      <c r="CB210" s="445"/>
      <c r="CC210" s="445"/>
      <c r="CD210" s="445"/>
      <c r="CE210" s="445"/>
      <c r="CF210" s="445"/>
      <c r="CG210" s="445"/>
      <c r="CH210" s="445"/>
      <c r="CI210" s="445"/>
      <c r="CJ210" s="445"/>
      <c r="CK210" s="445"/>
      <c r="CL210" s="445"/>
      <c r="CM210" s="445"/>
      <c r="CN210" s="445"/>
      <c r="CO210" s="445"/>
      <c r="CP210" s="445"/>
      <c r="CQ210" s="445"/>
      <c r="CR210" s="445"/>
      <c r="CS210" s="445"/>
      <c r="CT210" s="445"/>
      <c r="CU210" s="445"/>
      <c r="CV210" s="445"/>
      <c r="CW210" s="445"/>
      <c r="CX210" s="445"/>
      <c r="CY210" s="445"/>
      <c r="CZ210" s="445"/>
      <c r="DA210" s="445"/>
      <c r="DB210" s="445"/>
      <c r="DC210" s="445"/>
      <c r="DD210" s="445"/>
      <c r="DE210" s="445"/>
      <c r="DF210" s="445"/>
      <c r="DG210" s="445"/>
      <c r="DH210" s="445"/>
      <c r="DI210" s="445"/>
      <c r="DJ210" s="445"/>
      <c r="DK210" s="445"/>
      <c r="DL210" s="445"/>
      <c r="DM210" s="445"/>
      <c r="DN210" s="445"/>
      <c r="DO210" s="445"/>
      <c r="DP210" s="445"/>
      <c r="DQ210" s="445"/>
      <c r="DR210" s="445"/>
      <c r="DS210" s="445"/>
      <c r="DT210" s="445"/>
      <c r="DU210" s="445"/>
      <c r="DV210" s="445"/>
      <c r="DW210" s="445"/>
      <c r="DX210" s="445"/>
      <c r="DY210" s="445"/>
      <c r="DZ210" s="445"/>
      <c r="EA210" s="445"/>
      <c r="EB210" s="445"/>
      <c r="EC210" s="445"/>
      <c r="ED210" s="445"/>
      <c r="EE210" s="445"/>
      <c r="EF210" s="445"/>
      <c r="EG210" s="445"/>
      <c r="EH210" s="445"/>
      <c r="EI210" s="445"/>
      <c r="EJ210" s="445"/>
      <c r="EK210" s="445"/>
      <c r="EL210" s="445"/>
      <c r="EM210" s="445"/>
      <c r="EN210" s="445"/>
      <c r="EO210" s="445"/>
      <c r="EP210" s="445"/>
      <c r="EQ210" s="445"/>
      <c r="ER210" s="445"/>
      <c r="ES210" s="445"/>
      <c r="ET210" s="445"/>
      <c r="EU210" s="445"/>
      <c r="EV210" s="445"/>
      <c r="EW210" s="445"/>
      <c r="EX210" s="445"/>
      <c r="EY210" s="445"/>
      <c r="EZ210" s="445"/>
      <c r="FA210" s="445"/>
      <c r="FB210" s="445"/>
      <c r="FC210" s="445"/>
      <c r="FD210" s="445"/>
      <c r="FE210" s="445"/>
      <c r="FF210" s="445"/>
      <c r="FG210" s="445"/>
      <c r="FH210" s="445"/>
      <c r="FI210" s="445"/>
      <c r="FJ210" s="445"/>
      <c r="FK210" s="445"/>
      <c r="FL210" s="445"/>
      <c r="FM210" s="445"/>
      <c r="FN210" s="445"/>
      <c r="FO210" s="445"/>
      <c r="FP210" s="445"/>
      <c r="FQ210" s="445"/>
      <c r="FR210" s="445"/>
      <c r="FS210" s="445"/>
      <c r="FT210" s="445"/>
      <c r="FU210" s="445"/>
      <c r="FV210" s="445"/>
      <c r="FW210" s="445"/>
      <c r="FX210" s="445"/>
      <c r="FY210" s="445"/>
      <c r="FZ210" s="445"/>
      <c r="GA210" s="445"/>
      <c r="GB210" s="445"/>
      <c r="GC210" s="445"/>
      <c r="GD210" s="445"/>
      <c r="GE210" s="445"/>
      <c r="GF210" s="445"/>
      <c r="GG210" s="445"/>
      <c r="GH210" s="445"/>
      <c r="GI210" s="445"/>
      <c r="GJ210" s="445"/>
      <c r="GK210" s="445"/>
      <c r="GL210" s="445"/>
      <c r="GM210" s="445"/>
      <c r="GN210" s="445"/>
      <c r="GO210" s="445"/>
      <c r="GP210" s="445"/>
      <c r="GQ210" s="445"/>
      <c r="GR210" s="445"/>
      <c r="GS210" s="445"/>
      <c r="GT210" s="445"/>
      <c r="GU210" s="445"/>
      <c r="GV210" s="445"/>
      <c r="GW210" s="445"/>
      <c r="GX210" s="445"/>
      <c r="GY210" s="445"/>
      <c r="GZ210" s="445"/>
      <c r="HA210" s="445"/>
      <c r="HB210" s="445"/>
      <c r="HC210" s="445"/>
      <c r="HD210" s="445"/>
      <c r="HE210" s="445"/>
      <c r="HF210" s="445"/>
    </row>
    <row r="211" spans="1:214">
      <c r="A211" s="3359">
        <v>205</v>
      </c>
      <c r="B211" s="1020" t="s">
        <v>1649</v>
      </c>
      <c r="C211" s="3451" t="s">
        <v>1387</v>
      </c>
      <c r="D211" s="3378" t="s">
        <v>1158</v>
      </c>
      <c r="E211" s="3378"/>
      <c r="F211" s="3361" t="s">
        <v>1398</v>
      </c>
      <c r="G211" s="3361">
        <v>9860892180</v>
      </c>
      <c r="H211" s="3371" t="s">
        <v>1399</v>
      </c>
      <c r="I211" s="3378" t="s">
        <v>1650</v>
      </c>
      <c r="J211" s="3363" t="s">
        <v>79</v>
      </c>
      <c r="K211" s="1398" t="s">
        <v>138</v>
      </c>
      <c r="L211" s="3455" t="s">
        <v>1648</v>
      </c>
      <c r="M211" s="3363" t="s">
        <v>1649</v>
      </c>
      <c r="N211" s="1020">
        <v>51500</v>
      </c>
      <c r="O211" s="1020" t="s">
        <v>47</v>
      </c>
      <c r="P211" s="1020" t="s">
        <v>49</v>
      </c>
      <c r="Q211" s="3395">
        <v>1</v>
      </c>
      <c r="R211" s="3402">
        <v>3791234031</v>
      </c>
      <c r="S211" s="3381" t="s">
        <v>1651</v>
      </c>
      <c r="T211" s="3359">
        <v>30240</v>
      </c>
      <c r="U211" s="3359" t="s">
        <v>47</v>
      </c>
      <c r="V211" s="3367">
        <v>0</v>
      </c>
      <c r="W211" s="3359"/>
      <c r="X211" s="3359"/>
      <c r="Y211" s="3289"/>
      <c r="Z211" s="3084"/>
      <c r="AA211" s="3085"/>
      <c r="AB211" s="3048"/>
      <c r="AC211" s="3048"/>
      <c r="AD211" s="3048"/>
      <c r="AE211" s="3048"/>
      <c r="AF211" s="3048"/>
      <c r="AG211" s="3048"/>
      <c r="AH211" s="3048"/>
      <c r="AI211" s="3048"/>
      <c r="AJ211" s="3048"/>
      <c r="AK211" s="3048"/>
      <c r="AL211" s="3048"/>
      <c r="AM211" s="3048"/>
      <c r="AN211" s="3048"/>
      <c r="AO211" s="3048"/>
      <c r="AP211" s="3048"/>
      <c r="AQ211" s="3048"/>
      <c r="AR211" s="3048"/>
      <c r="AS211" s="3048"/>
      <c r="AT211" s="3048"/>
      <c r="AU211" s="3048"/>
    </row>
    <row r="212" spans="1:214">
      <c r="A212" s="3288">
        <v>206</v>
      </c>
      <c r="B212" s="481">
        <v>45819</v>
      </c>
      <c r="C212" s="2517" t="s">
        <v>1250</v>
      </c>
      <c r="D212" s="3291" t="s">
        <v>1158</v>
      </c>
      <c r="E212" s="3291"/>
      <c r="F212" s="3291" t="s">
        <v>1652</v>
      </c>
      <c r="G212" s="3291">
        <v>96004444138</v>
      </c>
      <c r="H212" s="3390" t="s">
        <v>1252</v>
      </c>
      <c r="I212" s="3291" t="s">
        <v>1253</v>
      </c>
      <c r="J212" s="3293" t="s">
        <v>73</v>
      </c>
      <c r="K212" s="3293" t="s">
        <v>138</v>
      </c>
      <c r="L212" s="3343" t="s">
        <v>1653</v>
      </c>
      <c r="M212" s="3400">
        <v>45819</v>
      </c>
      <c r="N212" s="480">
        <v>76440</v>
      </c>
      <c r="O212" s="480" t="s">
        <v>49</v>
      </c>
      <c r="P212" s="480" t="s">
        <v>62</v>
      </c>
      <c r="Q212" s="3397">
        <v>0.7</v>
      </c>
      <c r="R212" s="480"/>
      <c r="S212" s="3392"/>
      <c r="T212" s="480"/>
      <c r="U212" s="480"/>
      <c r="V212" s="3298">
        <f>Table6268934562[[#This Row],[Offer Value]]-Table6268934562[[#This Row],[PO Value]]</f>
        <v>76440</v>
      </c>
      <c r="W212" s="3288"/>
      <c r="X212" s="3288"/>
      <c r="Y212" s="3289"/>
      <c r="Z212" s="3084"/>
      <c r="AA212" s="3085"/>
      <c r="AB212" s="3048"/>
      <c r="AC212" s="3048"/>
      <c r="AD212" s="3048"/>
      <c r="AE212" s="3048"/>
      <c r="AF212" s="3048"/>
      <c r="AG212" s="3048"/>
      <c r="AH212" s="3048"/>
      <c r="AI212" s="3048"/>
      <c r="AJ212" s="3048"/>
      <c r="AK212" s="3048"/>
      <c r="AL212" s="3048"/>
      <c r="AM212" s="3048"/>
      <c r="AN212" s="3048"/>
      <c r="AO212" s="3048"/>
      <c r="AP212" s="3048"/>
      <c r="AQ212" s="3048"/>
      <c r="AR212" s="3048"/>
      <c r="AS212" s="3048"/>
      <c r="AT212" s="3048"/>
      <c r="AU212" s="3048"/>
    </row>
    <row r="213" spans="1:214">
      <c r="A213" s="480">
        <v>207</v>
      </c>
      <c r="B213" s="480"/>
      <c r="C213" s="2517" t="s">
        <v>1250</v>
      </c>
      <c r="D213" s="3291" t="s">
        <v>1158</v>
      </c>
      <c r="E213" s="3291"/>
      <c r="F213" s="3291" t="s">
        <v>1652</v>
      </c>
      <c r="G213" s="3291">
        <v>96004444138</v>
      </c>
      <c r="H213" s="3390" t="s">
        <v>1252</v>
      </c>
      <c r="I213" s="3291" t="s">
        <v>1654</v>
      </c>
      <c r="J213" s="3403" t="s">
        <v>73</v>
      </c>
      <c r="K213" s="3403" t="s">
        <v>138</v>
      </c>
      <c r="L213" s="3343" t="s">
        <v>1653</v>
      </c>
      <c r="M213" s="3400">
        <v>45819</v>
      </c>
      <c r="N213" s="480">
        <v>76440</v>
      </c>
      <c r="O213" s="480" t="s">
        <v>49</v>
      </c>
      <c r="P213" s="480" t="s">
        <v>62</v>
      </c>
      <c r="Q213" s="3397">
        <v>0.7</v>
      </c>
      <c r="R213" s="3289"/>
      <c r="S213" s="3385"/>
      <c r="T213" s="3288"/>
      <c r="U213" s="3288"/>
      <c r="V213" s="3298">
        <f>Table6268934562[[#This Row],[Offer Value]]-Table6268934562[[#This Row],[PO Value]]</f>
        <v>76440</v>
      </c>
      <c r="W213" s="3288"/>
      <c r="X213" s="3288"/>
      <c r="Y213" s="3289"/>
      <c r="Z213" s="3084"/>
      <c r="AA213" s="3085"/>
      <c r="AB213" s="3048"/>
      <c r="AC213" s="3048"/>
      <c r="AD213" s="3048"/>
      <c r="AE213" s="3048"/>
      <c r="AF213" s="3048"/>
      <c r="AG213" s="3048"/>
      <c r="AH213" s="3048"/>
      <c r="AI213" s="3048"/>
      <c r="AJ213" s="3048"/>
      <c r="AK213" s="3048"/>
      <c r="AL213" s="3048"/>
      <c r="AM213" s="3048"/>
      <c r="AN213" s="3048"/>
      <c r="AO213" s="3048"/>
      <c r="AP213" s="3048"/>
      <c r="AQ213" s="3048"/>
      <c r="AR213" s="3048"/>
      <c r="AS213" s="3048"/>
      <c r="AT213" s="3048"/>
      <c r="AU213" s="3048"/>
    </row>
    <row r="214" spans="1:214">
      <c r="A214" s="3288">
        <v>208</v>
      </c>
      <c r="B214" s="481">
        <v>45911</v>
      </c>
      <c r="C214" s="2517" t="s">
        <v>687</v>
      </c>
      <c r="D214" s="3291" t="s">
        <v>1175</v>
      </c>
      <c r="E214" s="3291"/>
      <c r="F214" s="3290" t="s">
        <v>1583</v>
      </c>
      <c r="G214" s="3344">
        <v>9890304103</v>
      </c>
      <c r="H214" s="3382" t="s">
        <v>1584</v>
      </c>
      <c r="I214" s="3291" t="s">
        <v>1309</v>
      </c>
      <c r="J214" s="3403" t="s">
        <v>73</v>
      </c>
      <c r="K214" s="3403" t="s">
        <v>385</v>
      </c>
      <c r="L214" s="3343" t="s">
        <v>1655</v>
      </c>
      <c r="M214" s="3400">
        <v>45911</v>
      </c>
      <c r="N214" s="480">
        <v>110000</v>
      </c>
      <c r="O214" s="480" t="s">
        <v>49</v>
      </c>
      <c r="P214" s="480" t="s">
        <v>7</v>
      </c>
      <c r="Q214" s="3397">
        <v>0.6</v>
      </c>
      <c r="R214" s="3288"/>
      <c r="S214" s="3385"/>
      <c r="T214" s="3288"/>
      <c r="U214" s="3288"/>
      <c r="V214" s="3298">
        <f>Table6268934562[[#This Row],[Offer Value]]-Table6268934562[[#This Row],[PO Value]]</f>
        <v>110000</v>
      </c>
      <c r="W214" s="3288"/>
      <c r="X214" s="3288"/>
      <c r="Y214" s="3288"/>
      <c r="Z214" s="3084"/>
      <c r="AA214" s="3085"/>
      <c r="AB214" s="3048"/>
      <c r="AC214" s="3048"/>
      <c r="AD214" s="3048"/>
      <c r="AE214" s="3048"/>
      <c r="AF214" s="3048"/>
      <c r="AG214" s="3048"/>
      <c r="AH214" s="3048"/>
      <c r="AI214" s="3048"/>
      <c r="AJ214" s="3048"/>
      <c r="AK214" s="3048"/>
      <c r="AL214" s="3048"/>
      <c r="AM214" s="3048"/>
      <c r="AN214" s="3048"/>
      <c r="AO214" s="3048"/>
      <c r="AP214" s="3048"/>
      <c r="AQ214" s="3048"/>
      <c r="AR214" s="3048"/>
      <c r="AS214" s="3048"/>
      <c r="AT214" s="3048"/>
      <c r="AU214" s="3048"/>
    </row>
    <row r="215" spans="1:214">
      <c r="A215" s="3288">
        <v>209</v>
      </c>
      <c r="B215" s="480"/>
      <c r="C215" s="2517" t="s">
        <v>687</v>
      </c>
      <c r="D215" s="3291" t="s">
        <v>1175</v>
      </c>
      <c r="E215" s="3291"/>
      <c r="F215" s="3290" t="s">
        <v>1583</v>
      </c>
      <c r="G215" s="3344">
        <v>9890304103</v>
      </c>
      <c r="H215" s="3382" t="s">
        <v>1584</v>
      </c>
      <c r="I215" s="3291" t="s">
        <v>1313</v>
      </c>
      <c r="J215" s="3403" t="s">
        <v>73</v>
      </c>
      <c r="K215" s="3403" t="s">
        <v>385</v>
      </c>
      <c r="L215" s="3343" t="s">
        <v>1655</v>
      </c>
      <c r="M215" s="3400">
        <v>45911</v>
      </c>
      <c r="N215" s="480">
        <v>110000</v>
      </c>
      <c r="O215" s="480" t="s">
        <v>49</v>
      </c>
      <c r="P215" s="480" t="s">
        <v>7</v>
      </c>
      <c r="Q215" s="3397">
        <v>0.6</v>
      </c>
      <c r="R215" s="3288"/>
      <c r="S215" s="3385"/>
      <c r="T215" s="3288"/>
      <c r="U215" s="3288"/>
      <c r="V215" s="3298">
        <f>Table6268934562[[#This Row],[Offer Value]]-Table6268934562[[#This Row],[PO Value]]</f>
        <v>110000</v>
      </c>
      <c r="W215" s="3288"/>
      <c r="X215" s="3288"/>
      <c r="Y215" s="3288"/>
      <c r="Z215" s="3084"/>
      <c r="AA215" s="3085"/>
      <c r="AB215" s="3048"/>
      <c r="AC215" s="3048"/>
      <c r="AD215" s="3048"/>
      <c r="AE215" s="3048"/>
      <c r="AF215" s="3048"/>
      <c r="AG215" s="3048"/>
      <c r="AH215" s="3048"/>
      <c r="AI215" s="3048"/>
      <c r="AJ215" s="3048"/>
      <c r="AK215" s="3048"/>
      <c r="AL215" s="3048"/>
      <c r="AM215" s="3048"/>
      <c r="AN215" s="3048"/>
      <c r="AO215" s="3048"/>
      <c r="AP215" s="3048"/>
      <c r="AQ215" s="3048"/>
      <c r="AR215" s="3048"/>
      <c r="AS215" s="3048"/>
      <c r="AT215" s="3048"/>
      <c r="AU215" s="3048"/>
    </row>
    <row r="216" spans="1:214">
      <c r="A216" s="480">
        <v>210</v>
      </c>
      <c r="B216" s="480"/>
      <c r="C216" s="2517" t="s">
        <v>687</v>
      </c>
      <c r="D216" s="3291" t="s">
        <v>1175</v>
      </c>
      <c r="E216" s="3291"/>
      <c r="F216" s="3290" t="s">
        <v>1583</v>
      </c>
      <c r="G216" s="3344">
        <v>9890304103</v>
      </c>
      <c r="H216" s="3382" t="s">
        <v>1584</v>
      </c>
      <c r="I216" s="3291" t="s">
        <v>1314</v>
      </c>
      <c r="J216" s="3403" t="s">
        <v>73</v>
      </c>
      <c r="K216" s="3403" t="s">
        <v>385</v>
      </c>
      <c r="L216" s="3343" t="s">
        <v>1655</v>
      </c>
      <c r="M216" s="3400">
        <v>45911</v>
      </c>
      <c r="N216" s="480">
        <v>110000</v>
      </c>
      <c r="O216" s="480" t="s">
        <v>49</v>
      </c>
      <c r="P216" s="480" t="s">
        <v>7</v>
      </c>
      <c r="Q216" s="3397">
        <v>0.6</v>
      </c>
      <c r="R216" s="3288"/>
      <c r="S216" s="3385"/>
      <c r="T216" s="3288"/>
      <c r="U216" s="3288"/>
      <c r="V216" s="3298">
        <f>Table6268934562[[#This Row],[Offer Value]]-Table6268934562[[#This Row],[PO Value]]</f>
        <v>110000</v>
      </c>
      <c r="W216" s="3288"/>
      <c r="X216" s="3288"/>
      <c r="Y216" s="3288"/>
      <c r="Z216" s="3084"/>
      <c r="AA216" s="3085"/>
      <c r="AB216" s="3048"/>
      <c r="AC216" s="3048"/>
      <c r="AD216" s="3048"/>
      <c r="AE216" s="3048"/>
      <c r="AF216" s="3048"/>
      <c r="AG216" s="3048"/>
      <c r="AH216" s="3048"/>
      <c r="AI216" s="3048"/>
      <c r="AJ216" s="3048"/>
      <c r="AK216" s="3048"/>
      <c r="AL216" s="3048"/>
      <c r="AM216" s="3048"/>
      <c r="AN216" s="3048"/>
      <c r="AO216" s="3048"/>
      <c r="AP216" s="3048"/>
      <c r="AQ216" s="3048"/>
      <c r="AR216" s="3048"/>
      <c r="AS216" s="3048"/>
      <c r="AT216" s="3048"/>
      <c r="AU216" s="3048"/>
    </row>
    <row r="217" spans="1:214">
      <c r="A217" s="3359">
        <v>211</v>
      </c>
      <c r="B217" s="1021">
        <v>45911</v>
      </c>
      <c r="C217" s="3451" t="s">
        <v>755</v>
      </c>
      <c r="D217" s="3378" t="s">
        <v>1158</v>
      </c>
      <c r="E217" s="3378"/>
      <c r="F217" s="3378" t="s">
        <v>1394</v>
      </c>
      <c r="G217" s="3378">
        <v>9960460637</v>
      </c>
      <c r="H217" s="3364" t="s">
        <v>1263</v>
      </c>
      <c r="I217" s="3378" t="s">
        <v>1264</v>
      </c>
      <c r="J217" s="1398" t="s">
        <v>75</v>
      </c>
      <c r="K217" s="3440" t="s">
        <v>385</v>
      </c>
      <c r="L217" s="3362" t="s">
        <v>1656</v>
      </c>
      <c r="M217" s="3398">
        <v>45911</v>
      </c>
      <c r="N217" s="1020">
        <v>1010327</v>
      </c>
      <c r="O217" s="1020" t="s">
        <v>49</v>
      </c>
      <c r="P217" s="1020" t="s">
        <v>62</v>
      </c>
      <c r="Q217" s="3395">
        <v>1</v>
      </c>
      <c r="R217" s="3359">
        <v>4507841035</v>
      </c>
      <c r="S217" s="3381" t="s">
        <v>1520</v>
      </c>
      <c r="T217" s="3359">
        <v>650474</v>
      </c>
      <c r="U217" s="3359" t="s">
        <v>62</v>
      </c>
      <c r="V217" s="3367">
        <f>Table6268934562[[#This Row],[Offer Value]]-Table6268934562[[#This Row],[PO Value]]</f>
        <v>359853</v>
      </c>
      <c r="W217" s="3359"/>
      <c r="X217" s="3359"/>
      <c r="Y217" s="3359"/>
      <c r="Z217" s="3084"/>
      <c r="AA217" s="3085"/>
      <c r="AB217" s="3048"/>
      <c r="AC217" s="3048"/>
      <c r="AD217" s="3048"/>
      <c r="AE217" s="3048"/>
      <c r="AF217" s="3048"/>
      <c r="AG217" s="3048"/>
      <c r="AH217" s="3048"/>
      <c r="AI217" s="3048"/>
      <c r="AJ217" s="3048"/>
      <c r="AK217" s="3048"/>
      <c r="AL217" s="3048"/>
      <c r="AM217" s="3048"/>
      <c r="AN217" s="3048"/>
      <c r="AO217" s="3048"/>
      <c r="AP217" s="3048"/>
      <c r="AQ217" s="3048"/>
      <c r="AR217" s="3048"/>
      <c r="AS217" s="3048"/>
      <c r="AT217" s="3048"/>
      <c r="AU217" s="3048"/>
    </row>
    <row r="218" spans="1:214">
      <c r="A218" s="3359">
        <v>212</v>
      </c>
      <c r="B218" s="1021">
        <v>45941</v>
      </c>
      <c r="C218" s="3451" t="s">
        <v>1387</v>
      </c>
      <c r="D218" s="3378" t="s">
        <v>1158</v>
      </c>
      <c r="E218" s="3378"/>
      <c r="F218" s="3361" t="s">
        <v>1398</v>
      </c>
      <c r="G218" s="3361">
        <v>9860892180</v>
      </c>
      <c r="H218" s="3371" t="s">
        <v>1399</v>
      </c>
      <c r="I218" s="1398" t="s">
        <v>1400</v>
      </c>
      <c r="J218" s="3404" t="s">
        <v>75</v>
      </c>
      <c r="K218" s="3405" t="s">
        <v>157</v>
      </c>
      <c r="L218" s="3404" t="s">
        <v>1657</v>
      </c>
      <c r="M218" s="3406">
        <v>45941</v>
      </c>
      <c r="N218" s="3407">
        <v>73936</v>
      </c>
      <c r="O218" s="3407" t="s">
        <v>49</v>
      </c>
      <c r="P218" s="3407" t="s">
        <v>49</v>
      </c>
      <c r="Q218" s="3408">
        <v>1</v>
      </c>
      <c r="R218" s="3409">
        <v>3391142666</v>
      </c>
      <c r="S218" s="3381" t="s">
        <v>1658</v>
      </c>
      <c r="T218" s="3359">
        <v>26121</v>
      </c>
      <c r="U218" s="3359" t="s">
        <v>49</v>
      </c>
      <c r="V218" s="3367">
        <f>Table6268934562[[#This Row],[Offer Value]]-Table6268934562[[#This Row],[PO Value]]</f>
        <v>47815</v>
      </c>
      <c r="W218" s="3359"/>
      <c r="X218" s="3359"/>
      <c r="Y218" s="3359"/>
      <c r="Z218" s="3084"/>
      <c r="AA218" s="3085"/>
      <c r="AB218" s="3048"/>
      <c r="AC218" s="3048"/>
      <c r="AD218" s="3048"/>
      <c r="AE218" s="3048"/>
      <c r="AF218" s="3048"/>
      <c r="AG218" s="3048"/>
      <c r="AH218" s="3048"/>
      <c r="AI218" s="3048"/>
      <c r="AJ218" s="3048"/>
      <c r="AK218" s="3048"/>
      <c r="AL218" s="3048"/>
      <c r="AM218" s="3048"/>
      <c r="AN218" s="3048"/>
      <c r="AO218" s="3048"/>
      <c r="AP218" s="3048"/>
      <c r="AQ218" s="3048"/>
      <c r="AR218" s="3048"/>
      <c r="AS218" s="3048"/>
      <c r="AT218" s="3048"/>
      <c r="AU218" s="3048"/>
    </row>
    <row r="219" spans="1:214">
      <c r="A219" s="480">
        <v>213</v>
      </c>
      <c r="B219" s="481">
        <v>45972</v>
      </c>
      <c r="C219" s="2517" t="s">
        <v>1157</v>
      </c>
      <c r="D219" s="3291" t="s">
        <v>1175</v>
      </c>
      <c r="E219" s="3291"/>
      <c r="F219" s="3290" t="s">
        <v>1615</v>
      </c>
      <c r="G219" s="3290">
        <v>8888827337</v>
      </c>
      <c r="H219" s="3382" t="s">
        <v>1236</v>
      </c>
      <c r="I219" s="3410" t="s">
        <v>1237</v>
      </c>
      <c r="J219" s="3343" t="s">
        <v>73</v>
      </c>
      <c r="K219" s="3343" t="s">
        <v>138</v>
      </c>
      <c r="L219" s="3343" t="s">
        <v>1659</v>
      </c>
      <c r="M219" s="3351">
        <v>45972</v>
      </c>
      <c r="N219" s="3456">
        <v>102900</v>
      </c>
      <c r="O219" s="3288" t="s">
        <v>49</v>
      </c>
      <c r="P219" s="3288" t="s">
        <v>7</v>
      </c>
      <c r="Q219" s="3297">
        <v>0.7</v>
      </c>
      <c r="R219" s="3289"/>
      <c r="S219" s="3411"/>
      <c r="T219" s="3288"/>
      <c r="U219" s="3288"/>
      <c r="V219" s="3298">
        <f>Table6268934562[[#This Row],[Offer Value]]-Table6268934562[[#This Row],[PO Value]]</f>
        <v>102900</v>
      </c>
      <c r="W219" s="3288"/>
      <c r="X219" s="3288"/>
      <c r="Y219" s="3289"/>
      <c r="Z219" s="3084"/>
      <c r="AA219" s="3085"/>
      <c r="AB219" s="3048"/>
      <c r="AC219" s="3048"/>
      <c r="AD219" s="3048"/>
      <c r="AE219" s="3048"/>
      <c r="AF219" s="3048"/>
      <c r="AG219" s="3048"/>
      <c r="AH219" s="3048"/>
      <c r="AI219" s="3048"/>
      <c r="AJ219" s="3048"/>
      <c r="AK219" s="3048"/>
      <c r="AL219" s="3048"/>
      <c r="AM219" s="3048"/>
      <c r="AN219" s="3048"/>
      <c r="AO219" s="3048"/>
      <c r="AP219" s="3048"/>
      <c r="AQ219" s="3048"/>
      <c r="AR219" s="3048"/>
      <c r="AS219" s="3048"/>
      <c r="AT219" s="3048"/>
      <c r="AU219" s="3048"/>
    </row>
    <row r="220" spans="1:214">
      <c r="A220" s="3288">
        <v>214</v>
      </c>
      <c r="B220" s="480"/>
      <c r="C220" s="2517" t="s">
        <v>1157</v>
      </c>
      <c r="D220" s="3291" t="s">
        <v>1175</v>
      </c>
      <c r="E220" s="3291"/>
      <c r="F220" s="3290" t="s">
        <v>1615</v>
      </c>
      <c r="G220" s="3290">
        <v>8888827337</v>
      </c>
      <c r="H220" s="3382" t="s">
        <v>1236</v>
      </c>
      <c r="I220" s="3410" t="s">
        <v>1240</v>
      </c>
      <c r="J220" s="3343" t="s">
        <v>73</v>
      </c>
      <c r="K220" s="3343" t="s">
        <v>138</v>
      </c>
      <c r="L220" s="3343" t="s">
        <v>1659</v>
      </c>
      <c r="M220" s="3351">
        <v>45972</v>
      </c>
      <c r="N220" s="3456">
        <v>102900</v>
      </c>
      <c r="O220" s="3288" t="s">
        <v>49</v>
      </c>
      <c r="P220" s="3288" t="s">
        <v>7</v>
      </c>
      <c r="Q220" s="3297">
        <v>0.7</v>
      </c>
      <c r="R220" s="3289"/>
      <c r="S220" s="3411"/>
      <c r="T220" s="3288"/>
      <c r="U220" s="3288"/>
      <c r="V220" s="3298">
        <f>Table6268934562[[#This Row],[Offer Value]]-Table6268934562[[#This Row],[PO Value]]</f>
        <v>102900</v>
      </c>
      <c r="W220" s="3288"/>
      <c r="X220" s="3288"/>
      <c r="Y220" s="3289"/>
      <c r="Z220" s="3084"/>
      <c r="AA220" s="3085"/>
      <c r="AB220" s="3048"/>
      <c r="AC220" s="3048"/>
      <c r="AD220" s="3048"/>
      <c r="AE220" s="3048"/>
      <c r="AF220" s="3048"/>
      <c r="AG220" s="3048"/>
      <c r="AH220" s="3048"/>
      <c r="AI220" s="3048"/>
      <c r="AJ220" s="3048"/>
      <c r="AK220" s="3048"/>
      <c r="AL220" s="3048"/>
      <c r="AM220" s="3048"/>
      <c r="AN220" s="3048"/>
      <c r="AO220" s="3048"/>
      <c r="AP220" s="3048"/>
      <c r="AQ220" s="3048"/>
      <c r="AR220" s="3048"/>
      <c r="AS220" s="3048"/>
      <c r="AT220" s="3048"/>
      <c r="AU220" s="3048"/>
    </row>
    <row r="221" spans="1:214">
      <c r="A221" s="3288">
        <v>215</v>
      </c>
      <c r="B221" s="480"/>
      <c r="C221" s="2517" t="s">
        <v>1157</v>
      </c>
      <c r="D221" s="3291" t="s">
        <v>1175</v>
      </c>
      <c r="E221" s="3291"/>
      <c r="F221" s="3290" t="s">
        <v>1615</v>
      </c>
      <c r="G221" s="3290">
        <v>8888827337</v>
      </c>
      <c r="H221" s="3382" t="s">
        <v>1236</v>
      </c>
      <c r="I221" s="3410" t="s">
        <v>1241</v>
      </c>
      <c r="J221" s="3343" t="s">
        <v>73</v>
      </c>
      <c r="K221" s="3343" t="s">
        <v>138</v>
      </c>
      <c r="L221" s="3343" t="s">
        <v>1659</v>
      </c>
      <c r="M221" s="3351">
        <v>45972</v>
      </c>
      <c r="N221" s="3456">
        <v>102900</v>
      </c>
      <c r="O221" s="3288" t="s">
        <v>49</v>
      </c>
      <c r="P221" s="3288" t="s">
        <v>7</v>
      </c>
      <c r="Q221" s="3297">
        <v>0.7</v>
      </c>
      <c r="R221" s="3288"/>
      <c r="S221" s="3411"/>
      <c r="T221" s="3288"/>
      <c r="U221" s="3288"/>
      <c r="V221" s="3298">
        <f>Table6268934562[[#This Row],[Offer Value]]-Table6268934562[[#This Row],[PO Value]]</f>
        <v>102900</v>
      </c>
      <c r="W221" s="3288"/>
      <c r="X221" s="3288"/>
      <c r="Y221" s="3288"/>
      <c r="Z221" s="3084"/>
      <c r="AA221" s="3085"/>
      <c r="AB221" s="3048"/>
      <c r="AC221" s="3048"/>
      <c r="AD221" s="3048"/>
      <c r="AE221" s="3048"/>
      <c r="AF221" s="3048"/>
      <c r="AG221" s="3048"/>
      <c r="AH221" s="3048"/>
      <c r="AI221" s="3048"/>
      <c r="AJ221" s="3048"/>
      <c r="AK221" s="3048"/>
      <c r="AL221" s="3048"/>
      <c r="AM221" s="3048"/>
      <c r="AN221" s="3048"/>
      <c r="AO221" s="3048"/>
      <c r="AP221" s="3048"/>
      <c r="AQ221" s="3048"/>
      <c r="AR221" s="3048"/>
      <c r="AS221" s="3048"/>
      <c r="AT221" s="3048"/>
      <c r="AU221" s="3048"/>
    </row>
    <row r="222" spans="1:214">
      <c r="A222" s="480">
        <v>216</v>
      </c>
      <c r="B222" s="480"/>
      <c r="C222" s="2517" t="s">
        <v>1157</v>
      </c>
      <c r="D222" s="3291" t="s">
        <v>1175</v>
      </c>
      <c r="E222" s="3291"/>
      <c r="F222" s="3290" t="s">
        <v>1615</v>
      </c>
      <c r="G222" s="3290">
        <v>8888827337</v>
      </c>
      <c r="H222" s="3382" t="s">
        <v>1236</v>
      </c>
      <c r="I222" s="3410" t="s">
        <v>1242</v>
      </c>
      <c r="J222" s="3343" t="s">
        <v>73</v>
      </c>
      <c r="K222" s="3343" t="s">
        <v>138</v>
      </c>
      <c r="L222" s="3343" t="s">
        <v>1659</v>
      </c>
      <c r="M222" s="3351">
        <v>45972</v>
      </c>
      <c r="N222" s="3456">
        <v>118335</v>
      </c>
      <c r="O222" s="3288" t="s">
        <v>49</v>
      </c>
      <c r="P222" s="3288" t="s">
        <v>7</v>
      </c>
      <c r="Q222" s="3297">
        <v>0.7</v>
      </c>
      <c r="R222" s="3288"/>
      <c r="S222" s="3411"/>
      <c r="T222" s="3288"/>
      <c r="U222" s="3288"/>
      <c r="V222" s="3298">
        <f>Table6268934562[[#This Row],[Offer Value]]-Table6268934562[[#This Row],[PO Value]]</f>
        <v>118335</v>
      </c>
      <c r="W222" s="3288"/>
      <c r="X222" s="3288"/>
      <c r="Y222" s="3288"/>
      <c r="Z222" s="3084"/>
      <c r="AA222" s="3085"/>
      <c r="AB222" s="3048"/>
      <c r="AC222" s="3048"/>
      <c r="AD222" s="3048"/>
      <c r="AE222" s="3048"/>
      <c r="AF222" s="3048"/>
      <c r="AG222" s="3048"/>
      <c r="AH222" s="3048"/>
      <c r="AI222" s="3048"/>
      <c r="AJ222" s="3048"/>
      <c r="AK222" s="3048"/>
      <c r="AL222" s="3048"/>
      <c r="AM222" s="3048"/>
      <c r="AN222" s="3048"/>
      <c r="AO222" s="3048"/>
      <c r="AP222" s="3048"/>
      <c r="AQ222" s="3048"/>
      <c r="AR222" s="3048"/>
      <c r="AS222" s="3048"/>
      <c r="AT222" s="3048"/>
      <c r="AU222" s="3048"/>
    </row>
    <row r="223" spans="1:214">
      <c r="A223" s="3288">
        <v>217</v>
      </c>
      <c r="B223" s="480"/>
      <c r="C223" s="2517" t="s">
        <v>1157</v>
      </c>
      <c r="D223" s="3291" t="s">
        <v>1175</v>
      </c>
      <c r="E223" s="3291"/>
      <c r="F223" s="3290" t="s">
        <v>1615</v>
      </c>
      <c r="G223" s="3290">
        <v>8888827337</v>
      </c>
      <c r="H223" s="3382" t="s">
        <v>1236</v>
      </c>
      <c r="I223" s="3291" t="s">
        <v>1243</v>
      </c>
      <c r="J223" s="3343" t="s">
        <v>73</v>
      </c>
      <c r="K223" s="3343" t="s">
        <v>138</v>
      </c>
      <c r="L223" s="3343" t="s">
        <v>1659</v>
      </c>
      <c r="M223" s="3351">
        <v>45972</v>
      </c>
      <c r="N223" s="3456">
        <v>118335</v>
      </c>
      <c r="O223" s="3288" t="s">
        <v>49</v>
      </c>
      <c r="P223" s="3288" t="s">
        <v>7</v>
      </c>
      <c r="Q223" s="3297">
        <v>0.7</v>
      </c>
      <c r="R223" s="3412"/>
      <c r="S223" s="3385"/>
      <c r="T223" s="3288"/>
      <c r="U223" s="3288"/>
      <c r="V223" s="3298">
        <f>Table6268934562[[#This Row],[Offer Value]]-Table6268934562[[#This Row],[PO Value]]</f>
        <v>118335</v>
      </c>
      <c r="W223" s="3288"/>
      <c r="X223" s="3288"/>
      <c r="Y223" s="3289"/>
      <c r="Z223" s="3084"/>
      <c r="AA223" s="3085"/>
      <c r="AB223" s="3048"/>
      <c r="AC223" s="3048"/>
      <c r="AD223" s="3048"/>
      <c r="AE223" s="3048"/>
      <c r="AF223" s="3048"/>
      <c r="AG223" s="3048"/>
      <c r="AH223" s="3048"/>
      <c r="AI223" s="3048"/>
      <c r="AJ223" s="3048"/>
      <c r="AK223" s="3048"/>
      <c r="AL223" s="3048"/>
      <c r="AM223" s="3048"/>
      <c r="AN223" s="3048"/>
      <c r="AO223" s="3048"/>
      <c r="AP223" s="3048"/>
      <c r="AQ223" s="3048"/>
      <c r="AR223" s="3048"/>
      <c r="AS223" s="3048"/>
      <c r="AT223" s="3048"/>
      <c r="AU223" s="3048"/>
    </row>
    <row r="224" spans="1:214">
      <c r="A224" s="3288">
        <v>218</v>
      </c>
      <c r="B224" s="480"/>
      <c r="C224" s="2517" t="s">
        <v>1157</v>
      </c>
      <c r="D224" s="3291" t="s">
        <v>1175</v>
      </c>
      <c r="E224" s="3291"/>
      <c r="F224" s="3290" t="s">
        <v>1615</v>
      </c>
      <c r="G224" s="3290">
        <v>8888827337</v>
      </c>
      <c r="H224" s="3382" t="s">
        <v>1236</v>
      </c>
      <c r="I224" s="3291" t="s">
        <v>1244</v>
      </c>
      <c r="J224" s="3343" t="s">
        <v>73</v>
      </c>
      <c r="K224" s="3343" t="s">
        <v>138</v>
      </c>
      <c r="L224" s="3343" t="s">
        <v>1659</v>
      </c>
      <c r="M224" s="3351">
        <v>45972</v>
      </c>
      <c r="N224" s="3456">
        <v>118335</v>
      </c>
      <c r="O224" s="3288" t="s">
        <v>49</v>
      </c>
      <c r="P224" s="3288" t="s">
        <v>7</v>
      </c>
      <c r="Q224" s="3297">
        <v>0.7</v>
      </c>
      <c r="R224" s="3288"/>
      <c r="S224" s="3385"/>
      <c r="T224" s="3288"/>
      <c r="U224" s="3288"/>
      <c r="V224" s="3298">
        <f>Table6268934562[[#This Row],[Offer Value]]-Table6268934562[[#This Row],[PO Value]]</f>
        <v>118335</v>
      </c>
      <c r="W224" s="3288"/>
      <c r="X224" s="3288"/>
      <c r="Y224" s="3288"/>
      <c r="Z224" s="3084"/>
      <c r="AA224" s="3085"/>
      <c r="AB224" s="3048"/>
      <c r="AC224" s="3048"/>
      <c r="AD224" s="3048"/>
      <c r="AE224" s="3048"/>
      <c r="AF224" s="3048"/>
      <c r="AG224" s="3048"/>
      <c r="AH224" s="3048"/>
      <c r="AI224" s="3048"/>
      <c r="AJ224" s="3048"/>
      <c r="AK224" s="3048"/>
      <c r="AL224" s="3048"/>
      <c r="AM224" s="3048"/>
      <c r="AN224" s="3048"/>
      <c r="AO224" s="3048"/>
      <c r="AP224" s="3048"/>
      <c r="AQ224" s="3048"/>
      <c r="AR224" s="3048"/>
      <c r="AS224" s="3048"/>
      <c r="AT224" s="3048"/>
      <c r="AU224" s="3048"/>
    </row>
    <row r="225" spans="1:47">
      <c r="A225" s="480">
        <v>219</v>
      </c>
      <c r="B225" s="480"/>
      <c r="C225" s="2517" t="s">
        <v>1157</v>
      </c>
      <c r="D225" s="3291" t="s">
        <v>1175</v>
      </c>
      <c r="E225" s="3291"/>
      <c r="F225" s="3290" t="s">
        <v>1615</v>
      </c>
      <c r="G225" s="3290">
        <v>8888827337</v>
      </c>
      <c r="H225" s="3382" t="s">
        <v>1236</v>
      </c>
      <c r="I225" s="3291" t="s">
        <v>1249</v>
      </c>
      <c r="J225" s="3343" t="s">
        <v>73</v>
      </c>
      <c r="K225" s="3343" t="s">
        <v>138</v>
      </c>
      <c r="L225" s="3343" t="s">
        <v>1659</v>
      </c>
      <c r="M225" s="3351">
        <v>45972</v>
      </c>
      <c r="N225" s="3456">
        <v>118335</v>
      </c>
      <c r="O225" s="3288" t="s">
        <v>49</v>
      </c>
      <c r="P225" s="3288" t="s">
        <v>7</v>
      </c>
      <c r="Q225" s="3297">
        <v>0.7</v>
      </c>
      <c r="R225" s="3288"/>
      <c r="S225" s="3385"/>
      <c r="T225" s="3288"/>
      <c r="U225" s="3288"/>
      <c r="V225" s="3298">
        <f>Table6268934562[[#This Row],[Offer Value]]-Table6268934562[[#This Row],[PO Value]]</f>
        <v>118335</v>
      </c>
      <c r="W225" s="3288"/>
      <c r="X225" s="3288"/>
      <c r="Y225" s="3288"/>
      <c r="Z225" s="3084"/>
      <c r="AA225" s="3085"/>
      <c r="AB225" s="3048"/>
      <c r="AC225" s="3048"/>
      <c r="AD225" s="3048"/>
      <c r="AE225" s="3048"/>
      <c r="AF225" s="3048"/>
      <c r="AG225" s="3048"/>
      <c r="AH225" s="3048"/>
      <c r="AI225" s="3048"/>
      <c r="AJ225" s="3048"/>
      <c r="AK225" s="3048"/>
      <c r="AL225" s="3048"/>
      <c r="AM225" s="3048"/>
      <c r="AN225" s="3048"/>
      <c r="AO225" s="3048"/>
      <c r="AP225" s="3048"/>
      <c r="AQ225" s="3048"/>
      <c r="AR225" s="3048"/>
      <c r="AS225" s="3048"/>
      <c r="AT225" s="3048"/>
      <c r="AU225" s="3048"/>
    </row>
    <row r="226" spans="1:47">
      <c r="A226" s="3288">
        <v>220</v>
      </c>
      <c r="B226" s="480"/>
      <c r="C226" s="2517" t="s">
        <v>1157</v>
      </c>
      <c r="D226" s="3291" t="s">
        <v>1175</v>
      </c>
      <c r="E226" s="3291"/>
      <c r="F226" s="3290" t="s">
        <v>1615</v>
      </c>
      <c r="G226" s="3290">
        <v>8888827337</v>
      </c>
      <c r="H226" s="3382" t="s">
        <v>1236</v>
      </c>
      <c r="I226" s="3291" t="s">
        <v>1245</v>
      </c>
      <c r="J226" s="3343" t="s">
        <v>73</v>
      </c>
      <c r="K226" s="3343" t="s">
        <v>138</v>
      </c>
      <c r="L226" s="3343" t="s">
        <v>1659</v>
      </c>
      <c r="M226" s="3351">
        <v>45972</v>
      </c>
      <c r="N226" s="3456">
        <v>118335</v>
      </c>
      <c r="O226" s="3288" t="s">
        <v>49</v>
      </c>
      <c r="P226" s="3288" t="s">
        <v>7</v>
      </c>
      <c r="Q226" s="3297">
        <v>0.7</v>
      </c>
      <c r="R226" s="3288"/>
      <c r="S226" s="3385"/>
      <c r="T226" s="3288"/>
      <c r="U226" s="3288"/>
      <c r="V226" s="3298">
        <f>Table6268934562[[#This Row],[Offer Value]]-Table6268934562[[#This Row],[PO Value]]</f>
        <v>118335</v>
      </c>
      <c r="W226" s="3288"/>
      <c r="X226" s="3288"/>
      <c r="Y226" s="3288"/>
      <c r="Z226" s="3084"/>
      <c r="AA226" s="3085"/>
      <c r="AB226" s="3048"/>
      <c r="AC226" s="3048"/>
      <c r="AD226" s="3048"/>
      <c r="AE226" s="3048"/>
      <c r="AF226" s="3048"/>
      <c r="AG226" s="3048"/>
      <c r="AH226" s="3048"/>
      <c r="AI226" s="3048"/>
      <c r="AJ226" s="3048"/>
      <c r="AK226" s="3048"/>
      <c r="AL226" s="3048"/>
      <c r="AM226" s="3048"/>
      <c r="AN226" s="3048"/>
      <c r="AO226" s="3048"/>
      <c r="AP226" s="3048"/>
      <c r="AQ226" s="3048"/>
      <c r="AR226" s="3048"/>
      <c r="AS226" s="3048"/>
      <c r="AT226" s="3048"/>
      <c r="AU226" s="3048"/>
    </row>
    <row r="227" spans="1:47">
      <c r="A227" s="3288">
        <v>221</v>
      </c>
      <c r="B227" s="480"/>
      <c r="C227" s="2517" t="s">
        <v>1157</v>
      </c>
      <c r="D227" s="3291" t="s">
        <v>1175</v>
      </c>
      <c r="E227" s="3291"/>
      <c r="F227" s="3290" t="s">
        <v>1615</v>
      </c>
      <c r="G227" s="3290">
        <v>8888827337</v>
      </c>
      <c r="H227" s="3382" t="s">
        <v>1236</v>
      </c>
      <c r="I227" s="3291" t="s">
        <v>1246</v>
      </c>
      <c r="J227" s="3343" t="s">
        <v>73</v>
      </c>
      <c r="K227" s="3343" t="s">
        <v>138</v>
      </c>
      <c r="L227" s="3343" t="s">
        <v>1659</v>
      </c>
      <c r="M227" s="3351">
        <v>45972</v>
      </c>
      <c r="N227" s="3456">
        <v>118335</v>
      </c>
      <c r="O227" s="3288" t="s">
        <v>49</v>
      </c>
      <c r="P227" s="3288" t="s">
        <v>7</v>
      </c>
      <c r="Q227" s="3297">
        <v>0.7</v>
      </c>
      <c r="R227" s="3288"/>
      <c r="S227" s="3385"/>
      <c r="T227" s="3288"/>
      <c r="U227" s="3288"/>
      <c r="V227" s="3298">
        <f>Table6268934562[[#This Row],[Offer Value]]-Table6268934562[[#This Row],[PO Value]]</f>
        <v>118335</v>
      </c>
      <c r="W227" s="3288"/>
      <c r="X227" s="3288"/>
      <c r="Y227" s="3288"/>
      <c r="Z227" s="3084"/>
      <c r="AA227" s="3085"/>
      <c r="AB227" s="3048"/>
      <c r="AC227" s="3048"/>
      <c r="AD227" s="3048"/>
      <c r="AE227" s="3048"/>
      <c r="AF227" s="3048"/>
      <c r="AG227" s="3048"/>
      <c r="AH227" s="3048"/>
      <c r="AI227" s="3048"/>
      <c r="AJ227" s="3048"/>
      <c r="AK227" s="3048"/>
      <c r="AL227" s="3048"/>
      <c r="AM227" s="3048"/>
      <c r="AN227" s="3048"/>
      <c r="AO227" s="3048"/>
      <c r="AP227" s="3048"/>
      <c r="AQ227" s="3048"/>
      <c r="AR227" s="3048"/>
      <c r="AS227" s="3048"/>
      <c r="AT227" s="3048"/>
      <c r="AU227" s="3048"/>
    </row>
    <row r="228" spans="1:47">
      <c r="A228" s="480">
        <v>222</v>
      </c>
      <c r="B228" s="480"/>
      <c r="C228" s="2517" t="s">
        <v>1157</v>
      </c>
      <c r="D228" s="3291" t="s">
        <v>1175</v>
      </c>
      <c r="E228" s="3291"/>
      <c r="F228" s="3290" t="s">
        <v>1615</v>
      </c>
      <c r="G228" s="3290">
        <v>8888827337</v>
      </c>
      <c r="H228" s="3382" t="s">
        <v>1236</v>
      </c>
      <c r="I228" s="3291" t="s">
        <v>1247</v>
      </c>
      <c r="J228" s="3343" t="s">
        <v>73</v>
      </c>
      <c r="K228" s="3343" t="s">
        <v>138</v>
      </c>
      <c r="L228" s="3343" t="s">
        <v>1659</v>
      </c>
      <c r="M228" s="3351">
        <v>45972</v>
      </c>
      <c r="N228" s="3456">
        <v>118335</v>
      </c>
      <c r="O228" s="3288" t="s">
        <v>49</v>
      </c>
      <c r="P228" s="3288" t="s">
        <v>7</v>
      </c>
      <c r="Q228" s="3297">
        <v>0.7</v>
      </c>
      <c r="R228" s="3288"/>
      <c r="S228" s="3385"/>
      <c r="T228" s="3288"/>
      <c r="U228" s="3288"/>
      <c r="V228" s="3298">
        <f>Table6268934562[[#This Row],[Offer Value]]-Table6268934562[[#This Row],[PO Value]]</f>
        <v>118335</v>
      </c>
      <c r="W228" s="3288"/>
      <c r="X228" s="3288"/>
      <c r="Y228" s="3289"/>
      <c r="Z228" s="3084"/>
      <c r="AA228" s="3085"/>
      <c r="AB228" s="3048"/>
      <c r="AC228" s="3048"/>
      <c r="AD228" s="3048"/>
      <c r="AE228" s="3048"/>
      <c r="AF228" s="3048"/>
      <c r="AG228" s="3048"/>
      <c r="AH228" s="3048"/>
      <c r="AI228" s="3048"/>
      <c r="AJ228" s="3048"/>
      <c r="AK228" s="3048"/>
      <c r="AL228" s="3048"/>
      <c r="AM228" s="3048"/>
      <c r="AN228" s="3048"/>
      <c r="AO228" s="3048"/>
      <c r="AP228" s="3048"/>
      <c r="AQ228" s="3048"/>
      <c r="AR228" s="3048"/>
      <c r="AS228" s="3048"/>
      <c r="AT228" s="3048"/>
      <c r="AU228" s="3048"/>
    </row>
    <row r="229" spans="1:47">
      <c r="A229" s="3288">
        <v>223</v>
      </c>
      <c r="B229" s="3400"/>
      <c r="C229" s="2517" t="s">
        <v>1157</v>
      </c>
      <c r="D229" s="3291" t="s">
        <v>1175</v>
      </c>
      <c r="E229" s="3291"/>
      <c r="F229" s="3290" t="s">
        <v>1615</v>
      </c>
      <c r="G229" s="3290">
        <v>8888827337</v>
      </c>
      <c r="H229" s="3382" t="s">
        <v>1236</v>
      </c>
      <c r="I229" s="3291" t="s">
        <v>1248</v>
      </c>
      <c r="J229" s="3343" t="s">
        <v>73</v>
      </c>
      <c r="K229" s="3343" t="s">
        <v>138</v>
      </c>
      <c r="L229" s="3343" t="s">
        <v>1659</v>
      </c>
      <c r="M229" s="3351">
        <v>45972</v>
      </c>
      <c r="N229" s="3456">
        <v>118335</v>
      </c>
      <c r="O229" s="3288" t="s">
        <v>49</v>
      </c>
      <c r="P229" s="3288" t="s">
        <v>7</v>
      </c>
      <c r="Q229" s="3297">
        <v>0.7</v>
      </c>
      <c r="R229" s="3289"/>
      <c r="S229" s="3385"/>
      <c r="T229" s="3288"/>
      <c r="U229" s="3288"/>
      <c r="V229" s="3298">
        <f>Table6268934562[[#This Row],[Offer Value]]-Table6268934562[[#This Row],[PO Value]]</f>
        <v>118335</v>
      </c>
      <c r="W229" s="3288"/>
      <c r="X229" s="3288"/>
      <c r="Y229" s="3288"/>
      <c r="Z229" s="3084"/>
      <c r="AA229" s="3085"/>
      <c r="AB229" s="3048"/>
      <c r="AC229" s="3048"/>
      <c r="AD229" s="3048"/>
      <c r="AE229" s="3048"/>
      <c r="AF229" s="3048"/>
      <c r="AG229" s="3048"/>
      <c r="AH229" s="3048"/>
      <c r="AI229" s="3048"/>
      <c r="AJ229" s="3048"/>
      <c r="AK229" s="3048"/>
      <c r="AL229" s="3048"/>
      <c r="AM229" s="3048"/>
      <c r="AN229" s="3048"/>
      <c r="AO229" s="3048"/>
      <c r="AP229" s="3048"/>
      <c r="AQ229" s="3048"/>
      <c r="AR229" s="3048"/>
      <c r="AS229" s="3048"/>
      <c r="AT229" s="3048"/>
      <c r="AU229" s="3048"/>
    </row>
    <row r="230" spans="1:47">
      <c r="A230" s="3288">
        <v>224</v>
      </c>
      <c r="B230" s="481"/>
      <c r="C230" s="2517" t="s">
        <v>1157</v>
      </c>
      <c r="D230" s="3291" t="s">
        <v>1175</v>
      </c>
      <c r="E230" s="3291"/>
      <c r="F230" s="3290" t="s">
        <v>1615</v>
      </c>
      <c r="G230" s="3290">
        <v>8888827337</v>
      </c>
      <c r="H230" s="3382" t="s">
        <v>1236</v>
      </c>
      <c r="I230" s="3291" t="s">
        <v>1660</v>
      </c>
      <c r="J230" s="3343" t="s">
        <v>73</v>
      </c>
      <c r="K230" s="3343" t="s">
        <v>385</v>
      </c>
      <c r="L230" s="3343" t="s">
        <v>1659</v>
      </c>
      <c r="M230" s="3351">
        <v>45972</v>
      </c>
      <c r="N230" s="3456">
        <v>118335</v>
      </c>
      <c r="O230" s="3288" t="s">
        <v>49</v>
      </c>
      <c r="P230" s="3288" t="s">
        <v>7</v>
      </c>
      <c r="Q230" s="3297">
        <v>0.7</v>
      </c>
      <c r="R230" s="3289"/>
      <c r="S230" s="3385"/>
      <c r="T230" s="3288"/>
      <c r="U230" s="3288"/>
      <c r="V230" s="3298">
        <f>Table6268934562[[#This Row],[Offer Value]]-Table6268934562[[#This Row],[PO Value]]</f>
        <v>118335</v>
      </c>
      <c r="W230" s="3288"/>
      <c r="X230" s="3288"/>
      <c r="Y230" s="3289"/>
      <c r="Z230" s="3084"/>
      <c r="AA230" s="3085"/>
      <c r="AB230" s="3048"/>
      <c r="AC230" s="3048"/>
      <c r="AD230" s="3048"/>
      <c r="AE230" s="3048"/>
      <c r="AF230" s="3048"/>
      <c r="AG230" s="3048"/>
      <c r="AH230" s="3048"/>
      <c r="AI230" s="3048"/>
      <c r="AJ230" s="3048"/>
      <c r="AK230" s="3048"/>
      <c r="AL230" s="3048"/>
      <c r="AM230" s="3048"/>
      <c r="AN230" s="3048"/>
      <c r="AO230" s="3048"/>
      <c r="AP230" s="3048"/>
      <c r="AQ230" s="3048"/>
      <c r="AR230" s="3048"/>
      <c r="AS230" s="3048"/>
      <c r="AT230" s="3048"/>
      <c r="AU230" s="3048"/>
    </row>
    <row r="231" spans="1:47">
      <c r="A231" s="1020">
        <v>225</v>
      </c>
      <c r="B231" s="1021">
        <v>45972</v>
      </c>
      <c r="C231" s="3451" t="s">
        <v>1157</v>
      </c>
      <c r="D231" s="3378" t="s">
        <v>1175</v>
      </c>
      <c r="E231" s="3378"/>
      <c r="F231" s="3361" t="s">
        <v>1615</v>
      </c>
      <c r="G231" s="3361">
        <v>8888827337</v>
      </c>
      <c r="H231" s="3413" t="s">
        <v>1236</v>
      </c>
      <c r="I231" s="3414" t="s">
        <v>1243</v>
      </c>
      <c r="J231" s="1398" t="s">
        <v>75</v>
      </c>
      <c r="K231" s="1398" t="s">
        <v>157</v>
      </c>
      <c r="L231" s="3404" t="s">
        <v>1661</v>
      </c>
      <c r="M231" s="3398">
        <v>45972</v>
      </c>
      <c r="N231" s="1020">
        <v>251990</v>
      </c>
      <c r="O231" s="1020" t="s">
        <v>49</v>
      </c>
      <c r="P231" s="1020" t="s">
        <v>49</v>
      </c>
      <c r="Q231" s="3395">
        <v>0.7</v>
      </c>
      <c r="R231" s="3375">
        <v>5700202146</v>
      </c>
      <c r="S231" s="3381" t="s">
        <v>1662</v>
      </c>
      <c r="T231" s="3359">
        <v>241910</v>
      </c>
      <c r="U231" s="3359" t="s">
        <v>49</v>
      </c>
      <c r="V231" s="3367">
        <v>0</v>
      </c>
      <c r="W231" s="3359"/>
      <c r="X231" s="3359"/>
      <c r="Y231" s="3360"/>
      <c r="Z231" s="3084"/>
      <c r="AA231" s="3085"/>
      <c r="AB231" s="3048"/>
      <c r="AC231" s="3048"/>
      <c r="AD231" s="3048"/>
      <c r="AE231" s="3048"/>
      <c r="AF231" s="3048"/>
      <c r="AG231" s="3048"/>
      <c r="AH231" s="3048"/>
      <c r="AI231" s="3048"/>
      <c r="AJ231" s="3048"/>
      <c r="AK231" s="3048"/>
      <c r="AL231" s="3048"/>
      <c r="AM231" s="3048"/>
      <c r="AN231" s="3048"/>
      <c r="AO231" s="3048"/>
      <c r="AP231" s="3048"/>
      <c r="AQ231" s="3048"/>
      <c r="AR231" s="3048"/>
      <c r="AS231" s="3048"/>
      <c r="AT231" s="3048"/>
      <c r="AU231" s="3048"/>
    </row>
    <row r="232" spans="1:47">
      <c r="A232" s="3288">
        <v>226</v>
      </c>
      <c r="B232" s="481">
        <v>45972</v>
      </c>
      <c r="C232" s="2517" t="s">
        <v>1157</v>
      </c>
      <c r="D232" s="3291" t="s">
        <v>1158</v>
      </c>
      <c r="E232" s="3290"/>
      <c r="F232" s="3290" t="s">
        <v>1160</v>
      </c>
      <c r="G232" s="3349">
        <v>251674799</v>
      </c>
      <c r="H232" s="3457" t="s">
        <v>1161</v>
      </c>
      <c r="I232" s="3290" t="s">
        <v>1162</v>
      </c>
      <c r="J232" s="3350" t="s">
        <v>73</v>
      </c>
      <c r="K232" s="3293" t="s">
        <v>138</v>
      </c>
      <c r="L232" s="3343" t="s">
        <v>1663</v>
      </c>
      <c r="M232" s="3400">
        <v>45972</v>
      </c>
      <c r="N232" s="3456">
        <v>118335</v>
      </c>
      <c r="O232" s="480" t="s">
        <v>49</v>
      </c>
      <c r="P232" s="480" t="s">
        <v>7</v>
      </c>
      <c r="Q232" s="3397">
        <v>0.7</v>
      </c>
      <c r="R232" s="480"/>
      <c r="S232" s="3392"/>
      <c r="T232" s="480"/>
      <c r="U232" s="480"/>
      <c r="V232" s="3298">
        <f>Table6268934562[[#This Row],[Offer Value]]-Table6268934562[[#This Row],[PO Value]]</f>
        <v>118335</v>
      </c>
      <c r="W232" s="3288"/>
      <c r="X232" s="3288"/>
      <c r="Y232" s="3288"/>
      <c r="Z232" s="3084"/>
      <c r="AA232" s="3085"/>
      <c r="AB232" s="3048"/>
      <c r="AC232" s="3048"/>
      <c r="AD232" s="3048"/>
      <c r="AE232" s="3048"/>
      <c r="AF232" s="3048"/>
      <c r="AG232" s="3048"/>
      <c r="AH232" s="3048"/>
      <c r="AI232" s="3048"/>
      <c r="AJ232" s="3048"/>
      <c r="AK232" s="3048"/>
      <c r="AL232" s="3048"/>
      <c r="AM232" s="3048"/>
      <c r="AN232" s="3048"/>
      <c r="AO232" s="3048"/>
      <c r="AP232" s="3048"/>
      <c r="AQ232" s="3048"/>
      <c r="AR232" s="3048"/>
      <c r="AS232" s="3048"/>
      <c r="AT232" s="3048"/>
      <c r="AU232" s="3048"/>
    </row>
    <row r="233" spans="1:47">
      <c r="A233" s="3288">
        <v>227</v>
      </c>
      <c r="B233" s="3288"/>
      <c r="C233" s="2517" t="s">
        <v>1157</v>
      </c>
      <c r="D233" s="3291" t="s">
        <v>1158</v>
      </c>
      <c r="E233" s="3290"/>
      <c r="F233" s="3290" t="s">
        <v>1160</v>
      </c>
      <c r="G233" s="3349">
        <v>251674799</v>
      </c>
      <c r="H233" s="3457" t="s">
        <v>1161</v>
      </c>
      <c r="I233" s="3415" t="s">
        <v>1167</v>
      </c>
      <c r="J233" s="3350" t="s">
        <v>73</v>
      </c>
      <c r="K233" s="3293" t="s">
        <v>138</v>
      </c>
      <c r="L233" s="3343" t="s">
        <v>1663</v>
      </c>
      <c r="M233" s="3400">
        <v>45972</v>
      </c>
      <c r="N233" s="3456">
        <v>118335</v>
      </c>
      <c r="O233" s="480" t="s">
        <v>49</v>
      </c>
      <c r="P233" s="480" t="s">
        <v>7</v>
      </c>
      <c r="Q233" s="3397">
        <v>0.7</v>
      </c>
      <c r="R233" s="3288"/>
      <c r="S233" s="3385"/>
      <c r="T233" s="3288"/>
      <c r="U233" s="3288"/>
      <c r="V233" s="3298">
        <f>Table6268934562[[#This Row],[Offer Value]]-Table6268934562[[#This Row],[PO Value]]</f>
        <v>118335</v>
      </c>
      <c r="W233" s="3288"/>
      <c r="X233" s="3288"/>
      <c r="Y233" s="3288"/>
      <c r="Z233" s="3084"/>
      <c r="AA233" s="3085"/>
      <c r="AB233" s="3048"/>
      <c r="AC233" s="3048"/>
      <c r="AD233" s="3048"/>
      <c r="AE233" s="3048"/>
      <c r="AF233" s="3048"/>
      <c r="AG233" s="3048"/>
      <c r="AH233" s="3048"/>
      <c r="AI233" s="3048"/>
      <c r="AJ233" s="3048"/>
      <c r="AK233" s="3048"/>
      <c r="AL233" s="3048"/>
      <c r="AM233" s="3048"/>
      <c r="AN233" s="3048"/>
      <c r="AO233" s="3048"/>
      <c r="AP233" s="3048"/>
      <c r="AQ233" s="3048"/>
      <c r="AR233" s="3048"/>
      <c r="AS233" s="3048"/>
      <c r="AT233" s="3048"/>
      <c r="AU233" s="3048"/>
    </row>
    <row r="234" spans="1:47">
      <c r="A234" s="480">
        <v>228</v>
      </c>
      <c r="B234" s="3288"/>
      <c r="C234" s="2517" t="s">
        <v>1157</v>
      </c>
      <c r="D234" s="3291" t="s">
        <v>1158</v>
      </c>
      <c r="E234" s="3290"/>
      <c r="F234" s="3290" t="s">
        <v>1160</v>
      </c>
      <c r="G234" s="3349">
        <v>251674799</v>
      </c>
      <c r="H234" s="3457" t="s">
        <v>1161</v>
      </c>
      <c r="I234" s="3291" t="s">
        <v>1168</v>
      </c>
      <c r="J234" s="3350" t="s">
        <v>73</v>
      </c>
      <c r="K234" s="3293" t="s">
        <v>138</v>
      </c>
      <c r="L234" s="3343" t="s">
        <v>1663</v>
      </c>
      <c r="M234" s="3400">
        <v>45972</v>
      </c>
      <c r="N234" s="3456">
        <v>118335</v>
      </c>
      <c r="O234" s="480" t="s">
        <v>49</v>
      </c>
      <c r="P234" s="480" t="s">
        <v>7</v>
      </c>
      <c r="Q234" s="3397">
        <v>0.7</v>
      </c>
      <c r="R234" s="3289"/>
      <c r="S234" s="3385"/>
      <c r="T234" s="3288"/>
      <c r="U234" s="3288"/>
      <c r="V234" s="3298">
        <f>Table6268934562[[#This Row],[Offer Value]]-Table6268934562[[#This Row],[PO Value]]</f>
        <v>118335</v>
      </c>
      <c r="W234" s="3288"/>
      <c r="X234" s="3288"/>
      <c r="Y234" s="3289"/>
      <c r="Z234" s="3084"/>
      <c r="AA234" s="3085"/>
      <c r="AB234" s="3048"/>
      <c r="AC234" s="3048"/>
      <c r="AD234" s="3048"/>
      <c r="AE234" s="3048"/>
      <c r="AF234" s="3048"/>
      <c r="AG234" s="3048"/>
      <c r="AH234" s="3048"/>
      <c r="AI234" s="3048"/>
      <c r="AJ234" s="3048"/>
      <c r="AK234" s="3048"/>
      <c r="AL234" s="3048"/>
      <c r="AM234" s="3048"/>
      <c r="AN234" s="3048"/>
      <c r="AO234" s="3048"/>
      <c r="AP234" s="3048"/>
      <c r="AQ234" s="3048"/>
      <c r="AR234" s="3048"/>
      <c r="AS234" s="3048"/>
      <c r="AT234" s="3048"/>
      <c r="AU234" s="3048"/>
    </row>
    <row r="235" spans="1:47">
      <c r="A235" s="3288">
        <v>229</v>
      </c>
      <c r="B235" s="3288"/>
      <c r="C235" s="2517" t="s">
        <v>1157</v>
      </c>
      <c r="D235" s="3291" t="s">
        <v>1158</v>
      </c>
      <c r="E235" s="3290"/>
      <c r="F235" s="3290" t="s">
        <v>1160</v>
      </c>
      <c r="G235" s="3349">
        <v>251674799</v>
      </c>
      <c r="H235" s="3457" t="s">
        <v>1161</v>
      </c>
      <c r="I235" s="3291" t="s">
        <v>1169</v>
      </c>
      <c r="J235" s="3350" t="s">
        <v>73</v>
      </c>
      <c r="K235" s="3293" t="s">
        <v>138</v>
      </c>
      <c r="L235" s="3343" t="s">
        <v>1663</v>
      </c>
      <c r="M235" s="3400">
        <v>45972</v>
      </c>
      <c r="N235" s="3456">
        <v>118335</v>
      </c>
      <c r="O235" s="480" t="s">
        <v>49</v>
      </c>
      <c r="P235" s="480" t="s">
        <v>7</v>
      </c>
      <c r="Q235" s="3397">
        <v>0.7</v>
      </c>
      <c r="R235" s="3289"/>
      <c r="S235" s="3385"/>
      <c r="T235" s="3288"/>
      <c r="U235" s="3288"/>
      <c r="V235" s="3298">
        <f>Table6268934562[[#This Row],[Offer Value]]-Table6268934562[[#This Row],[PO Value]]</f>
        <v>118335</v>
      </c>
      <c r="W235" s="3288"/>
      <c r="X235" s="3288"/>
      <c r="Y235" s="3289"/>
      <c r="Z235" s="3084"/>
      <c r="AA235" s="3085"/>
      <c r="AB235" s="3048"/>
      <c r="AC235" s="3048"/>
      <c r="AD235" s="3048"/>
      <c r="AE235" s="3048"/>
      <c r="AF235" s="3048"/>
      <c r="AG235" s="3048"/>
      <c r="AH235" s="3048"/>
      <c r="AI235" s="3048"/>
      <c r="AJ235" s="3048"/>
      <c r="AK235" s="3048"/>
      <c r="AL235" s="3048"/>
      <c r="AM235" s="3048"/>
      <c r="AN235" s="3048"/>
      <c r="AO235" s="3048"/>
      <c r="AP235" s="3048"/>
      <c r="AQ235" s="3048"/>
      <c r="AR235" s="3048"/>
      <c r="AS235" s="3048"/>
      <c r="AT235" s="3048"/>
      <c r="AU235" s="3048"/>
    </row>
    <row r="236" spans="1:47">
      <c r="A236" s="3288">
        <v>230</v>
      </c>
      <c r="B236" s="3288"/>
      <c r="C236" s="2517" t="s">
        <v>1157</v>
      </c>
      <c r="D236" s="3291" t="s">
        <v>1158</v>
      </c>
      <c r="E236" s="3290"/>
      <c r="F236" s="3290" t="s">
        <v>1160</v>
      </c>
      <c r="G236" s="3349">
        <v>251674799</v>
      </c>
      <c r="H236" s="3457" t="s">
        <v>1161</v>
      </c>
      <c r="I236" s="3291" t="s">
        <v>1170</v>
      </c>
      <c r="J236" s="3350" t="s">
        <v>73</v>
      </c>
      <c r="K236" s="3293" t="s">
        <v>138</v>
      </c>
      <c r="L236" s="3343" t="s">
        <v>1663</v>
      </c>
      <c r="M236" s="3400">
        <v>45972</v>
      </c>
      <c r="N236" s="3456">
        <v>118335</v>
      </c>
      <c r="O236" s="480" t="s">
        <v>49</v>
      </c>
      <c r="P236" s="480" t="s">
        <v>7</v>
      </c>
      <c r="Q236" s="3397">
        <v>0.7</v>
      </c>
      <c r="R236" s="3288"/>
      <c r="S236" s="3385"/>
      <c r="T236" s="3288"/>
      <c r="U236" s="3288"/>
      <c r="V236" s="3298">
        <f>Table6268934562[[#This Row],[Offer Value]]-Table6268934562[[#This Row],[PO Value]]</f>
        <v>118335</v>
      </c>
      <c r="W236" s="3288"/>
      <c r="X236" s="3288"/>
      <c r="Y236" s="3288"/>
      <c r="Z236" s="3084"/>
      <c r="AA236" s="3085"/>
      <c r="AB236" s="3048"/>
      <c r="AC236" s="3048"/>
      <c r="AD236" s="3048"/>
      <c r="AE236" s="3048"/>
      <c r="AF236" s="3048"/>
      <c r="AG236" s="3048"/>
      <c r="AH236" s="3048"/>
      <c r="AI236" s="3048"/>
      <c r="AJ236" s="3048"/>
      <c r="AK236" s="3048"/>
      <c r="AL236" s="3048"/>
      <c r="AM236" s="3048"/>
      <c r="AN236" s="3048"/>
      <c r="AO236" s="3048"/>
      <c r="AP236" s="3048"/>
      <c r="AQ236" s="3048"/>
      <c r="AR236" s="3048"/>
      <c r="AS236" s="3048"/>
      <c r="AT236" s="3048"/>
      <c r="AU236" s="3048"/>
    </row>
    <row r="237" spans="1:47">
      <c r="A237" s="480">
        <v>231</v>
      </c>
      <c r="B237" s="3288"/>
      <c r="C237" s="2517" t="s">
        <v>1157</v>
      </c>
      <c r="D237" s="3291" t="s">
        <v>1158</v>
      </c>
      <c r="E237" s="3290"/>
      <c r="F237" s="3290" t="s">
        <v>1160</v>
      </c>
      <c r="G237" s="3349">
        <v>251674799</v>
      </c>
      <c r="H237" s="3457" t="s">
        <v>1161</v>
      </c>
      <c r="I237" s="3291" t="s">
        <v>1171</v>
      </c>
      <c r="J237" s="3350" t="s">
        <v>73</v>
      </c>
      <c r="K237" s="3293" t="s">
        <v>138</v>
      </c>
      <c r="L237" s="3343" t="s">
        <v>1663</v>
      </c>
      <c r="M237" s="3400">
        <v>45972</v>
      </c>
      <c r="N237" s="3456">
        <v>118335</v>
      </c>
      <c r="O237" s="480" t="s">
        <v>49</v>
      </c>
      <c r="P237" s="480" t="s">
        <v>7</v>
      </c>
      <c r="Q237" s="3397">
        <v>0.7</v>
      </c>
      <c r="R237" s="3288"/>
      <c r="S237" s="3385"/>
      <c r="T237" s="3288"/>
      <c r="U237" s="3288"/>
      <c r="V237" s="3298">
        <f>Table6268934562[[#This Row],[Offer Value]]-Table6268934562[[#This Row],[PO Value]]</f>
        <v>118335</v>
      </c>
      <c r="W237" s="3288"/>
      <c r="X237" s="3288"/>
      <c r="Y237" s="3288"/>
      <c r="Z237" s="3084"/>
      <c r="AA237" s="3085"/>
      <c r="AB237" s="3048"/>
      <c r="AC237" s="3048"/>
      <c r="AD237" s="3048"/>
      <c r="AE237" s="3048"/>
      <c r="AF237" s="3048"/>
      <c r="AG237" s="3048"/>
      <c r="AH237" s="3048"/>
      <c r="AI237" s="3048"/>
      <c r="AJ237" s="3048"/>
      <c r="AK237" s="3048"/>
      <c r="AL237" s="3048"/>
      <c r="AM237" s="3048"/>
      <c r="AN237" s="3048"/>
      <c r="AO237" s="3048"/>
      <c r="AP237" s="3048"/>
      <c r="AQ237" s="3048"/>
      <c r="AR237" s="3048"/>
      <c r="AS237" s="3048"/>
      <c r="AT237" s="3048"/>
      <c r="AU237" s="3048"/>
    </row>
    <row r="238" spans="1:47">
      <c r="A238" s="3288">
        <v>232</v>
      </c>
      <c r="B238" s="3288"/>
      <c r="C238" s="2517" t="s">
        <v>1157</v>
      </c>
      <c r="D238" s="3291" t="s">
        <v>1158</v>
      </c>
      <c r="E238" s="3290"/>
      <c r="F238" s="3290" t="s">
        <v>1160</v>
      </c>
      <c r="G238" s="3349">
        <v>251674799</v>
      </c>
      <c r="H238" s="3457" t="s">
        <v>1161</v>
      </c>
      <c r="I238" s="3291" t="s">
        <v>1172</v>
      </c>
      <c r="J238" s="3350" t="s">
        <v>73</v>
      </c>
      <c r="K238" s="3293" t="s">
        <v>138</v>
      </c>
      <c r="L238" s="3343" t="s">
        <v>1663</v>
      </c>
      <c r="M238" s="3400">
        <v>45972</v>
      </c>
      <c r="N238" s="3456">
        <v>118335</v>
      </c>
      <c r="O238" s="480" t="s">
        <v>49</v>
      </c>
      <c r="P238" s="480" t="s">
        <v>7</v>
      </c>
      <c r="Q238" s="3397">
        <v>0.7</v>
      </c>
      <c r="R238" s="3288"/>
      <c r="S238" s="3385"/>
      <c r="T238" s="3288"/>
      <c r="U238" s="3288"/>
      <c r="V238" s="3298">
        <f>Table6268934562[[#This Row],[Offer Value]]-Table6268934562[[#This Row],[PO Value]]</f>
        <v>118335</v>
      </c>
      <c r="W238" s="3288"/>
      <c r="X238" s="3288"/>
      <c r="Y238" s="3288"/>
      <c r="Z238" s="3084"/>
      <c r="AA238" s="3085"/>
      <c r="AB238" s="3048"/>
      <c r="AC238" s="3048"/>
      <c r="AD238" s="3048"/>
      <c r="AE238" s="3048"/>
      <c r="AF238" s="3048"/>
      <c r="AG238" s="3048"/>
      <c r="AH238" s="3048"/>
      <c r="AI238" s="3048"/>
      <c r="AJ238" s="3048"/>
      <c r="AK238" s="3048"/>
      <c r="AL238" s="3048"/>
      <c r="AM238" s="3048"/>
      <c r="AN238" s="3048"/>
      <c r="AO238" s="3048"/>
      <c r="AP238" s="3048"/>
      <c r="AQ238" s="3048"/>
      <c r="AR238" s="3048"/>
      <c r="AS238" s="3048"/>
      <c r="AT238" s="3048"/>
      <c r="AU238" s="3048"/>
    </row>
    <row r="239" spans="1:47">
      <c r="A239" s="3288">
        <v>233</v>
      </c>
      <c r="B239" s="3288"/>
      <c r="C239" s="2517" t="s">
        <v>1157</v>
      </c>
      <c r="D239" s="3291" t="s">
        <v>1158</v>
      </c>
      <c r="E239" s="3290"/>
      <c r="F239" s="3290" t="s">
        <v>1160</v>
      </c>
      <c r="G239" s="3349">
        <v>251674799</v>
      </c>
      <c r="H239" s="3458" t="s">
        <v>1161</v>
      </c>
      <c r="I239" s="3291" t="s">
        <v>1173</v>
      </c>
      <c r="J239" s="3350" t="s">
        <v>73</v>
      </c>
      <c r="K239" s="3293" t="s">
        <v>138</v>
      </c>
      <c r="L239" s="3343" t="s">
        <v>1663</v>
      </c>
      <c r="M239" s="3400">
        <v>45972</v>
      </c>
      <c r="N239" s="3456">
        <v>118335</v>
      </c>
      <c r="O239" s="480" t="s">
        <v>49</v>
      </c>
      <c r="P239" s="480" t="s">
        <v>7</v>
      </c>
      <c r="Q239" s="3397">
        <v>0.7</v>
      </c>
      <c r="R239" s="3288"/>
      <c r="S239" s="3385"/>
      <c r="T239" s="3288"/>
      <c r="U239" s="3288"/>
      <c r="V239" s="3298">
        <f>Table6268934562[[#This Row],[Offer Value]]-Table6268934562[[#This Row],[PO Value]]</f>
        <v>118335</v>
      </c>
      <c r="W239" s="3288"/>
      <c r="X239" s="3288"/>
      <c r="Y239" s="3288"/>
      <c r="Z239" s="3084"/>
      <c r="AA239" s="3085"/>
      <c r="AB239" s="3048"/>
      <c r="AC239" s="3048"/>
      <c r="AD239" s="3048"/>
      <c r="AE239" s="3048"/>
      <c r="AF239" s="3048"/>
      <c r="AG239" s="3048"/>
      <c r="AH239" s="3048"/>
      <c r="AI239" s="3048"/>
      <c r="AJ239" s="3048"/>
      <c r="AK239" s="3048"/>
      <c r="AL239" s="3048"/>
      <c r="AM239" s="3048"/>
      <c r="AN239" s="3048"/>
      <c r="AO239" s="3048"/>
      <c r="AP239" s="3048"/>
      <c r="AQ239" s="3048"/>
      <c r="AR239" s="3048"/>
      <c r="AS239" s="3048"/>
      <c r="AT239" s="3048"/>
      <c r="AU239" s="3048"/>
    </row>
    <row r="240" spans="1:47">
      <c r="A240" s="480">
        <v>234</v>
      </c>
      <c r="B240" s="3289">
        <v>45972</v>
      </c>
      <c r="C240" s="3445" t="s">
        <v>1250</v>
      </c>
      <c r="D240" s="3290" t="s">
        <v>1158</v>
      </c>
      <c r="E240" s="3290"/>
      <c r="F240" s="3290" t="s">
        <v>1664</v>
      </c>
      <c r="G240" s="3349">
        <v>9823395205</v>
      </c>
      <c r="H240" s="3459" t="s">
        <v>1333</v>
      </c>
      <c r="I240" s="3416" t="s">
        <v>1334</v>
      </c>
      <c r="J240" s="3294" t="s">
        <v>73</v>
      </c>
      <c r="K240" s="3294" t="s">
        <v>138</v>
      </c>
      <c r="L240" s="3343" t="s">
        <v>1665</v>
      </c>
      <c r="M240" s="3400">
        <v>45972</v>
      </c>
      <c r="N240" s="3288">
        <v>76440</v>
      </c>
      <c r="O240" s="3288" t="s">
        <v>49</v>
      </c>
      <c r="P240" s="3288" t="s">
        <v>7</v>
      </c>
      <c r="Q240" s="3384">
        <v>0.7</v>
      </c>
      <c r="R240" s="3288"/>
      <c r="S240" s="3385"/>
      <c r="T240" s="3288"/>
      <c r="U240" s="3288"/>
      <c r="V240" s="3298">
        <f>Table6268934562[[#This Row],[Offer Value]]-Table6268934562[[#This Row],[PO Value]]</f>
        <v>76440</v>
      </c>
      <c r="W240" s="3288"/>
      <c r="X240" s="3288"/>
      <c r="Y240" s="3288"/>
      <c r="Z240" s="3084"/>
      <c r="AA240" s="3085"/>
      <c r="AB240" s="3048"/>
      <c r="AC240" s="3048"/>
      <c r="AD240" s="3048"/>
      <c r="AE240" s="3048"/>
      <c r="AF240" s="3048"/>
      <c r="AG240" s="3048"/>
      <c r="AH240" s="3048"/>
      <c r="AI240" s="3048"/>
      <c r="AJ240" s="3048"/>
      <c r="AK240" s="3048"/>
      <c r="AL240" s="3048"/>
      <c r="AM240" s="3048"/>
      <c r="AN240" s="3048"/>
      <c r="AO240" s="3048"/>
      <c r="AP240" s="3048"/>
      <c r="AQ240" s="3048"/>
      <c r="AR240" s="3048"/>
      <c r="AS240" s="3048"/>
      <c r="AT240" s="3048"/>
      <c r="AU240" s="3048"/>
    </row>
    <row r="241" spans="1:47">
      <c r="A241" s="3288">
        <v>235</v>
      </c>
      <c r="B241" s="3288"/>
      <c r="C241" s="3445" t="s">
        <v>1250</v>
      </c>
      <c r="D241" s="3290" t="s">
        <v>1158</v>
      </c>
      <c r="E241" s="3290"/>
      <c r="F241" s="3290" t="s">
        <v>1664</v>
      </c>
      <c r="G241" s="3349">
        <v>9823395205</v>
      </c>
      <c r="H241" s="3459" t="s">
        <v>1333</v>
      </c>
      <c r="I241" s="3416">
        <v>101001594</v>
      </c>
      <c r="J241" s="3294" t="s">
        <v>73</v>
      </c>
      <c r="K241" s="3294" t="s">
        <v>138</v>
      </c>
      <c r="L241" s="3343" t="s">
        <v>1665</v>
      </c>
      <c r="M241" s="3400">
        <v>45972</v>
      </c>
      <c r="N241" s="3288">
        <v>76440</v>
      </c>
      <c r="O241" s="3288" t="s">
        <v>49</v>
      </c>
      <c r="P241" s="3288" t="s">
        <v>7</v>
      </c>
      <c r="Q241" s="3384">
        <v>0.7</v>
      </c>
      <c r="R241" s="3288"/>
      <c r="S241" s="3385"/>
      <c r="T241" s="3288"/>
      <c r="U241" s="3288"/>
      <c r="V241" s="3298">
        <f>Table6268934562[[#This Row],[Offer Value]]-Table6268934562[[#This Row],[PO Value]]</f>
        <v>76440</v>
      </c>
      <c r="W241" s="3288"/>
      <c r="X241" s="3288"/>
      <c r="Y241" s="3288"/>
      <c r="Z241" s="3084"/>
      <c r="AA241" s="3085"/>
      <c r="AB241" s="3048"/>
      <c r="AC241" s="3048"/>
      <c r="AD241" s="3048"/>
      <c r="AE241" s="3048"/>
      <c r="AF241" s="3048"/>
      <c r="AG241" s="3048"/>
      <c r="AH241" s="3048"/>
      <c r="AI241" s="3048"/>
      <c r="AJ241" s="3048"/>
      <c r="AK241" s="3048"/>
      <c r="AL241" s="3048"/>
      <c r="AM241" s="3048"/>
      <c r="AN241" s="3048"/>
      <c r="AO241" s="3048"/>
      <c r="AP241" s="3048"/>
      <c r="AQ241" s="3048"/>
      <c r="AR241" s="3048"/>
      <c r="AS241" s="3048"/>
      <c r="AT241" s="3048"/>
      <c r="AU241" s="3048"/>
    </row>
    <row r="242" spans="1:47">
      <c r="A242" s="3359">
        <v>236</v>
      </c>
      <c r="B242" s="3359" t="s">
        <v>1666</v>
      </c>
      <c r="C242" s="3450" t="s">
        <v>1421</v>
      </c>
      <c r="D242" s="3361" t="s">
        <v>1158</v>
      </c>
      <c r="E242" s="3361"/>
      <c r="F242" s="3361" t="s">
        <v>1667</v>
      </c>
      <c r="G242" s="3361">
        <v>9850565337</v>
      </c>
      <c r="H242" s="3417" t="s">
        <v>1668</v>
      </c>
      <c r="I242" s="3378" t="s">
        <v>1476</v>
      </c>
      <c r="J242" s="3418" t="s">
        <v>75</v>
      </c>
      <c r="K242" s="3418" t="s">
        <v>385</v>
      </c>
      <c r="L242" s="3404" t="s">
        <v>1669</v>
      </c>
      <c r="M242" s="3361" t="s">
        <v>1666</v>
      </c>
      <c r="N242" s="3359">
        <v>210092</v>
      </c>
      <c r="O242" s="3359" t="s">
        <v>49</v>
      </c>
      <c r="P242" s="3359" t="s">
        <v>62</v>
      </c>
      <c r="Q242" s="3386">
        <v>1</v>
      </c>
      <c r="R242" s="3359">
        <v>7100130197</v>
      </c>
      <c r="S242" s="3360">
        <v>45728</v>
      </c>
      <c r="T242" s="3359">
        <v>69030</v>
      </c>
      <c r="U242" s="3359" t="s">
        <v>62</v>
      </c>
      <c r="V242" s="3367">
        <v>0</v>
      </c>
      <c r="W242" s="3359"/>
      <c r="X242" s="3359"/>
      <c r="Y242" s="3359"/>
      <c r="Z242" s="3084"/>
      <c r="AA242" s="3085"/>
      <c r="AB242" s="3048"/>
      <c r="AC242" s="3048"/>
      <c r="AD242" s="3048"/>
      <c r="AE242" s="3048"/>
      <c r="AF242" s="3048"/>
      <c r="AG242" s="3048"/>
      <c r="AH242" s="3048"/>
      <c r="AI242" s="3048"/>
      <c r="AJ242" s="3048"/>
      <c r="AK242" s="3048"/>
      <c r="AL242" s="3048"/>
      <c r="AM242" s="3048"/>
      <c r="AN242" s="3048"/>
      <c r="AO242" s="3048"/>
      <c r="AP242" s="3048"/>
      <c r="AQ242" s="3048"/>
      <c r="AR242" s="3048"/>
      <c r="AS242" s="3048"/>
      <c r="AT242" s="3048"/>
      <c r="AU242" s="3048"/>
    </row>
    <row r="243" spans="1:47">
      <c r="A243" s="1020">
        <v>237</v>
      </c>
      <c r="B243" s="3359" t="s">
        <v>1666</v>
      </c>
      <c r="C243" s="3450" t="s">
        <v>1267</v>
      </c>
      <c r="D243" s="3361"/>
      <c r="E243" s="3361"/>
      <c r="F243" s="3378" t="s">
        <v>1283</v>
      </c>
      <c r="G243" s="3378">
        <v>9011049428</v>
      </c>
      <c r="H243" s="3379" t="s">
        <v>1284</v>
      </c>
      <c r="I243" s="3378" t="s">
        <v>1288</v>
      </c>
      <c r="J243" s="3362" t="s">
        <v>75</v>
      </c>
      <c r="K243" s="3362" t="s">
        <v>385</v>
      </c>
      <c r="L243" s="3361" t="s">
        <v>1670</v>
      </c>
      <c r="M243" s="3361" t="s">
        <v>1666</v>
      </c>
      <c r="N243" s="3375">
        <v>46500</v>
      </c>
      <c r="O243" s="3359" t="s">
        <v>49</v>
      </c>
      <c r="P243" s="3359" t="s">
        <v>49</v>
      </c>
      <c r="Q243" s="3386">
        <v>1</v>
      </c>
      <c r="R243" s="3375" t="s">
        <v>1671</v>
      </c>
      <c r="S243" s="3381" t="s">
        <v>1672</v>
      </c>
      <c r="T243" s="3359">
        <v>46500</v>
      </c>
      <c r="U243" s="3359" t="s">
        <v>49</v>
      </c>
      <c r="V243" s="3367">
        <f>Table6268934562[[#This Row],[Offer Value]]-Table6268934562[[#This Row],[PO Value]]</f>
        <v>0</v>
      </c>
      <c r="W243" s="3359"/>
      <c r="X243" s="3359"/>
      <c r="Y243" s="3288"/>
      <c r="Z243" s="3084"/>
      <c r="AA243" s="3085"/>
      <c r="AB243" s="3048"/>
      <c r="AC243" s="3048"/>
      <c r="AD243" s="3048"/>
      <c r="AE243" s="3048"/>
      <c r="AF243" s="3048"/>
      <c r="AG243" s="3048"/>
      <c r="AH243" s="3048"/>
      <c r="AI243" s="3048"/>
      <c r="AJ243" s="3048"/>
      <c r="AK243" s="3048"/>
      <c r="AL243" s="3048"/>
      <c r="AM243" s="3048"/>
      <c r="AN243" s="3048"/>
      <c r="AO243" s="3048"/>
      <c r="AP243" s="3048"/>
      <c r="AQ243" s="3048"/>
      <c r="AR243" s="3048"/>
      <c r="AS243" s="3048"/>
      <c r="AT243" s="3048"/>
      <c r="AU243" s="3048"/>
    </row>
    <row r="244" spans="1:47">
      <c r="A244" s="1020">
        <v>238</v>
      </c>
      <c r="B244" s="3360">
        <v>45820</v>
      </c>
      <c r="C244" s="3450" t="s">
        <v>1267</v>
      </c>
      <c r="D244" s="3361" t="s">
        <v>304</v>
      </c>
      <c r="E244" s="3361"/>
      <c r="F244" s="3378" t="s">
        <v>1283</v>
      </c>
      <c r="G244" s="3378">
        <v>9011049428</v>
      </c>
      <c r="H244" s="3379" t="s">
        <v>1284</v>
      </c>
      <c r="I244" s="3378" t="s">
        <v>1288</v>
      </c>
      <c r="J244" s="3362" t="s">
        <v>73</v>
      </c>
      <c r="K244" s="3362" t="s">
        <v>138</v>
      </c>
      <c r="L244" s="3362" t="s">
        <v>1673</v>
      </c>
      <c r="M244" s="3463">
        <v>45820</v>
      </c>
      <c r="N244" s="3359">
        <v>85700</v>
      </c>
      <c r="O244" s="3359" t="s">
        <v>62</v>
      </c>
      <c r="P244" s="3359" t="s">
        <v>7</v>
      </c>
      <c r="Q244" s="3386">
        <v>1</v>
      </c>
      <c r="R244" s="3359" t="s">
        <v>1674</v>
      </c>
      <c r="S244" s="3381" t="s">
        <v>1675</v>
      </c>
      <c r="T244" s="3359">
        <v>82300</v>
      </c>
      <c r="U244" s="3359" t="s">
        <v>62</v>
      </c>
      <c r="V244" s="3367">
        <v>0</v>
      </c>
      <c r="W244" s="3359"/>
      <c r="X244" s="3359"/>
      <c r="Y244" s="3359"/>
      <c r="Z244" s="3084"/>
      <c r="AA244" s="3085"/>
      <c r="AB244" s="3048"/>
      <c r="AC244" s="3048"/>
      <c r="AD244" s="3048"/>
      <c r="AE244" s="3048"/>
      <c r="AF244" s="3048"/>
      <c r="AG244" s="3048"/>
      <c r="AH244" s="3048"/>
      <c r="AI244" s="3048"/>
      <c r="AJ244" s="3048"/>
      <c r="AK244" s="3048"/>
      <c r="AL244" s="3048"/>
      <c r="AM244" s="3048"/>
      <c r="AN244" s="3048"/>
      <c r="AO244" s="3048"/>
      <c r="AP244" s="3048"/>
      <c r="AQ244" s="3048"/>
      <c r="AR244" s="3048"/>
      <c r="AS244" s="3048"/>
      <c r="AT244" s="3048"/>
      <c r="AU244" s="3048"/>
    </row>
    <row r="245" spans="1:47">
      <c r="A245" s="3359">
        <v>239</v>
      </c>
      <c r="B245" s="3360"/>
      <c r="C245" s="3450" t="s">
        <v>1267</v>
      </c>
      <c r="D245" s="3361" t="s">
        <v>304</v>
      </c>
      <c r="E245" s="3361"/>
      <c r="F245" s="3378" t="s">
        <v>1283</v>
      </c>
      <c r="G245" s="3378">
        <v>9011049428</v>
      </c>
      <c r="H245" s="3379" t="s">
        <v>1284</v>
      </c>
      <c r="I245" s="3462" t="s">
        <v>1285</v>
      </c>
      <c r="J245" s="3362" t="s">
        <v>73</v>
      </c>
      <c r="K245" s="3362" t="s">
        <v>138</v>
      </c>
      <c r="L245" s="3362" t="s">
        <v>1673</v>
      </c>
      <c r="M245" s="3463">
        <v>45820</v>
      </c>
      <c r="N245" s="3359">
        <v>85700</v>
      </c>
      <c r="O245" s="3359" t="s">
        <v>62</v>
      </c>
      <c r="P245" s="3359" t="s">
        <v>7</v>
      </c>
      <c r="Q245" s="3386">
        <v>1</v>
      </c>
      <c r="R245" s="3359" t="s">
        <v>1674</v>
      </c>
      <c r="S245" s="3381" t="s">
        <v>1675</v>
      </c>
      <c r="T245" s="3359">
        <v>82300</v>
      </c>
      <c r="U245" s="3359" t="s">
        <v>62</v>
      </c>
      <c r="V245" s="3367">
        <v>0</v>
      </c>
      <c r="W245" s="3359"/>
      <c r="X245" s="3359"/>
      <c r="Y245" s="3359"/>
      <c r="Z245" s="3084"/>
      <c r="AA245" s="3085"/>
      <c r="AB245" s="3048"/>
      <c r="AC245" s="3048"/>
      <c r="AD245" s="3048"/>
      <c r="AE245" s="3048"/>
      <c r="AF245" s="3048"/>
      <c r="AG245" s="3048"/>
      <c r="AH245" s="3048"/>
      <c r="AI245" s="3048"/>
      <c r="AJ245" s="3048"/>
      <c r="AK245" s="3048"/>
      <c r="AL245" s="3048"/>
      <c r="AM245" s="3048"/>
      <c r="AN245" s="3048"/>
      <c r="AO245" s="3048"/>
      <c r="AP245" s="3048"/>
      <c r="AQ245" s="3048"/>
      <c r="AR245" s="3048"/>
      <c r="AS245" s="3048"/>
      <c r="AT245" s="3048"/>
      <c r="AU245" s="3048"/>
    </row>
    <row r="246" spans="1:47">
      <c r="A246" s="3359">
        <v>240</v>
      </c>
      <c r="B246" s="3360"/>
      <c r="C246" s="3450" t="s">
        <v>1267</v>
      </c>
      <c r="D246" s="3361" t="s">
        <v>304</v>
      </c>
      <c r="E246" s="3361"/>
      <c r="F246" s="3378" t="s">
        <v>1283</v>
      </c>
      <c r="G246" s="3378">
        <v>9011049428</v>
      </c>
      <c r="H246" s="3379" t="s">
        <v>1284</v>
      </c>
      <c r="I246" s="3462" t="s">
        <v>1289</v>
      </c>
      <c r="J246" s="3362" t="s">
        <v>73</v>
      </c>
      <c r="K246" s="3362" t="s">
        <v>138</v>
      </c>
      <c r="L246" s="3362" t="s">
        <v>1673</v>
      </c>
      <c r="M246" s="3463">
        <v>45820</v>
      </c>
      <c r="N246" s="3359">
        <v>85700</v>
      </c>
      <c r="O246" s="3359" t="s">
        <v>62</v>
      </c>
      <c r="P246" s="3359" t="s">
        <v>7</v>
      </c>
      <c r="Q246" s="3386">
        <v>1</v>
      </c>
      <c r="R246" s="3359" t="s">
        <v>1674</v>
      </c>
      <c r="S246" s="3381" t="s">
        <v>1675</v>
      </c>
      <c r="T246" s="3359">
        <v>82300</v>
      </c>
      <c r="U246" s="3359" t="s">
        <v>62</v>
      </c>
      <c r="V246" s="3367">
        <v>0</v>
      </c>
      <c r="W246" s="3359"/>
      <c r="X246" s="3359"/>
      <c r="Y246" s="3359"/>
      <c r="Z246" s="3084"/>
      <c r="AA246" s="3085"/>
      <c r="AB246" s="3048"/>
      <c r="AC246" s="3048"/>
      <c r="AD246" s="3048"/>
      <c r="AE246" s="3048"/>
      <c r="AF246" s="3048"/>
      <c r="AG246" s="3048"/>
      <c r="AH246" s="3048"/>
      <c r="AI246" s="3048"/>
      <c r="AJ246" s="3048"/>
      <c r="AK246" s="3048"/>
      <c r="AL246" s="3048"/>
      <c r="AM246" s="3048"/>
      <c r="AN246" s="3048"/>
      <c r="AO246" s="3048"/>
      <c r="AP246" s="3048"/>
      <c r="AQ246" s="3048"/>
      <c r="AR246" s="3048"/>
      <c r="AS246" s="3048"/>
      <c r="AT246" s="3048"/>
      <c r="AU246" s="3048"/>
    </row>
    <row r="247" spans="1:47">
      <c r="A247" s="1020">
        <v>241</v>
      </c>
      <c r="B247" s="3360"/>
      <c r="C247" s="3450" t="s">
        <v>1267</v>
      </c>
      <c r="D247" s="3361" t="s">
        <v>304</v>
      </c>
      <c r="E247" s="3361"/>
      <c r="F247" s="3378" t="s">
        <v>1283</v>
      </c>
      <c r="G247" s="3378">
        <v>9011049428</v>
      </c>
      <c r="H247" s="3379" t="s">
        <v>1284</v>
      </c>
      <c r="I247" s="3462" t="s">
        <v>1290</v>
      </c>
      <c r="J247" s="3362" t="s">
        <v>73</v>
      </c>
      <c r="K247" s="3362" t="s">
        <v>138</v>
      </c>
      <c r="L247" s="3362" t="s">
        <v>1673</v>
      </c>
      <c r="M247" s="3463">
        <v>45820</v>
      </c>
      <c r="N247" s="3359">
        <v>85700</v>
      </c>
      <c r="O247" s="3359" t="s">
        <v>62</v>
      </c>
      <c r="P247" s="3359" t="s">
        <v>7</v>
      </c>
      <c r="Q247" s="3386">
        <v>1</v>
      </c>
      <c r="R247" s="3359" t="s">
        <v>1674</v>
      </c>
      <c r="S247" s="3381" t="s">
        <v>1675</v>
      </c>
      <c r="T247" s="3359">
        <v>82300</v>
      </c>
      <c r="U247" s="3359" t="s">
        <v>62</v>
      </c>
      <c r="V247" s="3367">
        <v>0</v>
      </c>
      <c r="W247" s="3359"/>
      <c r="X247" s="3359"/>
      <c r="Y247" s="3359"/>
      <c r="Z247" s="3084"/>
      <c r="AA247" s="3085"/>
      <c r="AB247" s="3048"/>
      <c r="AC247" s="3048"/>
      <c r="AD247" s="3048"/>
      <c r="AE247" s="3048"/>
      <c r="AF247" s="3048"/>
      <c r="AG247" s="3048"/>
      <c r="AH247" s="3048"/>
      <c r="AI247" s="3048"/>
      <c r="AJ247" s="3048"/>
      <c r="AK247" s="3048"/>
      <c r="AL247" s="3048"/>
      <c r="AM247" s="3048"/>
      <c r="AN247" s="3048"/>
      <c r="AO247" s="3048"/>
      <c r="AP247" s="3048"/>
      <c r="AQ247" s="3048"/>
      <c r="AR247" s="3048"/>
      <c r="AS247" s="3048"/>
      <c r="AT247" s="3048"/>
      <c r="AU247" s="3048"/>
    </row>
    <row r="248" spans="1:47">
      <c r="A248" s="1020">
        <v>242</v>
      </c>
      <c r="B248" s="3360"/>
      <c r="C248" s="3450" t="s">
        <v>1267</v>
      </c>
      <c r="D248" s="3361" t="s">
        <v>304</v>
      </c>
      <c r="E248" s="3361"/>
      <c r="F248" s="3378" t="s">
        <v>1283</v>
      </c>
      <c r="G248" s="3378">
        <v>9011049428</v>
      </c>
      <c r="H248" s="3379" t="s">
        <v>1284</v>
      </c>
      <c r="I248" s="3462" t="s">
        <v>1291</v>
      </c>
      <c r="J248" s="3362" t="s">
        <v>73</v>
      </c>
      <c r="K248" s="3362" t="s">
        <v>138</v>
      </c>
      <c r="L248" s="3362" t="s">
        <v>1673</v>
      </c>
      <c r="M248" s="3463">
        <v>45820</v>
      </c>
      <c r="N248" s="3359">
        <v>85700</v>
      </c>
      <c r="O248" s="3359" t="s">
        <v>62</v>
      </c>
      <c r="P248" s="3359" t="s">
        <v>7</v>
      </c>
      <c r="Q248" s="3386">
        <v>1</v>
      </c>
      <c r="R248" s="3359" t="s">
        <v>1674</v>
      </c>
      <c r="S248" s="3381" t="s">
        <v>1675</v>
      </c>
      <c r="T248" s="3359">
        <v>82300</v>
      </c>
      <c r="U248" s="3359" t="s">
        <v>62</v>
      </c>
      <c r="V248" s="3367">
        <v>0</v>
      </c>
      <c r="W248" s="3359"/>
      <c r="X248" s="3359"/>
      <c r="Y248" s="3360"/>
      <c r="Z248" s="3084"/>
      <c r="AA248" s="3085"/>
      <c r="AB248" s="3048"/>
      <c r="AC248" s="3048"/>
      <c r="AD248" s="3048"/>
      <c r="AE248" s="3048"/>
      <c r="AF248" s="3048"/>
      <c r="AG248" s="3048"/>
      <c r="AH248" s="3048"/>
      <c r="AI248" s="3048"/>
      <c r="AJ248" s="3048"/>
      <c r="AK248" s="3048"/>
      <c r="AL248" s="3048"/>
      <c r="AM248" s="3048"/>
      <c r="AN248" s="3048"/>
      <c r="AO248" s="3048"/>
      <c r="AP248" s="3048"/>
      <c r="AQ248" s="3048"/>
      <c r="AR248" s="3048"/>
      <c r="AS248" s="3048"/>
      <c r="AT248" s="3048"/>
      <c r="AU248" s="3048"/>
    </row>
    <row r="249" spans="1:47">
      <c r="A249" s="3359">
        <v>243</v>
      </c>
      <c r="B249" s="3360"/>
      <c r="C249" s="3450" t="s">
        <v>1267</v>
      </c>
      <c r="D249" s="3361" t="s">
        <v>304</v>
      </c>
      <c r="E249" s="3361"/>
      <c r="F249" s="3378" t="s">
        <v>1283</v>
      </c>
      <c r="G249" s="3378">
        <v>9011049428</v>
      </c>
      <c r="H249" s="3379" t="s">
        <v>1284</v>
      </c>
      <c r="I249" s="3462" t="s">
        <v>1292</v>
      </c>
      <c r="J249" s="3362" t="s">
        <v>73</v>
      </c>
      <c r="K249" s="3362" t="s">
        <v>138</v>
      </c>
      <c r="L249" s="3362" t="s">
        <v>1673</v>
      </c>
      <c r="M249" s="3463">
        <v>45820</v>
      </c>
      <c r="N249" s="3359">
        <v>85700</v>
      </c>
      <c r="O249" s="3359" t="s">
        <v>62</v>
      </c>
      <c r="P249" s="3359" t="s">
        <v>7</v>
      </c>
      <c r="Q249" s="3386">
        <v>1</v>
      </c>
      <c r="R249" s="3359" t="s">
        <v>1674</v>
      </c>
      <c r="S249" s="3381" t="s">
        <v>1675</v>
      </c>
      <c r="T249" s="3359">
        <v>82300</v>
      </c>
      <c r="U249" s="3359" t="s">
        <v>62</v>
      </c>
      <c r="V249" s="3367">
        <v>0</v>
      </c>
      <c r="W249" s="3359"/>
      <c r="X249" s="3359"/>
      <c r="Y249" s="3359"/>
      <c r="Z249" s="3084"/>
      <c r="AA249" s="3085"/>
      <c r="AB249" s="3048"/>
      <c r="AC249" s="3048"/>
      <c r="AD249" s="3048"/>
      <c r="AE249" s="3048"/>
      <c r="AF249" s="3048"/>
      <c r="AG249" s="3048"/>
      <c r="AH249" s="3048"/>
      <c r="AI249" s="3048"/>
      <c r="AJ249" s="3048"/>
      <c r="AK249" s="3048"/>
      <c r="AL249" s="3048"/>
      <c r="AM249" s="3048"/>
      <c r="AN249" s="3048"/>
      <c r="AO249" s="3048"/>
      <c r="AP249" s="3048"/>
      <c r="AQ249" s="3048"/>
      <c r="AR249" s="3048"/>
      <c r="AS249" s="3048"/>
      <c r="AT249" s="3048"/>
      <c r="AU249" s="3048"/>
    </row>
    <row r="250" spans="1:47">
      <c r="A250" s="3359">
        <v>244</v>
      </c>
      <c r="B250" s="3360">
        <v>45820</v>
      </c>
      <c r="C250" s="3450" t="s">
        <v>1267</v>
      </c>
      <c r="D250" s="3361" t="s">
        <v>304</v>
      </c>
      <c r="E250" s="3361"/>
      <c r="F250" s="3378" t="s">
        <v>1283</v>
      </c>
      <c r="G250" s="3378">
        <v>9011049428</v>
      </c>
      <c r="H250" s="3379" t="s">
        <v>1284</v>
      </c>
      <c r="I250" s="3462" t="s">
        <v>1292</v>
      </c>
      <c r="J250" s="3418" t="s">
        <v>75</v>
      </c>
      <c r="K250" s="3418" t="s">
        <v>385</v>
      </c>
      <c r="L250" s="3361" t="s">
        <v>1676</v>
      </c>
      <c r="M250" s="3463">
        <v>45820</v>
      </c>
      <c r="N250" s="3359">
        <v>927908</v>
      </c>
      <c r="O250" s="3359" t="s">
        <v>62</v>
      </c>
      <c r="P250" s="3359" t="s">
        <v>62</v>
      </c>
      <c r="Q250" s="3386">
        <v>1</v>
      </c>
      <c r="R250" s="3359" t="s">
        <v>1677</v>
      </c>
      <c r="S250" s="3381" t="s">
        <v>1678</v>
      </c>
      <c r="T250" s="3359">
        <v>927908</v>
      </c>
      <c r="U250" s="3359" t="s">
        <v>62</v>
      </c>
      <c r="V250" s="3367">
        <f>Table6268934562[[#This Row],[Offer Value]]-Table6268934562[[#This Row],[PO Value]]</f>
        <v>0</v>
      </c>
      <c r="W250" s="3359"/>
      <c r="X250" s="3359"/>
      <c r="Y250" s="3359"/>
      <c r="Z250" s="3084"/>
      <c r="AA250" s="3085"/>
      <c r="AB250" s="3048"/>
      <c r="AC250" s="3048"/>
      <c r="AD250" s="3048"/>
      <c r="AE250" s="3048"/>
      <c r="AF250" s="3048"/>
      <c r="AG250" s="3048"/>
      <c r="AH250" s="3048"/>
      <c r="AI250" s="3048"/>
      <c r="AJ250" s="3048"/>
      <c r="AK250" s="3048"/>
      <c r="AL250" s="3048"/>
      <c r="AM250" s="3048"/>
      <c r="AN250" s="3048"/>
      <c r="AO250" s="3048"/>
      <c r="AP250" s="3048"/>
      <c r="AQ250" s="3048"/>
      <c r="AR250" s="3048"/>
      <c r="AS250" s="3048"/>
      <c r="AT250" s="3048"/>
      <c r="AU250" s="3048"/>
    </row>
    <row r="251" spans="1:47">
      <c r="A251" s="480">
        <v>245</v>
      </c>
      <c r="B251" s="3289">
        <v>45820</v>
      </c>
      <c r="C251" s="3445" t="s">
        <v>733</v>
      </c>
      <c r="D251" s="3290" t="s">
        <v>304</v>
      </c>
      <c r="E251" s="3290"/>
      <c r="F251" s="3291" t="s">
        <v>1324</v>
      </c>
      <c r="G251" s="3416">
        <v>9326387581</v>
      </c>
      <c r="H251" s="3420" t="s">
        <v>1325</v>
      </c>
      <c r="I251" s="3293" t="s">
        <v>1326</v>
      </c>
      <c r="J251" s="3343" t="s">
        <v>73</v>
      </c>
      <c r="K251" s="3293" t="s">
        <v>138</v>
      </c>
      <c r="L251" s="3343" t="s">
        <v>1679</v>
      </c>
      <c r="M251" s="3419">
        <v>45820</v>
      </c>
      <c r="N251" s="3288">
        <v>74500</v>
      </c>
      <c r="O251" s="3288" t="s">
        <v>62</v>
      </c>
      <c r="P251" s="3288" t="s">
        <v>7</v>
      </c>
      <c r="Q251" s="3384">
        <v>0.7</v>
      </c>
      <c r="R251" s="3288"/>
      <c r="S251" s="3385"/>
      <c r="T251" s="3288"/>
      <c r="U251" s="3288"/>
      <c r="V251" s="3298">
        <f>Table6268934562[[#This Row],[Offer Value]]-Table6268934562[[#This Row],[PO Value]]</f>
        <v>74500</v>
      </c>
      <c r="W251" s="3288"/>
      <c r="X251" s="3288"/>
      <c r="Y251" s="3288"/>
      <c r="Z251" s="3084"/>
      <c r="AA251" s="3085"/>
      <c r="AB251" s="3048"/>
      <c r="AC251" s="3048"/>
      <c r="AD251" s="3048"/>
      <c r="AE251" s="3048"/>
      <c r="AF251" s="3048"/>
      <c r="AG251" s="3048"/>
      <c r="AH251" s="3048"/>
      <c r="AI251" s="3048"/>
      <c r="AJ251" s="3048"/>
      <c r="AK251" s="3048"/>
      <c r="AL251" s="3048"/>
      <c r="AM251" s="3048"/>
      <c r="AN251" s="3048"/>
      <c r="AO251" s="3048"/>
      <c r="AP251" s="3048"/>
      <c r="AQ251" s="3048"/>
      <c r="AR251" s="3048"/>
      <c r="AS251" s="3048"/>
      <c r="AT251" s="3048"/>
      <c r="AU251" s="3048"/>
    </row>
    <row r="252" spans="1:47">
      <c r="A252" s="480">
        <v>246</v>
      </c>
      <c r="B252" s="3289"/>
      <c r="C252" s="3445" t="s">
        <v>733</v>
      </c>
      <c r="D252" s="3290" t="s">
        <v>304</v>
      </c>
      <c r="E252" s="3290"/>
      <c r="F252" s="3415" t="s">
        <v>1324</v>
      </c>
      <c r="G252" s="3421">
        <v>9326387581</v>
      </c>
      <c r="H252" s="3422" t="s">
        <v>1325</v>
      </c>
      <c r="I252" s="3293" t="s">
        <v>1329</v>
      </c>
      <c r="J252" s="3343" t="s">
        <v>73</v>
      </c>
      <c r="K252" s="3293" t="s">
        <v>138</v>
      </c>
      <c r="L252" s="3343" t="s">
        <v>1679</v>
      </c>
      <c r="M252" s="3419">
        <v>45820</v>
      </c>
      <c r="N252" s="3288">
        <v>74500</v>
      </c>
      <c r="O252" s="3288" t="s">
        <v>62</v>
      </c>
      <c r="P252" s="3288" t="s">
        <v>7</v>
      </c>
      <c r="Q252" s="3384">
        <v>0.7</v>
      </c>
      <c r="R252" s="3288"/>
      <c r="S252" s="3385"/>
      <c r="T252" s="3288"/>
      <c r="U252" s="3288"/>
      <c r="V252" s="3298">
        <f>Table6268934562[[#This Row],[Offer Value]]-Table6268934562[[#This Row],[PO Value]]</f>
        <v>74500</v>
      </c>
      <c r="W252" s="3288"/>
      <c r="X252" s="3288"/>
      <c r="Y252" s="3288"/>
      <c r="Z252" s="3084"/>
      <c r="AA252" s="3085"/>
      <c r="AB252" s="3048"/>
      <c r="AC252" s="3048"/>
      <c r="AD252" s="3048"/>
      <c r="AE252" s="3048"/>
      <c r="AF252" s="3048"/>
      <c r="AG252" s="3048"/>
      <c r="AH252" s="3048"/>
      <c r="AI252" s="3048"/>
      <c r="AJ252" s="3048"/>
      <c r="AK252" s="3048"/>
      <c r="AL252" s="3048"/>
      <c r="AM252" s="3048"/>
      <c r="AN252" s="3048"/>
      <c r="AO252" s="3048"/>
      <c r="AP252" s="3048"/>
      <c r="AQ252" s="3048"/>
      <c r="AR252" s="3048"/>
      <c r="AS252" s="3048"/>
      <c r="AT252" s="3048"/>
      <c r="AU252" s="3048"/>
    </row>
    <row r="253" spans="1:47">
      <c r="A253" s="3288">
        <v>247</v>
      </c>
      <c r="B253" s="3289"/>
      <c r="C253" s="3445" t="s">
        <v>733</v>
      </c>
      <c r="D253" s="3290" t="s">
        <v>304</v>
      </c>
      <c r="E253" s="3290"/>
      <c r="F253" s="3415" t="s">
        <v>1324</v>
      </c>
      <c r="G253" s="3421">
        <v>9326387581</v>
      </c>
      <c r="H253" s="3422" t="s">
        <v>1325</v>
      </c>
      <c r="I253" s="3293" t="s">
        <v>736</v>
      </c>
      <c r="J253" s="3343" t="s">
        <v>73</v>
      </c>
      <c r="K253" s="3293" t="s">
        <v>138</v>
      </c>
      <c r="L253" s="3343" t="s">
        <v>1679</v>
      </c>
      <c r="M253" s="3419">
        <v>45820</v>
      </c>
      <c r="N253" s="3288">
        <v>74500</v>
      </c>
      <c r="O253" s="3288" t="s">
        <v>62</v>
      </c>
      <c r="P253" s="3288" t="s">
        <v>7</v>
      </c>
      <c r="Q253" s="3384">
        <v>0.7</v>
      </c>
      <c r="R253" s="3289"/>
      <c r="S253" s="3385"/>
      <c r="T253" s="3288"/>
      <c r="U253" s="3288"/>
      <c r="V253" s="3298">
        <f>Table6268934562[[#This Row],[Offer Value]]-Table6268934562[[#This Row],[PO Value]]</f>
        <v>74500</v>
      </c>
      <c r="W253" s="3288"/>
      <c r="X253" s="3288"/>
      <c r="Y253" s="3289"/>
      <c r="Z253" s="3084"/>
      <c r="AA253" s="3085"/>
      <c r="AB253" s="3048"/>
      <c r="AC253" s="3048"/>
      <c r="AD253" s="3048"/>
      <c r="AE253" s="3048"/>
      <c r="AF253" s="3048"/>
      <c r="AG253" s="3048"/>
      <c r="AH253" s="3048"/>
      <c r="AI253" s="3048"/>
      <c r="AJ253" s="3048"/>
      <c r="AK253" s="3048"/>
      <c r="AL253" s="3048"/>
      <c r="AM253" s="3048"/>
      <c r="AN253" s="3048"/>
      <c r="AO253" s="3048"/>
      <c r="AP253" s="3048"/>
      <c r="AQ253" s="3048"/>
      <c r="AR253" s="3048"/>
      <c r="AS253" s="3048"/>
      <c r="AT253" s="3048"/>
      <c r="AU253" s="3048"/>
    </row>
    <row r="254" spans="1:47">
      <c r="A254" s="3288">
        <v>248</v>
      </c>
      <c r="B254" s="3289"/>
      <c r="C254" s="3445" t="s">
        <v>733</v>
      </c>
      <c r="D254" s="3290" t="s">
        <v>304</v>
      </c>
      <c r="E254" s="3290"/>
      <c r="F254" s="3415" t="s">
        <v>1324</v>
      </c>
      <c r="G254" s="3421">
        <v>9326387581</v>
      </c>
      <c r="H254" s="3422" t="s">
        <v>1325</v>
      </c>
      <c r="I254" s="3293" t="s">
        <v>1330</v>
      </c>
      <c r="J254" s="3343" t="s">
        <v>73</v>
      </c>
      <c r="K254" s="3293" t="s">
        <v>138</v>
      </c>
      <c r="L254" s="3343" t="s">
        <v>1679</v>
      </c>
      <c r="M254" s="3419">
        <v>45820</v>
      </c>
      <c r="N254" s="3288">
        <v>74500</v>
      </c>
      <c r="O254" s="3288" t="s">
        <v>62</v>
      </c>
      <c r="P254" s="3288" t="s">
        <v>7</v>
      </c>
      <c r="Q254" s="3384">
        <v>0.7</v>
      </c>
      <c r="R254" s="3288"/>
      <c r="S254" s="3385"/>
      <c r="T254" s="3288"/>
      <c r="U254" s="3288"/>
      <c r="V254" s="3298">
        <f>Table6268934562[[#This Row],[Offer Value]]-Table6268934562[[#This Row],[PO Value]]</f>
        <v>74500</v>
      </c>
      <c r="W254" s="3288"/>
      <c r="X254" s="3288"/>
      <c r="Y254" s="3288"/>
      <c r="Z254" s="3084"/>
      <c r="AA254" s="3085"/>
      <c r="AB254" s="3048"/>
      <c r="AC254" s="3048"/>
      <c r="AD254" s="3048"/>
      <c r="AE254" s="3048"/>
      <c r="AF254" s="3048"/>
      <c r="AG254" s="3048"/>
      <c r="AH254" s="3048"/>
      <c r="AI254" s="3048"/>
      <c r="AJ254" s="3048"/>
      <c r="AK254" s="3048"/>
      <c r="AL254" s="3048"/>
      <c r="AM254" s="3048"/>
      <c r="AN254" s="3048"/>
      <c r="AO254" s="3048"/>
      <c r="AP254" s="3048"/>
      <c r="AQ254" s="3048"/>
      <c r="AR254" s="3048"/>
      <c r="AS254" s="3048"/>
      <c r="AT254" s="3048"/>
      <c r="AU254" s="3048"/>
    </row>
    <row r="255" spans="1:47">
      <c r="A255" s="480">
        <v>249</v>
      </c>
      <c r="B255" s="3289">
        <v>45912</v>
      </c>
      <c r="C255" s="3445" t="s">
        <v>1267</v>
      </c>
      <c r="D255" s="3290" t="s">
        <v>304</v>
      </c>
      <c r="E255" s="3290"/>
      <c r="F255" s="3290" t="s">
        <v>1529</v>
      </c>
      <c r="G255" s="3290">
        <v>9860890445</v>
      </c>
      <c r="H255" s="3342" t="s">
        <v>1680</v>
      </c>
      <c r="I255" s="3416" t="s">
        <v>1280</v>
      </c>
      <c r="J255" s="3294" t="s">
        <v>73</v>
      </c>
      <c r="K255" s="3294" t="s">
        <v>138</v>
      </c>
      <c r="L255" s="3343" t="s">
        <v>1681</v>
      </c>
      <c r="M255" s="3419">
        <v>45912</v>
      </c>
      <c r="N255" s="3288">
        <v>85700</v>
      </c>
      <c r="O255" s="3288" t="s">
        <v>62</v>
      </c>
      <c r="P255" s="3288" t="s">
        <v>7</v>
      </c>
      <c r="Q255" s="3384">
        <v>0.7</v>
      </c>
      <c r="R255" s="3288"/>
      <c r="S255" s="3385"/>
      <c r="T255" s="3288"/>
      <c r="U255" s="3288"/>
      <c r="V255" s="3298">
        <f>Table6268934562[[#This Row],[Offer Value]]-Table6268934562[[#This Row],[PO Value]]</f>
        <v>85700</v>
      </c>
      <c r="W255" s="3288"/>
      <c r="X255" s="3288"/>
      <c r="Y255" s="3288"/>
      <c r="Z255" s="3084"/>
      <c r="AA255" s="3085"/>
      <c r="AB255" s="3048"/>
      <c r="AC255" s="3048"/>
      <c r="AD255" s="3048"/>
      <c r="AE255" s="3048"/>
      <c r="AF255" s="3048"/>
      <c r="AG255" s="3048"/>
      <c r="AH255" s="3048"/>
      <c r="AI255" s="3048"/>
      <c r="AJ255" s="3048"/>
      <c r="AK255" s="3048"/>
      <c r="AL255" s="3048"/>
      <c r="AM255" s="3048"/>
      <c r="AN255" s="3048"/>
      <c r="AO255" s="3048"/>
      <c r="AP255" s="3048"/>
      <c r="AQ255" s="3048"/>
      <c r="AR255" s="3048"/>
      <c r="AS255" s="3048"/>
      <c r="AT255" s="3048"/>
      <c r="AU255" s="3048"/>
    </row>
    <row r="256" spans="1:47">
      <c r="A256" s="480">
        <v>250</v>
      </c>
      <c r="B256" s="3289"/>
      <c r="C256" s="3445" t="s">
        <v>1267</v>
      </c>
      <c r="D256" s="3290" t="s">
        <v>304</v>
      </c>
      <c r="E256" s="3290"/>
      <c r="F256" s="3290" t="s">
        <v>1529</v>
      </c>
      <c r="G256" s="3290">
        <v>9860890445</v>
      </c>
      <c r="H256" s="3342" t="s">
        <v>1680</v>
      </c>
      <c r="I256" s="3416" t="s">
        <v>1271</v>
      </c>
      <c r="J256" s="3294" t="s">
        <v>73</v>
      </c>
      <c r="K256" s="3294" t="s">
        <v>138</v>
      </c>
      <c r="L256" s="3343" t="s">
        <v>1681</v>
      </c>
      <c r="M256" s="3419">
        <v>45912</v>
      </c>
      <c r="N256" s="3288">
        <v>85700</v>
      </c>
      <c r="O256" s="3288" t="s">
        <v>62</v>
      </c>
      <c r="P256" s="3288" t="s">
        <v>7</v>
      </c>
      <c r="Q256" s="3384">
        <v>0.7</v>
      </c>
      <c r="R256" s="3288"/>
      <c r="S256" s="3385"/>
      <c r="T256" s="3288"/>
      <c r="U256" s="3288"/>
      <c r="V256" s="3298">
        <f>Table6268934562[[#This Row],[Offer Value]]-Table6268934562[[#This Row],[PO Value]]</f>
        <v>85700</v>
      </c>
      <c r="W256" s="3288"/>
      <c r="X256" s="3288"/>
      <c r="Y256" s="3288"/>
      <c r="Z256" s="3084"/>
      <c r="AA256" s="3085"/>
      <c r="AB256" s="3048"/>
      <c r="AC256" s="3048"/>
      <c r="AD256" s="3048"/>
      <c r="AE256" s="3048"/>
      <c r="AF256" s="3048"/>
      <c r="AG256" s="3048"/>
      <c r="AH256" s="3048"/>
      <c r="AI256" s="3048"/>
      <c r="AJ256" s="3048"/>
      <c r="AK256" s="3048"/>
      <c r="AL256" s="3048"/>
      <c r="AM256" s="3048"/>
      <c r="AN256" s="3048"/>
      <c r="AO256" s="3048"/>
      <c r="AP256" s="3048"/>
      <c r="AQ256" s="3048"/>
      <c r="AR256" s="3048"/>
      <c r="AS256" s="3048"/>
      <c r="AT256" s="3048"/>
      <c r="AU256" s="3048"/>
    </row>
    <row r="257" spans="1:47">
      <c r="A257" s="3288">
        <v>251</v>
      </c>
      <c r="B257" s="3289"/>
      <c r="C257" s="3445" t="s">
        <v>1267</v>
      </c>
      <c r="D257" s="3290" t="s">
        <v>304</v>
      </c>
      <c r="E257" s="3290"/>
      <c r="F257" s="3290" t="s">
        <v>1529</v>
      </c>
      <c r="G257" s="3290">
        <v>9860890445</v>
      </c>
      <c r="H257" s="3342" t="s">
        <v>1680</v>
      </c>
      <c r="I257" s="3416" t="s">
        <v>1279</v>
      </c>
      <c r="J257" s="3294" t="s">
        <v>73</v>
      </c>
      <c r="K257" s="3294" t="s">
        <v>138</v>
      </c>
      <c r="L257" s="3343" t="s">
        <v>1681</v>
      </c>
      <c r="M257" s="3419">
        <v>45912</v>
      </c>
      <c r="N257" s="3288">
        <v>85700</v>
      </c>
      <c r="O257" s="3288" t="s">
        <v>62</v>
      </c>
      <c r="P257" s="3288" t="s">
        <v>7</v>
      </c>
      <c r="Q257" s="3384">
        <v>0.7</v>
      </c>
      <c r="R257" s="3288"/>
      <c r="S257" s="3385"/>
      <c r="T257" s="3288"/>
      <c r="U257" s="3288"/>
      <c r="V257" s="3298">
        <f>Table6268934562[[#This Row],[Offer Value]]-Table6268934562[[#This Row],[PO Value]]</f>
        <v>85700</v>
      </c>
      <c r="W257" s="3288"/>
      <c r="X257" s="3288"/>
      <c r="Y257" s="3288"/>
      <c r="Z257" s="3084"/>
      <c r="AA257" s="3085"/>
      <c r="AB257" s="3048"/>
      <c r="AC257" s="3048"/>
      <c r="AD257" s="3048"/>
      <c r="AE257" s="3048"/>
      <c r="AF257" s="3048"/>
      <c r="AG257" s="3048"/>
      <c r="AH257" s="3048"/>
      <c r="AI257" s="3048"/>
      <c r="AJ257" s="3048"/>
      <c r="AK257" s="3048"/>
      <c r="AL257" s="3048"/>
      <c r="AM257" s="3048"/>
      <c r="AN257" s="3048"/>
      <c r="AO257" s="3048"/>
      <c r="AP257" s="3048"/>
      <c r="AQ257" s="3048"/>
      <c r="AR257" s="3048"/>
      <c r="AS257" s="3048"/>
      <c r="AT257" s="3048"/>
      <c r="AU257" s="3048"/>
    </row>
    <row r="258" spans="1:47">
      <c r="A258" s="3288">
        <v>252</v>
      </c>
      <c r="B258" s="3289"/>
      <c r="C258" s="3445" t="s">
        <v>1267</v>
      </c>
      <c r="D258" s="3290" t="s">
        <v>304</v>
      </c>
      <c r="E258" s="3290"/>
      <c r="F258" s="3290" t="s">
        <v>1529</v>
      </c>
      <c r="G258" s="3290">
        <v>9860890445</v>
      </c>
      <c r="H258" s="3342" t="s">
        <v>1680</v>
      </c>
      <c r="I258" s="3416" t="s">
        <v>1281</v>
      </c>
      <c r="J258" s="3294" t="s">
        <v>73</v>
      </c>
      <c r="K258" s="3294" t="s">
        <v>138</v>
      </c>
      <c r="L258" s="3343" t="s">
        <v>1681</v>
      </c>
      <c r="M258" s="3419">
        <v>45912</v>
      </c>
      <c r="N258" s="3288">
        <v>85700</v>
      </c>
      <c r="O258" s="3288" t="s">
        <v>62</v>
      </c>
      <c r="P258" s="3288" t="s">
        <v>7</v>
      </c>
      <c r="Q258" s="3384">
        <v>0.7</v>
      </c>
      <c r="R258" s="3288"/>
      <c r="S258" s="3385"/>
      <c r="T258" s="3288"/>
      <c r="U258" s="3288"/>
      <c r="V258" s="3298">
        <f>Table6268934562[[#This Row],[Offer Value]]-Table6268934562[[#This Row],[PO Value]]</f>
        <v>85700</v>
      </c>
      <c r="W258" s="3288"/>
      <c r="X258" s="3288"/>
      <c r="Y258" s="3288"/>
      <c r="Z258" s="3084"/>
      <c r="AA258" s="3085"/>
      <c r="AB258" s="3048"/>
      <c r="AC258" s="3048"/>
      <c r="AD258" s="3048"/>
      <c r="AE258" s="3048"/>
      <c r="AF258" s="3048"/>
      <c r="AG258" s="3048"/>
      <c r="AH258" s="3048"/>
      <c r="AI258" s="3048"/>
      <c r="AJ258" s="3048"/>
      <c r="AK258" s="3048"/>
      <c r="AL258" s="3048"/>
      <c r="AM258" s="3048"/>
      <c r="AN258" s="3048"/>
      <c r="AO258" s="3048"/>
      <c r="AP258" s="3048"/>
      <c r="AQ258" s="3048"/>
      <c r="AR258" s="3048"/>
      <c r="AS258" s="3048"/>
      <c r="AT258" s="3048"/>
      <c r="AU258" s="3048"/>
    </row>
    <row r="259" spans="1:47">
      <c r="A259" s="480">
        <v>253</v>
      </c>
      <c r="B259" s="3289">
        <v>45912</v>
      </c>
      <c r="C259" s="3445" t="s">
        <v>687</v>
      </c>
      <c r="D259" s="3290" t="s">
        <v>304</v>
      </c>
      <c r="E259" s="3290"/>
      <c r="F259" s="3291" t="s">
        <v>1339</v>
      </c>
      <c r="G259" s="3291">
        <v>9422906585</v>
      </c>
      <c r="H259" s="3423" t="s">
        <v>1340</v>
      </c>
      <c r="I259" s="3293" t="s">
        <v>1341</v>
      </c>
      <c r="J259" s="3294" t="s">
        <v>73</v>
      </c>
      <c r="K259" s="3294" t="s">
        <v>812</v>
      </c>
      <c r="L259" s="3343" t="s">
        <v>1682</v>
      </c>
      <c r="M259" s="3419">
        <v>45912</v>
      </c>
      <c r="N259" s="3288">
        <v>80000</v>
      </c>
      <c r="O259" s="3288" t="s">
        <v>62</v>
      </c>
      <c r="P259" s="3288" t="s">
        <v>7</v>
      </c>
      <c r="Q259" s="3384">
        <v>0.7</v>
      </c>
      <c r="R259" s="3289"/>
      <c r="S259" s="3385"/>
      <c r="T259" s="3288"/>
      <c r="U259" s="3288"/>
      <c r="V259" s="3298">
        <f>Table6268934562[[#This Row],[Offer Value]]-Table6268934562[[#This Row],[PO Value]]</f>
        <v>80000</v>
      </c>
      <c r="W259" s="3288"/>
      <c r="X259" s="3288"/>
      <c r="Y259" s="3289"/>
      <c r="Z259" s="3084"/>
      <c r="AA259" s="3085"/>
      <c r="AB259" s="3048"/>
      <c r="AC259" s="3048"/>
      <c r="AD259" s="3048"/>
      <c r="AE259" s="3048"/>
      <c r="AF259" s="3048"/>
      <c r="AG259" s="3048"/>
      <c r="AH259" s="3048"/>
      <c r="AI259" s="3048"/>
      <c r="AJ259" s="3048"/>
      <c r="AK259" s="3048"/>
      <c r="AL259" s="3048"/>
      <c r="AM259" s="3048"/>
      <c r="AN259" s="3048"/>
      <c r="AO259" s="3048"/>
      <c r="AP259" s="3048"/>
      <c r="AQ259" s="3048"/>
      <c r="AR259" s="3048"/>
      <c r="AS259" s="3048"/>
      <c r="AT259" s="3048"/>
      <c r="AU259" s="3048"/>
    </row>
    <row r="260" spans="1:47">
      <c r="A260" s="480">
        <v>254</v>
      </c>
      <c r="B260" s="3289"/>
      <c r="C260" s="3445" t="s">
        <v>687</v>
      </c>
      <c r="D260" s="3290" t="s">
        <v>304</v>
      </c>
      <c r="E260" s="3290"/>
      <c r="F260" s="3291" t="s">
        <v>1339</v>
      </c>
      <c r="G260" s="3291">
        <v>9422906585</v>
      </c>
      <c r="H260" s="3423" t="s">
        <v>1340</v>
      </c>
      <c r="I260" s="3293" t="s">
        <v>1344</v>
      </c>
      <c r="J260" s="3294" t="s">
        <v>73</v>
      </c>
      <c r="K260" s="3294" t="s">
        <v>812</v>
      </c>
      <c r="L260" s="3343" t="s">
        <v>1682</v>
      </c>
      <c r="M260" s="3419">
        <v>45912</v>
      </c>
      <c r="N260" s="3288">
        <v>80000</v>
      </c>
      <c r="O260" s="3288" t="s">
        <v>62</v>
      </c>
      <c r="P260" s="3288" t="s">
        <v>7</v>
      </c>
      <c r="Q260" s="3384">
        <v>0.7</v>
      </c>
      <c r="R260" s="3288"/>
      <c r="S260" s="3385"/>
      <c r="T260" s="3288"/>
      <c r="U260" s="3288"/>
      <c r="V260" s="3298">
        <f>Table6268934562[[#This Row],[Offer Value]]-Table6268934562[[#This Row],[PO Value]]</f>
        <v>80000</v>
      </c>
      <c r="W260" s="3288"/>
      <c r="X260" s="3288"/>
      <c r="Y260" s="3288"/>
      <c r="Z260" s="3084"/>
      <c r="AA260" s="3085"/>
      <c r="AB260" s="3048"/>
      <c r="AC260" s="3048"/>
      <c r="AD260" s="3048"/>
      <c r="AE260" s="3048"/>
      <c r="AF260" s="3048"/>
      <c r="AG260" s="3048"/>
      <c r="AH260" s="3048"/>
      <c r="AI260" s="3048"/>
      <c r="AJ260" s="3048"/>
      <c r="AK260" s="3048"/>
      <c r="AL260" s="3048"/>
      <c r="AM260" s="3048"/>
      <c r="AN260" s="3048"/>
      <c r="AO260" s="3048"/>
      <c r="AP260" s="3048"/>
      <c r="AQ260" s="3048"/>
      <c r="AR260" s="3048"/>
      <c r="AS260" s="3048"/>
      <c r="AT260" s="3048"/>
      <c r="AU260" s="3048"/>
    </row>
    <row r="261" spans="1:47">
      <c r="A261" s="3288">
        <v>255</v>
      </c>
      <c r="B261" s="3289"/>
      <c r="C261" s="3445" t="s">
        <v>687</v>
      </c>
      <c r="D261" s="3290" t="s">
        <v>304</v>
      </c>
      <c r="E261" s="3290"/>
      <c r="F261" s="3291" t="s">
        <v>1339</v>
      </c>
      <c r="G261" s="3291">
        <v>9422906585</v>
      </c>
      <c r="H261" s="3423" t="s">
        <v>1340</v>
      </c>
      <c r="I261" s="3293" t="s">
        <v>1345</v>
      </c>
      <c r="J261" s="3294" t="s">
        <v>73</v>
      </c>
      <c r="K261" s="3294" t="s">
        <v>812</v>
      </c>
      <c r="L261" s="3343" t="s">
        <v>1682</v>
      </c>
      <c r="M261" s="3419">
        <v>45912</v>
      </c>
      <c r="N261" s="3288">
        <v>80000</v>
      </c>
      <c r="O261" s="3288" t="s">
        <v>62</v>
      </c>
      <c r="P261" s="3288" t="s">
        <v>7</v>
      </c>
      <c r="Q261" s="3384">
        <v>0.7</v>
      </c>
      <c r="R261" s="3288"/>
      <c r="S261" s="3385"/>
      <c r="T261" s="3288"/>
      <c r="U261" s="3288"/>
      <c r="V261" s="3298">
        <f>Table6268934562[[#This Row],[Offer Value]]-Table6268934562[[#This Row],[PO Value]]</f>
        <v>80000</v>
      </c>
      <c r="W261" s="3288"/>
      <c r="X261" s="3288"/>
      <c r="Y261" s="3288"/>
      <c r="Z261" s="3084"/>
      <c r="AA261" s="3085"/>
      <c r="AB261" s="3048"/>
      <c r="AC261" s="3048"/>
      <c r="AD261" s="3048"/>
      <c r="AE261" s="3048"/>
      <c r="AF261" s="3048"/>
      <c r="AG261" s="3048"/>
      <c r="AH261" s="3048"/>
      <c r="AI261" s="3048"/>
      <c r="AJ261" s="3048"/>
      <c r="AK261" s="3048"/>
      <c r="AL261" s="3048"/>
      <c r="AM261" s="3048"/>
      <c r="AN261" s="3048"/>
      <c r="AO261" s="3048"/>
      <c r="AP261" s="3048"/>
      <c r="AQ261" s="3048"/>
      <c r="AR261" s="3048"/>
      <c r="AS261" s="3048"/>
      <c r="AT261" s="3048"/>
      <c r="AU261" s="3048"/>
    </row>
    <row r="262" spans="1:47">
      <c r="A262" s="3288">
        <v>256</v>
      </c>
      <c r="B262" s="3289"/>
      <c r="C262" s="3445" t="s">
        <v>687</v>
      </c>
      <c r="D262" s="3290" t="s">
        <v>304</v>
      </c>
      <c r="E262" s="3290"/>
      <c r="F262" s="3291" t="s">
        <v>1339</v>
      </c>
      <c r="G262" s="3291">
        <v>9422906585</v>
      </c>
      <c r="H262" s="3423" t="s">
        <v>1340</v>
      </c>
      <c r="I262" s="3293" t="s">
        <v>1346</v>
      </c>
      <c r="J262" s="3294" t="s">
        <v>73</v>
      </c>
      <c r="K262" s="3294" t="s">
        <v>812</v>
      </c>
      <c r="L262" s="3343" t="s">
        <v>1682</v>
      </c>
      <c r="M262" s="3419">
        <v>45912</v>
      </c>
      <c r="N262" s="3288">
        <v>80000</v>
      </c>
      <c r="O262" s="3288" t="s">
        <v>62</v>
      </c>
      <c r="P262" s="3288" t="s">
        <v>7</v>
      </c>
      <c r="Q262" s="3384">
        <v>0.7</v>
      </c>
      <c r="R262" s="3289"/>
      <c r="S262" s="3385"/>
      <c r="T262" s="3288"/>
      <c r="U262" s="3288"/>
      <c r="V262" s="3298">
        <f>Table6268934562[[#This Row],[Offer Value]]-Table6268934562[[#This Row],[PO Value]]</f>
        <v>80000</v>
      </c>
      <c r="W262" s="3288"/>
      <c r="X262" s="3288"/>
      <c r="Y262" s="3289"/>
      <c r="Z262" s="3084"/>
      <c r="AA262" s="3085"/>
      <c r="AB262" s="3048"/>
      <c r="AC262" s="3048"/>
      <c r="AD262" s="3048"/>
      <c r="AE262" s="3048"/>
      <c r="AF262" s="3048"/>
      <c r="AG262" s="3048"/>
      <c r="AH262" s="3048"/>
      <c r="AI262" s="3048"/>
      <c r="AJ262" s="3048"/>
      <c r="AK262" s="3048"/>
      <c r="AL262" s="3048"/>
      <c r="AM262" s="3048"/>
      <c r="AN262" s="3048"/>
      <c r="AO262" s="3048"/>
      <c r="AP262" s="3048"/>
      <c r="AQ262" s="3048"/>
      <c r="AR262" s="3048"/>
      <c r="AS262" s="3048"/>
      <c r="AT262" s="3048"/>
      <c r="AU262" s="3048"/>
    </row>
    <row r="263" spans="1:47">
      <c r="A263" s="480">
        <v>257</v>
      </c>
      <c r="B263" s="3289" t="s">
        <v>1683</v>
      </c>
      <c r="C263" s="3445" t="s">
        <v>173</v>
      </c>
      <c r="D263" s="3290" t="s">
        <v>1175</v>
      </c>
      <c r="E263" s="3290"/>
      <c r="F263" s="3290" t="s">
        <v>1684</v>
      </c>
      <c r="G263" s="3290">
        <v>7757057351</v>
      </c>
      <c r="H263" s="3342" t="s">
        <v>1232</v>
      </c>
      <c r="I263" s="3416" t="s">
        <v>1233</v>
      </c>
      <c r="J263" s="3294" t="s">
        <v>73</v>
      </c>
      <c r="K263" s="3294" t="s">
        <v>812</v>
      </c>
      <c r="L263" s="3343" t="s">
        <v>1685</v>
      </c>
      <c r="M263" s="3419" t="s">
        <v>1683</v>
      </c>
      <c r="N263" s="3288">
        <v>97200</v>
      </c>
      <c r="O263" s="3288" t="s">
        <v>62</v>
      </c>
      <c r="P263" s="3288" t="s">
        <v>7</v>
      </c>
      <c r="Q263" s="3384">
        <v>0.7</v>
      </c>
      <c r="R263" s="3289"/>
      <c r="S263" s="3385"/>
      <c r="T263" s="3288"/>
      <c r="U263" s="3288"/>
      <c r="V263" s="3298">
        <f>Table6268934562[[#This Row],[Offer Value]]-Table6268934562[[#This Row],[PO Value]]</f>
        <v>97200</v>
      </c>
      <c r="W263" s="3288"/>
      <c r="X263" s="3288"/>
      <c r="Y263" s="3289"/>
      <c r="Z263" s="3084"/>
      <c r="AA263" s="3085"/>
      <c r="AB263" s="3048"/>
      <c r="AC263" s="3048"/>
      <c r="AD263" s="3048"/>
      <c r="AE263" s="3048"/>
      <c r="AF263" s="3048"/>
      <c r="AG263" s="3048"/>
      <c r="AH263" s="3048"/>
      <c r="AI263" s="3048"/>
      <c r="AJ263" s="3048"/>
      <c r="AK263" s="3048"/>
      <c r="AL263" s="3048"/>
      <c r="AM263" s="3048"/>
      <c r="AN263" s="3048"/>
      <c r="AO263" s="3048"/>
      <c r="AP263" s="3048"/>
      <c r="AQ263" s="3048"/>
      <c r="AR263" s="3048"/>
      <c r="AS263" s="3048"/>
      <c r="AT263" s="3048"/>
      <c r="AU263" s="3048"/>
    </row>
    <row r="264" spans="1:47">
      <c r="A264" s="480">
        <v>258</v>
      </c>
      <c r="B264" s="3289" t="s">
        <v>1683</v>
      </c>
      <c r="C264" s="3445" t="s">
        <v>687</v>
      </c>
      <c r="D264" s="3290" t="s">
        <v>1158</v>
      </c>
      <c r="E264" s="3290"/>
      <c r="F264" s="3291" t="s">
        <v>1223</v>
      </c>
      <c r="G264" s="3291">
        <v>9850225626</v>
      </c>
      <c r="H264" s="3390" t="s">
        <v>1224</v>
      </c>
      <c r="I264" s="3290" t="s">
        <v>1462</v>
      </c>
      <c r="J264" s="3294" t="s">
        <v>80</v>
      </c>
      <c r="K264" s="3294" t="s">
        <v>157</v>
      </c>
      <c r="L264" s="3293" t="s">
        <v>1686</v>
      </c>
      <c r="M264" s="3290" t="s">
        <v>1683</v>
      </c>
      <c r="N264" s="3288">
        <v>443800</v>
      </c>
      <c r="O264" s="3288" t="s">
        <v>62</v>
      </c>
      <c r="P264" s="3288" t="s">
        <v>25</v>
      </c>
      <c r="Q264" s="3384">
        <v>0.4</v>
      </c>
      <c r="R264" s="3288"/>
      <c r="S264" s="3385"/>
      <c r="T264" s="3288"/>
      <c r="U264" s="3288"/>
      <c r="V264" s="3298">
        <f>Table6268934562[[#This Row],[Offer Value]]-Table6268934562[[#This Row],[PO Value]]</f>
        <v>443800</v>
      </c>
      <c r="W264" s="3288"/>
      <c r="X264" s="3288"/>
      <c r="Y264" s="3288"/>
      <c r="Z264" s="3084"/>
      <c r="AA264" s="3085"/>
      <c r="AB264" s="3048"/>
      <c r="AC264" s="3048"/>
      <c r="AD264" s="3048"/>
      <c r="AE264" s="3048"/>
      <c r="AF264" s="3048"/>
      <c r="AG264" s="3048"/>
      <c r="AH264" s="3048"/>
      <c r="AI264" s="3048"/>
      <c r="AJ264" s="3048"/>
      <c r="AK264" s="3048"/>
      <c r="AL264" s="3048"/>
      <c r="AM264" s="3048"/>
      <c r="AN264" s="3048"/>
      <c r="AO264" s="3048"/>
      <c r="AP264" s="3048"/>
      <c r="AQ264" s="3048"/>
      <c r="AR264" s="3048"/>
      <c r="AS264" s="3048"/>
      <c r="AT264" s="3048"/>
      <c r="AU264" s="3048"/>
    </row>
    <row r="265" spans="1:47">
      <c r="A265" s="3288">
        <v>259</v>
      </c>
      <c r="B265" s="3289" t="s">
        <v>1683</v>
      </c>
      <c r="C265" s="3445" t="s">
        <v>1687</v>
      </c>
      <c r="D265" s="3290" t="s">
        <v>304</v>
      </c>
      <c r="E265" s="3290"/>
      <c r="F265" s="3290" t="s">
        <v>1688</v>
      </c>
      <c r="G265" s="3460">
        <v>9769361395</v>
      </c>
      <c r="H265" s="3342" t="s">
        <v>1689</v>
      </c>
      <c r="I265" s="3416" t="s">
        <v>1690</v>
      </c>
      <c r="J265" s="3294" t="s">
        <v>73</v>
      </c>
      <c r="K265" s="3294" t="s">
        <v>385</v>
      </c>
      <c r="L265" s="3343" t="s">
        <v>1691</v>
      </c>
      <c r="M265" s="3290" t="s">
        <v>1683</v>
      </c>
      <c r="N265" s="3288">
        <v>80000</v>
      </c>
      <c r="O265" s="3288" t="s">
        <v>62</v>
      </c>
      <c r="P265" s="3288" t="s">
        <v>7</v>
      </c>
      <c r="Q265" s="3384">
        <v>0.7</v>
      </c>
      <c r="R265" s="3289"/>
      <c r="S265" s="3385"/>
      <c r="T265" s="3288"/>
      <c r="U265" s="3288"/>
      <c r="V265" s="3298">
        <f>Table6268934562[[#This Row],[Offer Value]]-Table6268934562[[#This Row],[PO Value]]</f>
        <v>80000</v>
      </c>
      <c r="W265" s="3288"/>
      <c r="X265" s="3288"/>
      <c r="Y265" s="3289"/>
      <c r="Z265" s="3084"/>
      <c r="AA265" s="3085"/>
      <c r="AB265" s="3048"/>
      <c r="AC265" s="3048"/>
      <c r="AD265" s="3048"/>
      <c r="AE265" s="3048"/>
      <c r="AF265" s="3048"/>
      <c r="AG265" s="3048"/>
      <c r="AH265" s="3048"/>
      <c r="AI265" s="3048"/>
      <c r="AJ265" s="3048"/>
      <c r="AK265" s="3048"/>
      <c r="AL265" s="3048"/>
      <c r="AM265" s="3048"/>
      <c r="AN265" s="3048"/>
      <c r="AO265" s="3048"/>
      <c r="AP265" s="3048"/>
      <c r="AQ265" s="3048"/>
      <c r="AR265" s="3048"/>
      <c r="AS265" s="3048"/>
      <c r="AT265" s="3048"/>
      <c r="AU265" s="3048"/>
    </row>
    <row r="266" spans="1:47">
      <c r="A266" s="3288">
        <v>260</v>
      </c>
      <c r="B266" s="3288" t="s">
        <v>1692</v>
      </c>
      <c r="C266" s="3445" t="s">
        <v>1250</v>
      </c>
      <c r="D266" s="3290" t="s">
        <v>1158</v>
      </c>
      <c r="E266" s="3290"/>
      <c r="F266" s="3290" t="s">
        <v>1360</v>
      </c>
      <c r="G266" s="3290">
        <v>9595134464</v>
      </c>
      <c r="H266" s="3382" t="s">
        <v>1361</v>
      </c>
      <c r="I266" s="3293" t="s">
        <v>1457</v>
      </c>
      <c r="J266" s="3343" t="s">
        <v>75</v>
      </c>
      <c r="K266" s="3294" t="s">
        <v>385</v>
      </c>
      <c r="L266" s="3290" t="s">
        <v>1693</v>
      </c>
      <c r="M266" s="3290" t="s">
        <v>1694</v>
      </c>
      <c r="N266" s="3288">
        <v>238100</v>
      </c>
      <c r="O266" s="3288" t="s">
        <v>62</v>
      </c>
      <c r="P266" s="3288" t="s">
        <v>7</v>
      </c>
      <c r="Q266" s="3384">
        <v>0.5</v>
      </c>
      <c r="R266" s="3288"/>
      <c r="S266" s="3385"/>
      <c r="T266" s="3288"/>
      <c r="U266" s="3288"/>
      <c r="V266" s="3298">
        <f>Table6268934562[[#This Row],[Offer Value]]-Table6268934562[[#This Row],[PO Value]]</f>
        <v>238100</v>
      </c>
      <c r="W266" s="3288"/>
      <c r="X266" s="3288"/>
      <c r="Y266" s="3288"/>
      <c r="Z266" s="3084"/>
      <c r="AA266" s="3085"/>
      <c r="AB266" s="3048"/>
      <c r="AC266" s="3048"/>
      <c r="AD266" s="3048"/>
      <c r="AE266" s="3048"/>
      <c r="AF266" s="3048"/>
      <c r="AG266" s="3048"/>
      <c r="AH266" s="3048"/>
      <c r="AI266" s="3048"/>
      <c r="AJ266" s="3048"/>
      <c r="AK266" s="3048"/>
      <c r="AL266" s="3048"/>
      <c r="AM266" s="3048"/>
      <c r="AN266" s="3048"/>
      <c r="AO266" s="3048"/>
      <c r="AP266" s="3048"/>
      <c r="AQ266" s="3048"/>
      <c r="AR266" s="3048"/>
      <c r="AS266" s="3048"/>
      <c r="AT266" s="3048"/>
      <c r="AU266" s="3048"/>
    </row>
    <row r="267" spans="1:47">
      <c r="A267" s="480">
        <v>261</v>
      </c>
      <c r="B267" s="3288" t="s">
        <v>1675</v>
      </c>
      <c r="C267" s="3445" t="s">
        <v>427</v>
      </c>
      <c r="D267" s="3290" t="s">
        <v>1445</v>
      </c>
      <c r="E267" s="3290"/>
      <c r="F267" s="3290" t="s">
        <v>1446</v>
      </c>
      <c r="G267" s="3290">
        <v>8805061137</v>
      </c>
      <c r="H267" s="3382" t="s">
        <v>1447</v>
      </c>
      <c r="I267" s="3293" t="s">
        <v>1448</v>
      </c>
      <c r="J267" s="3343" t="s">
        <v>80</v>
      </c>
      <c r="K267" s="3293" t="s">
        <v>157</v>
      </c>
      <c r="L267" s="3293" t="s">
        <v>1695</v>
      </c>
      <c r="M267" s="3419" t="s">
        <v>1675</v>
      </c>
      <c r="N267" s="3288">
        <v>780900</v>
      </c>
      <c r="O267" s="3288" t="s">
        <v>62</v>
      </c>
      <c r="P267" s="3288" t="s">
        <v>25</v>
      </c>
      <c r="Q267" s="3384">
        <v>0.4</v>
      </c>
      <c r="R267" s="3288"/>
      <c r="S267" s="3385"/>
      <c r="T267" s="3288"/>
      <c r="U267" s="3288"/>
      <c r="V267" s="3298">
        <f>Table6268934562[[#This Row],[Offer Value]]-Table6268934562[[#This Row],[PO Value]]</f>
        <v>780900</v>
      </c>
      <c r="W267" s="3288"/>
      <c r="X267" s="3288"/>
      <c r="Y267" s="3288"/>
      <c r="Z267" s="3084"/>
      <c r="AA267" s="3085"/>
      <c r="AB267" s="3048"/>
      <c r="AC267" s="3048"/>
      <c r="AD267" s="3048"/>
      <c r="AE267" s="3048"/>
      <c r="AF267" s="3048"/>
      <c r="AG267" s="3048"/>
      <c r="AH267" s="3048"/>
      <c r="AI267" s="3048"/>
      <c r="AJ267" s="3048"/>
      <c r="AK267" s="3048"/>
      <c r="AL267" s="3048"/>
      <c r="AM267" s="3048"/>
      <c r="AN267" s="3048"/>
      <c r="AO267" s="3048"/>
      <c r="AP267" s="3048"/>
      <c r="AQ267" s="3048"/>
      <c r="AR267" s="3048"/>
      <c r="AS267" s="3048"/>
      <c r="AT267" s="3048"/>
      <c r="AU267" s="3048"/>
    </row>
    <row r="268" spans="1:47">
      <c r="A268" s="480">
        <v>262</v>
      </c>
      <c r="B268" s="3288" t="s">
        <v>1678</v>
      </c>
      <c r="C268" s="3445" t="s">
        <v>782</v>
      </c>
      <c r="D268" s="3290" t="s">
        <v>1640</v>
      </c>
      <c r="E268" s="3290"/>
      <c r="F268" s="3291" t="s">
        <v>1641</v>
      </c>
      <c r="G268" s="3291">
        <v>9049668781</v>
      </c>
      <c r="H268" s="3390" t="s">
        <v>1642</v>
      </c>
      <c r="I268" s="3461" t="s">
        <v>1643</v>
      </c>
      <c r="J268" s="3343" t="s">
        <v>79</v>
      </c>
      <c r="K268" s="3343" t="s">
        <v>138</v>
      </c>
      <c r="L268" s="3293" t="s">
        <v>1696</v>
      </c>
      <c r="M268" s="3419">
        <v>45912</v>
      </c>
      <c r="N268" s="3288">
        <v>28500</v>
      </c>
      <c r="O268" s="3288" t="s">
        <v>62</v>
      </c>
      <c r="P268" s="3288" t="s">
        <v>7</v>
      </c>
      <c r="Q268" s="3384">
        <v>0.4</v>
      </c>
      <c r="R268" s="3288"/>
      <c r="S268" s="3385"/>
      <c r="T268" s="3288"/>
      <c r="U268" s="3288"/>
      <c r="V268" s="3298">
        <f>Table6268934562[[#This Row],[Offer Value]]-Table6268934562[[#This Row],[PO Value]]</f>
        <v>28500</v>
      </c>
      <c r="W268" s="3288"/>
      <c r="X268" s="3288"/>
      <c r="Y268" s="3288"/>
      <c r="Z268" s="3084"/>
      <c r="AA268" s="3085"/>
      <c r="AB268" s="3048"/>
      <c r="AC268" s="3048"/>
      <c r="AD268" s="3048"/>
      <c r="AE268" s="3048"/>
      <c r="AF268" s="3048"/>
      <c r="AG268" s="3048"/>
      <c r="AH268" s="3048"/>
      <c r="AI268" s="3048"/>
      <c r="AJ268" s="3048"/>
      <c r="AK268" s="3048"/>
      <c r="AL268" s="3048"/>
      <c r="AM268" s="3048"/>
      <c r="AN268" s="3048"/>
      <c r="AO268" s="3048"/>
      <c r="AP268" s="3048"/>
      <c r="AQ268" s="3048"/>
      <c r="AR268" s="3048"/>
      <c r="AS268" s="3048"/>
      <c r="AT268" s="3048"/>
      <c r="AU268" s="3048"/>
    </row>
    <row r="269" spans="1:47">
      <c r="A269" s="3288">
        <v>263</v>
      </c>
      <c r="B269" s="3288"/>
      <c r="C269" s="3445"/>
      <c r="D269" s="3290"/>
      <c r="E269" s="3290"/>
      <c r="F269" s="3290"/>
      <c r="G269" s="3290"/>
      <c r="H269" s="3290"/>
      <c r="I269" s="3290"/>
      <c r="J269" s="3343"/>
      <c r="K269" s="3343"/>
      <c r="L269" s="3290"/>
      <c r="M269" s="3290"/>
      <c r="N269" s="3288"/>
      <c r="O269" s="3288"/>
      <c r="P269" s="3288"/>
      <c r="Q269" s="3384"/>
      <c r="R269" s="3288"/>
      <c r="S269" s="3385"/>
      <c r="T269" s="3288"/>
      <c r="U269" s="3288"/>
      <c r="V269" s="3298">
        <f>Table6268934562[[#This Row],[Offer Value]]-Table6268934562[[#This Row],[PO Value]]</f>
        <v>0</v>
      </c>
      <c r="W269" s="3288"/>
      <c r="X269" s="3288"/>
      <c r="Y269" s="3288"/>
      <c r="Z269" s="3066"/>
      <c r="AA269" s="3075"/>
      <c r="AB269" s="3048"/>
      <c r="AC269" s="3048"/>
      <c r="AD269" s="3048"/>
      <c r="AE269" s="3048"/>
      <c r="AF269" s="3048"/>
      <c r="AG269" s="3048"/>
      <c r="AH269" s="3048"/>
      <c r="AI269" s="3048"/>
      <c r="AJ269" s="3048"/>
      <c r="AK269" s="3048"/>
      <c r="AL269" s="3048"/>
      <c r="AM269" s="3048"/>
      <c r="AN269" s="3048"/>
      <c r="AO269" s="3048"/>
      <c r="AP269" s="3048"/>
      <c r="AQ269" s="3048"/>
      <c r="AR269" s="3048"/>
      <c r="AS269" s="3048"/>
      <c r="AT269" s="3048"/>
      <c r="AU269" s="3048"/>
    </row>
    <row r="270" spans="1:47">
      <c r="A270" s="3288">
        <v>264</v>
      </c>
      <c r="B270" s="3288"/>
      <c r="C270" s="3445"/>
      <c r="D270" s="3290"/>
      <c r="E270" s="3290"/>
      <c r="F270" s="3290"/>
      <c r="G270" s="3290"/>
      <c r="H270" s="3290"/>
      <c r="I270" s="3290"/>
      <c r="J270" s="3343"/>
      <c r="K270" s="3343"/>
      <c r="L270" s="3290"/>
      <c r="M270" s="3290"/>
      <c r="N270" s="3288"/>
      <c r="O270" s="3288"/>
      <c r="P270" s="3288"/>
      <c r="Q270" s="3384"/>
      <c r="R270" s="3288"/>
      <c r="S270" s="3385"/>
      <c r="T270" s="3288"/>
      <c r="U270" s="3288"/>
      <c r="V270" s="3298">
        <f>Table6268934562[[#This Row],[Offer Value]]-Table6268934562[[#This Row],[PO Value]]</f>
        <v>0</v>
      </c>
      <c r="W270" s="3288"/>
      <c r="X270" s="3288"/>
      <c r="Y270" s="3288"/>
      <c r="Z270" s="3066"/>
      <c r="AA270" s="3075"/>
      <c r="AB270" s="3048"/>
      <c r="AC270" s="3048"/>
      <c r="AD270" s="3048"/>
      <c r="AE270" s="3048"/>
      <c r="AF270" s="3048"/>
      <c r="AG270" s="3048"/>
      <c r="AH270" s="3048"/>
      <c r="AI270" s="3048"/>
      <c r="AJ270" s="3048"/>
      <c r="AK270" s="3048"/>
      <c r="AL270" s="3048"/>
      <c r="AM270" s="3048"/>
      <c r="AN270" s="3048"/>
      <c r="AO270" s="3048"/>
      <c r="AP270" s="3048"/>
      <c r="AQ270" s="3048"/>
      <c r="AR270" s="3048"/>
      <c r="AS270" s="3048"/>
      <c r="AT270" s="3048"/>
      <c r="AU270" s="3048"/>
    </row>
    <row r="271" spans="1:47">
      <c r="A271" s="480">
        <v>265</v>
      </c>
      <c r="B271" s="3288"/>
      <c r="C271" s="3449"/>
      <c r="D271" s="3344"/>
      <c r="E271" s="3344"/>
      <c r="F271" s="3344"/>
      <c r="G271" s="3344"/>
      <c r="H271" s="3344"/>
      <c r="I271" s="3290"/>
      <c r="J271" s="3343"/>
      <c r="K271" s="3343"/>
      <c r="L271" s="3290"/>
      <c r="M271" s="3419"/>
      <c r="N271" s="3288"/>
      <c r="O271" s="3288"/>
      <c r="P271" s="3288"/>
      <c r="Q271" s="3384"/>
      <c r="R271" s="3288"/>
      <c r="S271" s="3385"/>
      <c r="T271" s="3288"/>
      <c r="U271" s="3288"/>
      <c r="V271" s="3298">
        <f>Table6268934562[[#This Row],[Offer Value]]-Table6268934562[[#This Row],[PO Value]]</f>
        <v>0</v>
      </c>
      <c r="W271" s="3288"/>
      <c r="X271" s="3288"/>
      <c r="Y271" s="3288"/>
      <c r="Z271" s="3066"/>
      <c r="AA271" s="3075"/>
      <c r="AB271" s="3048"/>
      <c r="AC271" s="3048"/>
      <c r="AD271" s="3048"/>
      <c r="AE271" s="3048"/>
      <c r="AF271" s="3048"/>
      <c r="AG271" s="3048"/>
      <c r="AH271" s="3048"/>
      <c r="AI271" s="3048"/>
      <c r="AJ271" s="3048"/>
      <c r="AK271" s="3048"/>
      <c r="AL271" s="3048"/>
      <c r="AM271" s="3048"/>
      <c r="AN271" s="3048"/>
      <c r="AO271" s="3048"/>
      <c r="AP271" s="3048"/>
      <c r="AQ271" s="3048"/>
      <c r="AR271" s="3048"/>
      <c r="AS271" s="3048"/>
      <c r="AT271" s="3048"/>
      <c r="AU271" s="3048"/>
    </row>
    <row r="272" spans="1:47">
      <c r="A272" s="480">
        <v>266</v>
      </c>
      <c r="B272" s="3288"/>
      <c r="C272" s="3445"/>
      <c r="D272" s="3290"/>
      <c r="E272" s="3290"/>
      <c r="F272" s="3290"/>
      <c r="G272" s="3290"/>
      <c r="H272" s="3290"/>
      <c r="I272" s="3290"/>
      <c r="J272" s="3294"/>
      <c r="K272" s="3294"/>
      <c r="L272" s="3290"/>
      <c r="M272" s="3290"/>
      <c r="N272" s="3288"/>
      <c r="O272" s="3288"/>
      <c r="P272" s="3288"/>
      <c r="Q272" s="3384"/>
      <c r="R272" s="3288"/>
      <c r="S272" s="3385"/>
      <c r="T272" s="3288"/>
      <c r="U272" s="3288"/>
      <c r="V272" s="3298">
        <f>Table6268934562[[#This Row],[Offer Value]]-Table6268934562[[#This Row],[PO Value]]</f>
        <v>0</v>
      </c>
      <c r="W272" s="3288"/>
      <c r="X272" s="3288"/>
      <c r="Y272" s="3288"/>
      <c r="Z272" s="3066"/>
      <c r="AA272" s="3075"/>
      <c r="AB272" s="3048"/>
      <c r="AC272" s="3048"/>
      <c r="AD272" s="3048"/>
      <c r="AE272" s="3048"/>
      <c r="AF272" s="3048"/>
      <c r="AG272" s="3048"/>
      <c r="AH272" s="3048"/>
      <c r="AI272" s="3048"/>
      <c r="AJ272" s="3048"/>
      <c r="AK272" s="3048"/>
      <c r="AL272" s="3048"/>
      <c r="AM272" s="3048"/>
      <c r="AN272" s="3048"/>
      <c r="AO272" s="3048"/>
      <c r="AP272" s="3048"/>
      <c r="AQ272" s="3048"/>
      <c r="AR272" s="3048"/>
      <c r="AS272" s="3048"/>
      <c r="AT272" s="3048"/>
      <c r="AU272" s="3048"/>
    </row>
    <row r="273" spans="1:47">
      <c r="A273" s="3288">
        <v>267</v>
      </c>
      <c r="B273" s="3288"/>
      <c r="C273" s="3445"/>
      <c r="D273" s="3290"/>
      <c r="E273" s="3290"/>
      <c r="F273" s="3290"/>
      <c r="G273" s="3290"/>
      <c r="H273" s="3290"/>
      <c r="I273" s="3290"/>
      <c r="J273" s="3294"/>
      <c r="K273" s="3294"/>
      <c r="L273" s="3290"/>
      <c r="M273" s="3290"/>
      <c r="N273" s="3288"/>
      <c r="O273" s="3288"/>
      <c r="P273" s="3288"/>
      <c r="Q273" s="3384"/>
      <c r="R273" s="3288"/>
      <c r="S273" s="3385"/>
      <c r="T273" s="3288"/>
      <c r="U273" s="3288"/>
      <c r="V273" s="3298">
        <f>Table6268934562[[#This Row],[Offer Value]]-Table6268934562[[#This Row],[PO Value]]</f>
        <v>0</v>
      </c>
      <c r="W273" s="3288"/>
      <c r="X273" s="3288"/>
      <c r="Y273" s="3288"/>
      <c r="Z273" s="3066"/>
      <c r="AA273" s="3075"/>
      <c r="AB273" s="3048"/>
      <c r="AC273" s="3048"/>
      <c r="AD273" s="3048"/>
      <c r="AE273" s="3048"/>
      <c r="AF273" s="3048"/>
      <c r="AG273" s="3048"/>
      <c r="AH273" s="3048"/>
      <c r="AI273" s="3048"/>
      <c r="AJ273" s="3048"/>
      <c r="AK273" s="3048"/>
      <c r="AL273" s="3048"/>
      <c r="AM273" s="3048"/>
      <c r="AN273" s="3048"/>
      <c r="AO273" s="3048"/>
      <c r="AP273" s="3048"/>
      <c r="AQ273" s="3048"/>
      <c r="AR273" s="3048"/>
      <c r="AS273" s="3048"/>
      <c r="AT273" s="3048"/>
      <c r="AU273" s="3048"/>
    </row>
    <row r="274" spans="1:47">
      <c r="A274" s="3288"/>
      <c r="B274" s="3288"/>
      <c r="C274" s="3445"/>
      <c r="D274" s="3290"/>
      <c r="E274" s="3290"/>
      <c r="F274" s="3290"/>
      <c r="G274" s="3290"/>
      <c r="H274" s="3290"/>
      <c r="I274" s="3290"/>
      <c r="J274" s="3294"/>
      <c r="K274" s="3294"/>
      <c r="L274" s="3290"/>
      <c r="M274" s="3290"/>
      <c r="N274" s="3288"/>
      <c r="O274" s="3288"/>
      <c r="P274" s="3288"/>
      <c r="Q274" s="3384"/>
      <c r="R274" s="3288"/>
      <c r="S274" s="3385"/>
      <c r="T274" s="3288"/>
      <c r="U274" s="3288"/>
      <c r="V274" s="3298">
        <f>Table6268934562[[#This Row],[Offer Value]]-Table6268934562[[#This Row],[PO Value]]</f>
        <v>0</v>
      </c>
      <c r="W274" s="3288"/>
      <c r="X274" s="3288"/>
      <c r="Y274" s="3288"/>
      <c r="Z274" s="3066"/>
      <c r="AA274" s="3075"/>
      <c r="AB274" s="3048"/>
      <c r="AC274" s="3048"/>
      <c r="AD274" s="3048"/>
      <c r="AE274" s="3048"/>
      <c r="AF274" s="3048"/>
      <c r="AG274" s="3048"/>
      <c r="AH274" s="3048"/>
      <c r="AI274" s="3048"/>
      <c r="AJ274" s="3048"/>
      <c r="AK274" s="3048"/>
      <c r="AL274" s="3048"/>
      <c r="AM274" s="3048"/>
      <c r="AN274" s="3048"/>
      <c r="AO274" s="3048"/>
      <c r="AP274" s="3048"/>
      <c r="AQ274" s="3048"/>
      <c r="AR274" s="3048"/>
      <c r="AS274" s="3048"/>
      <c r="AT274" s="3048"/>
      <c r="AU274" s="3048"/>
    </row>
    <row r="275" spans="1:47">
      <c r="A275" s="3288"/>
      <c r="B275" s="3288"/>
      <c r="C275" s="3445"/>
      <c r="D275" s="3290"/>
      <c r="E275" s="3290"/>
      <c r="F275" s="3290"/>
      <c r="G275" s="3290"/>
      <c r="H275" s="3290"/>
      <c r="I275" s="3290"/>
      <c r="J275" s="3294"/>
      <c r="K275" s="3294"/>
      <c r="L275" s="3290"/>
      <c r="M275" s="3290"/>
      <c r="N275" s="3288"/>
      <c r="O275" s="3288"/>
      <c r="P275" s="3288"/>
      <c r="Q275" s="3384"/>
      <c r="R275" s="3288"/>
      <c r="S275" s="3385"/>
      <c r="T275" s="3288"/>
      <c r="U275" s="3288"/>
      <c r="V275" s="3298">
        <f>Table6268934562[[#This Row],[Offer Value]]-Table6268934562[[#This Row],[PO Value]]</f>
        <v>0</v>
      </c>
      <c r="W275" s="3288"/>
      <c r="X275" s="3288"/>
      <c r="Y275" s="3288"/>
      <c r="Z275" s="3066"/>
      <c r="AA275" s="3075"/>
      <c r="AB275" s="3048"/>
      <c r="AC275" s="3048"/>
      <c r="AD275" s="3048"/>
      <c r="AE275" s="3048"/>
      <c r="AF275" s="3048"/>
      <c r="AG275" s="3048"/>
      <c r="AH275" s="3048"/>
      <c r="AI275" s="3048"/>
      <c r="AJ275" s="3048"/>
      <c r="AK275" s="3048"/>
      <c r="AL275" s="3048"/>
      <c r="AM275" s="3048"/>
      <c r="AN275" s="3048"/>
      <c r="AO275" s="3048"/>
      <c r="AP275" s="3048"/>
      <c r="AQ275" s="3048"/>
      <c r="AR275" s="3048"/>
      <c r="AS275" s="3048"/>
      <c r="AT275" s="3048"/>
      <c r="AU275" s="3048"/>
    </row>
    <row r="276" spans="1:47">
      <c r="A276" s="3288"/>
      <c r="B276" s="3288"/>
      <c r="C276" s="3445"/>
      <c r="D276" s="3290"/>
      <c r="E276" s="3290"/>
      <c r="F276" s="3290"/>
      <c r="G276" s="3290"/>
      <c r="H276" s="3290"/>
      <c r="I276" s="3290"/>
      <c r="J276" s="3294"/>
      <c r="K276" s="3294"/>
      <c r="L276" s="3290"/>
      <c r="M276" s="3290"/>
      <c r="N276" s="3288"/>
      <c r="O276" s="3288"/>
      <c r="P276" s="3288"/>
      <c r="Q276" s="3384"/>
      <c r="R276" s="3288"/>
      <c r="S276" s="3385"/>
      <c r="T276" s="3288"/>
      <c r="U276" s="3288"/>
      <c r="V276" s="3298">
        <f>Table6268934562[[#This Row],[Offer Value]]-Table6268934562[[#This Row],[PO Value]]</f>
        <v>0</v>
      </c>
      <c r="W276" s="3288"/>
      <c r="X276" s="3288"/>
      <c r="Y276" s="3288"/>
      <c r="Z276" s="3066"/>
      <c r="AA276" s="3075"/>
      <c r="AB276" s="3048"/>
      <c r="AC276" s="3048"/>
      <c r="AD276" s="3048"/>
      <c r="AE276" s="3048"/>
      <c r="AF276" s="3048"/>
      <c r="AG276" s="3048"/>
      <c r="AH276" s="3048"/>
      <c r="AI276" s="3048"/>
      <c r="AJ276" s="3048"/>
      <c r="AK276" s="3048"/>
      <c r="AL276" s="3048"/>
      <c r="AM276" s="3048"/>
      <c r="AN276" s="3048"/>
      <c r="AO276" s="3048"/>
      <c r="AP276" s="3048"/>
      <c r="AQ276" s="3048"/>
      <c r="AR276" s="3048"/>
      <c r="AS276" s="3048"/>
      <c r="AT276" s="3048"/>
      <c r="AU276" s="3048"/>
    </row>
    <row r="277" spans="1:47">
      <c r="A277" s="3288"/>
      <c r="B277" s="3288"/>
      <c r="C277" s="3445"/>
      <c r="D277" s="3290"/>
      <c r="E277" s="3290"/>
      <c r="F277" s="3290"/>
      <c r="G277" s="3290"/>
      <c r="H277" s="3290"/>
      <c r="I277" s="3290"/>
      <c r="J277" s="3294"/>
      <c r="K277" s="3294"/>
      <c r="L277" s="3290"/>
      <c r="M277" s="3290"/>
      <c r="N277" s="3288"/>
      <c r="O277" s="3288"/>
      <c r="P277" s="3288"/>
      <c r="Q277" s="3384"/>
      <c r="R277" s="3288"/>
      <c r="S277" s="3385"/>
      <c r="T277" s="3288"/>
      <c r="U277" s="3288"/>
      <c r="V277" s="3298">
        <f>Table6268934562[[#This Row],[Offer Value]]-Table6268934562[[#This Row],[PO Value]]</f>
        <v>0</v>
      </c>
      <c r="W277" s="3288"/>
      <c r="X277" s="3288"/>
      <c r="Y277" s="3288"/>
      <c r="Z277" s="3066"/>
      <c r="AA277" s="3075"/>
      <c r="AB277" s="3048"/>
      <c r="AC277" s="3048"/>
      <c r="AD277" s="3048"/>
      <c r="AE277" s="3048"/>
      <c r="AF277" s="3048"/>
      <c r="AG277" s="3048"/>
      <c r="AH277" s="3048"/>
      <c r="AI277" s="3048"/>
      <c r="AJ277" s="3048"/>
      <c r="AK277" s="3048"/>
      <c r="AL277" s="3048"/>
      <c r="AM277" s="3048"/>
      <c r="AN277" s="3048"/>
      <c r="AO277" s="3048"/>
      <c r="AP277" s="3048"/>
      <c r="AQ277" s="3048"/>
      <c r="AR277" s="3048"/>
      <c r="AS277" s="3048"/>
      <c r="AT277" s="3048"/>
      <c r="AU277" s="3048"/>
    </row>
    <row r="278" spans="1:47">
      <c r="A278" s="3288"/>
      <c r="B278" s="3288"/>
      <c r="C278" s="3445"/>
      <c r="D278" s="3290"/>
      <c r="E278" s="3290"/>
      <c r="F278" s="3290"/>
      <c r="G278" s="3290"/>
      <c r="H278" s="3290"/>
      <c r="I278" s="3290"/>
      <c r="J278" s="3294"/>
      <c r="K278" s="3294"/>
      <c r="L278" s="3290"/>
      <c r="M278" s="3419"/>
      <c r="N278" s="3288"/>
      <c r="O278" s="3288"/>
      <c r="P278" s="3288"/>
      <c r="Q278" s="3384"/>
      <c r="R278" s="3289"/>
      <c r="S278" s="3385"/>
      <c r="T278" s="3288"/>
      <c r="U278" s="3288"/>
      <c r="V278" s="3298">
        <f>Table6268934562[[#This Row],[Offer Value]]-Table6268934562[[#This Row],[PO Value]]</f>
        <v>0</v>
      </c>
      <c r="W278" s="3288"/>
      <c r="X278" s="3288"/>
      <c r="Y278" s="3289"/>
      <c r="Z278" s="3066"/>
      <c r="AA278" s="3075"/>
      <c r="AB278" s="3048"/>
      <c r="AC278" s="3048"/>
      <c r="AD278" s="3048"/>
      <c r="AE278" s="3048"/>
      <c r="AF278" s="3048"/>
      <c r="AG278" s="3048"/>
      <c r="AH278" s="3048"/>
      <c r="AI278" s="3048"/>
      <c r="AJ278" s="3048"/>
      <c r="AK278" s="3048"/>
      <c r="AL278" s="3048"/>
      <c r="AM278" s="3048"/>
      <c r="AN278" s="3048"/>
      <c r="AO278" s="3048"/>
      <c r="AP278" s="3048"/>
      <c r="AQ278" s="3048"/>
      <c r="AR278" s="3048"/>
      <c r="AS278" s="3048"/>
      <c r="AT278" s="3048"/>
      <c r="AU278" s="3048"/>
    </row>
    <row r="279" spans="1:47">
      <c r="A279" s="3288"/>
      <c r="B279" s="3288"/>
      <c r="C279" s="3445"/>
      <c r="D279" s="3290"/>
      <c r="E279" s="3290"/>
      <c r="F279" s="3290"/>
      <c r="G279" s="3290"/>
      <c r="H279" s="3290"/>
      <c r="I279" s="3290"/>
      <c r="J279" s="3294"/>
      <c r="K279" s="3294"/>
      <c r="L279" s="3290"/>
      <c r="M279" s="3419"/>
      <c r="N279" s="3288"/>
      <c r="O279" s="3288"/>
      <c r="P279" s="3288"/>
      <c r="Q279" s="3384"/>
      <c r="R279" s="3289"/>
      <c r="S279" s="3385"/>
      <c r="T279" s="3288"/>
      <c r="U279" s="3288"/>
      <c r="V279" s="3298">
        <f>Table6268934562[[#This Row],[Offer Value]]-Table6268934562[[#This Row],[PO Value]]</f>
        <v>0</v>
      </c>
      <c r="W279" s="3288"/>
      <c r="X279" s="3288"/>
      <c r="Y279" s="3289"/>
      <c r="Z279" s="3066"/>
      <c r="AA279" s="3075"/>
      <c r="AB279" s="3048"/>
      <c r="AC279" s="3048"/>
      <c r="AD279" s="3048"/>
      <c r="AE279" s="3048"/>
      <c r="AF279" s="3048"/>
      <c r="AG279" s="3048"/>
      <c r="AH279" s="3048"/>
      <c r="AI279" s="3048"/>
      <c r="AJ279" s="3048"/>
      <c r="AK279" s="3048"/>
      <c r="AL279" s="3048"/>
      <c r="AM279" s="3048"/>
      <c r="AN279" s="3048"/>
      <c r="AO279" s="3048"/>
      <c r="AP279" s="3048"/>
      <c r="AQ279" s="3048"/>
      <c r="AR279" s="3048"/>
      <c r="AS279" s="3048"/>
      <c r="AT279" s="3048"/>
      <c r="AU279" s="3048"/>
    </row>
    <row r="280" spans="1:47">
      <c r="A280" s="3288"/>
      <c r="B280" s="3289"/>
      <c r="C280" s="3445"/>
      <c r="D280" s="3290"/>
      <c r="E280" s="3290"/>
      <c r="F280" s="3290"/>
      <c r="G280" s="3290"/>
      <c r="H280" s="3290"/>
      <c r="I280" s="3290"/>
      <c r="J280" s="3343"/>
      <c r="K280" s="3343"/>
      <c r="L280" s="3288"/>
      <c r="M280" s="3289"/>
      <c r="N280" s="3288"/>
      <c r="O280" s="3288"/>
      <c r="P280" s="3288"/>
      <c r="Q280" s="3384"/>
      <c r="R280" s="3288"/>
      <c r="S280" s="3385"/>
      <c r="T280" s="3288"/>
      <c r="U280" s="3288"/>
      <c r="V280" s="3298">
        <f>Table6268934562[[#This Row],[Offer Value]]-Table6268934562[[#This Row],[PO Value]]</f>
        <v>0</v>
      </c>
      <c r="W280" s="3288"/>
      <c r="X280" s="3288"/>
      <c r="Y280" s="3288"/>
      <c r="Z280" s="3066"/>
      <c r="AA280" s="3075"/>
      <c r="AB280" s="3048"/>
      <c r="AC280" s="3048"/>
      <c r="AD280" s="3048"/>
      <c r="AE280" s="3048"/>
      <c r="AF280" s="3048"/>
      <c r="AG280" s="3048"/>
      <c r="AH280" s="3048"/>
      <c r="AI280" s="3048"/>
      <c r="AJ280" s="3048"/>
      <c r="AK280" s="3048"/>
      <c r="AL280" s="3048"/>
      <c r="AM280" s="3048"/>
      <c r="AN280" s="3048"/>
      <c r="AO280" s="3048"/>
      <c r="AP280" s="3048"/>
      <c r="AQ280" s="3048"/>
      <c r="AR280" s="3048"/>
      <c r="AS280" s="3048"/>
      <c r="AT280" s="3048"/>
      <c r="AU280" s="3048"/>
    </row>
    <row r="281" spans="1:47">
      <c r="A281" s="3288"/>
      <c r="B281" s="3289"/>
      <c r="C281" s="3445"/>
      <c r="D281" s="3290"/>
      <c r="E281" s="3290"/>
      <c r="F281" s="3290"/>
      <c r="G281" s="3290"/>
      <c r="H281" s="3290"/>
      <c r="I281" s="3290"/>
      <c r="J281" s="3343"/>
      <c r="K281" s="3343"/>
      <c r="L281" s="3288"/>
      <c r="M281" s="3288"/>
      <c r="N281" s="3288"/>
      <c r="O281" s="3288"/>
      <c r="P281" s="3288"/>
      <c r="Q281" s="3384"/>
      <c r="R281" s="3288"/>
      <c r="S281" s="3385"/>
      <c r="T281" s="3288"/>
      <c r="U281" s="3288"/>
      <c r="V281" s="3298">
        <f>Table6268934562[[#This Row],[Offer Value]]-Table6268934562[[#This Row],[PO Value]]</f>
        <v>0</v>
      </c>
      <c r="W281" s="3288"/>
      <c r="X281" s="3288"/>
      <c r="Y281" s="3288"/>
      <c r="Z281" s="3066"/>
      <c r="AA281" s="3075"/>
      <c r="AB281" s="3048"/>
      <c r="AC281" s="3048"/>
      <c r="AD281" s="3048"/>
      <c r="AE281" s="3048"/>
      <c r="AF281" s="3048"/>
      <c r="AG281" s="3048"/>
      <c r="AH281" s="3048"/>
      <c r="AI281" s="3048"/>
      <c r="AJ281" s="3048"/>
      <c r="AK281" s="3048"/>
      <c r="AL281" s="3048"/>
      <c r="AM281" s="3048"/>
      <c r="AN281" s="3048"/>
      <c r="AO281" s="3048"/>
      <c r="AP281" s="3048"/>
      <c r="AQ281" s="3048"/>
      <c r="AR281" s="3048"/>
      <c r="AS281" s="3048"/>
      <c r="AT281" s="3048"/>
      <c r="AU281" s="3048"/>
    </row>
    <row r="282" spans="1:47">
      <c r="A282" s="3288"/>
      <c r="B282" s="3289"/>
      <c r="C282" s="3445"/>
      <c r="D282" s="3290"/>
      <c r="E282" s="3290"/>
      <c r="F282" s="3290"/>
      <c r="G282" s="3290"/>
      <c r="H282" s="3290"/>
      <c r="I282" s="3290"/>
      <c r="J282" s="3343"/>
      <c r="K282" s="3343"/>
      <c r="L282" s="3288"/>
      <c r="M282" s="3288"/>
      <c r="N282" s="3288"/>
      <c r="O282" s="3288"/>
      <c r="P282" s="3288"/>
      <c r="Q282" s="3384"/>
      <c r="R282" s="3288"/>
      <c r="S282" s="3385"/>
      <c r="T282" s="3288"/>
      <c r="U282" s="3288"/>
      <c r="V282" s="3298">
        <f>Table6268934562[[#This Row],[Offer Value]]-Table6268934562[[#This Row],[PO Value]]</f>
        <v>0</v>
      </c>
      <c r="W282" s="3288"/>
      <c r="X282" s="3288"/>
      <c r="Y282" s="3288"/>
      <c r="Z282" s="3066"/>
      <c r="AA282" s="3075"/>
      <c r="AB282" s="3048"/>
      <c r="AC282" s="3048"/>
      <c r="AD282" s="3048"/>
      <c r="AE282" s="3048"/>
      <c r="AF282" s="3048"/>
      <c r="AG282" s="3048"/>
      <c r="AH282" s="3048"/>
      <c r="AI282" s="3048"/>
      <c r="AJ282" s="3048"/>
      <c r="AK282" s="3048"/>
      <c r="AL282" s="3048"/>
      <c r="AM282" s="3048"/>
      <c r="AN282" s="3048"/>
      <c r="AO282" s="3048"/>
      <c r="AP282" s="3048"/>
      <c r="AQ282" s="3048"/>
      <c r="AR282" s="3048"/>
      <c r="AS282" s="3048"/>
      <c r="AT282" s="3048"/>
      <c r="AU282" s="3048"/>
    </row>
    <row r="283" spans="1:47">
      <c r="A283" s="3288"/>
      <c r="B283" s="3289"/>
      <c r="C283" s="3445"/>
      <c r="D283" s="3290"/>
      <c r="E283" s="3290"/>
      <c r="F283" s="3290"/>
      <c r="G283" s="3290"/>
      <c r="H283" s="3290"/>
      <c r="I283" s="3290"/>
      <c r="J283" s="3343"/>
      <c r="K283" s="3343"/>
      <c r="L283" s="3288"/>
      <c r="M283" s="3288"/>
      <c r="N283" s="3288"/>
      <c r="O283" s="3288"/>
      <c r="P283" s="3288"/>
      <c r="Q283" s="3384"/>
      <c r="R283" s="3288"/>
      <c r="S283" s="3385"/>
      <c r="T283" s="3288"/>
      <c r="U283" s="3288"/>
      <c r="V283" s="3298">
        <f>Table6268934562[[#This Row],[Offer Value]]-Table6268934562[[#This Row],[PO Value]]</f>
        <v>0</v>
      </c>
      <c r="W283" s="3288"/>
      <c r="X283" s="3288"/>
      <c r="Y283" s="3288"/>
      <c r="Z283" s="3066"/>
      <c r="AA283" s="3075"/>
      <c r="AB283" s="3048"/>
      <c r="AC283" s="3048"/>
      <c r="AD283" s="3048"/>
      <c r="AE283" s="3048"/>
      <c r="AF283" s="3048"/>
      <c r="AG283" s="3048"/>
      <c r="AH283" s="3048"/>
      <c r="AI283" s="3048"/>
      <c r="AJ283" s="3048"/>
      <c r="AK283" s="3048"/>
      <c r="AL283" s="3048"/>
      <c r="AM283" s="3048"/>
      <c r="AN283" s="3048"/>
      <c r="AO283" s="3048"/>
      <c r="AP283" s="3048"/>
      <c r="AQ283" s="3048"/>
      <c r="AR283" s="3048"/>
      <c r="AS283" s="3048"/>
      <c r="AT283" s="3048"/>
      <c r="AU283" s="3048"/>
    </row>
    <row r="284" spans="1:47">
      <c r="A284" s="3288"/>
      <c r="B284" s="3289"/>
      <c r="C284" s="3445"/>
      <c r="D284" s="3290"/>
      <c r="E284" s="3290"/>
      <c r="F284" s="3290"/>
      <c r="G284" s="3290"/>
      <c r="H284" s="3290"/>
      <c r="I284" s="3290"/>
      <c r="J284" s="3343"/>
      <c r="K284" s="3343"/>
      <c r="L284" s="3288"/>
      <c r="M284" s="3288"/>
      <c r="N284" s="3288"/>
      <c r="O284" s="3288"/>
      <c r="P284" s="3288"/>
      <c r="Q284" s="3384"/>
      <c r="R284" s="3289"/>
      <c r="S284" s="3385"/>
      <c r="T284" s="3288"/>
      <c r="U284" s="3288"/>
      <c r="V284" s="3298">
        <f>Table6268934562[[#This Row],[Offer Value]]-Table6268934562[[#This Row],[PO Value]]</f>
        <v>0</v>
      </c>
      <c r="W284" s="3288"/>
      <c r="X284" s="3288"/>
      <c r="Y284" s="3289"/>
      <c r="Z284" s="3066"/>
      <c r="AA284" s="3075"/>
      <c r="AB284" s="3048"/>
      <c r="AC284" s="3048"/>
      <c r="AD284" s="3048"/>
      <c r="AE284" s="3048"/>
      <c r="AF284" s="3048"/>
      <c r="AG284" s="3048"/>
      <c r="AH284" s="3048"/>
      <c r="AI284" s="3048"/>
      <c r="AJ284" s="3048"/>
      <c r="AK284" s="3048"/>
      <c r="AL284" s="3048"/>
      <c r="AM284" s="3048"/>
      <c r="AN284" s="3048"/>
      <c r="AO284" s="3048"/>
      <c r="AP284" s="3048"/>
      <c r="AQ284" s="3048"/>
      <c r="AR284" s="3048"/>
      <c r="AS284" s="3048"/>
      <c r="AT284" s="3048"/>
      <c r="AU284" s="3048"/>
    </row>
    <row r="285" spans="1:47">
      <c r="A285" s="3288"/>
      <c r="B285" s="3289"/>
      <c r="C285" s="3445"/>
      <c r="D285" s="3290"/>
      <c r="E285" s="3290"/>
      <c r="F285" s="3290"/>
      <c r="G285" s="3290"/>
      <c r="H285" s="3290"/>
      <c r="I285" s="3290"/>
      <c r="J285" s="3343"/>
      <c r="K285" s="3343"/>
      <c r="L285" s="3288"/>
      <c r="M285" s="3288"/>
      <c r="N285" s="3288"/>
      <c r="O285" s="3288"/>
      <c r="P285" s="3288"/>
      <c r="Q285" s="3384"/>
      <c r="R285" s="3289"/>
      <c r="S285" s="3385"/>
      <c r="T285" s="3288"/>
      <c r="U285" s="3288"/>
      <c r="V285" s="3298">
        <f>Table6268934562[[#This Row],[Offer Value]]-Table6268934562[[#This Row],[PO Value]]</f>
        <v>0</v>
      </c>
      <c r="W285" s="3288"/>
      <c r="X285" s="3288"/>
      <c r="Y285" s="3289"/>
      <c r="Z285" s="3066"/>
      <c r="AA285" s="3075"/>
      <c r="AB285" s="3048"/>
      <c r="AC285" s="3048"/>
      <c r="AD285" s="3048"/>
      <c r="AE285" s="3048"/>
      <c r="AF285" s="3048"/>
      <c r="AG285" s="3048"/>
      <c r="AH285" s="3048"/>
      <c r="AI285" s="3048"/>
      <c r="AJ285" s="3048"/>
      <c r="AK285" s="3048"/>
      <c r="AL285" s="3048"/>
      <c r="AM285" s="3048"/>
      <c r="AN285" s="3048"/>
      <c r="AO285" s="3048"/>
      <c r="AP285" s="3048"/>
      <c r="AQ285" s="3048"/>
      <c r="AR285" s="3048"/>
      <c r="AS285" s="3048"/>
      <c r="AT285" s="3048"/>
      <c r="AU285" s="3048"/>
    </row>
    <row r="286" spans="1:47">
      <c r="A286" s="3288"/>
      <c r="B286" s="3289"/>
      <c r="C286" s="3445"/>
      <c r="D286" s="3290"/>
      <c r="E286" s="3290"/>
      <c r="F286" s="3290"/>
      <c r="G286" s="3290"/>
      <c r="H286" s="3290"/>
      <c r="I286" s="3290"/>
      <c r="J286" s="3343"/>
      <c r="K286" s="3343"/>
      <c r="L286" s="3288"/>
      <c r="M286" s="3289"/>
      <c r="N286" s="3288"/>
      <c r="O286" s="3288"/>
      <c r="P286" s="3288"/>
      <c r="Q286" s="3384"/>
      <c r="R286" s="3288"/>
      <c r="S286" s="3385"/>
      <c r="T286" s="3288"/>
      <c r="U286" s="3288"/>
      <c r="V286" s="3298">
        <f>Table6268934562[[#This Row],[Offer Value]]-Table6268934562[[#This Row],[PO Value]]</f>
        <v>0</v>
      </c>
      <c r="W286" s="3288"/>
      <c r="X286" s="3288"/>
      <c r="Y286" s="3288"/>
      <c r="Z286" s="3066"/>
      <c r="AA286" s="3075"/>
      <c r="AB286" s="3048"/>
      <c r="AC286" s="3048"/>
      <c r="AD286" s="3048"/>
      <c r="AE286" s="3048"/>
      <c r="AF286" s="3048"/>
      <c r="AG286" s="3048"/>
      <c r="AH286" s="3048"/>
      <c r="AI286" s="3048"/>
      <c r="AJ286" s="3048"/>
      <c r="AK286" s="3048"/>
      <c r="AL286" s="3048"/>
      <c r="AM286" s="3048"/>
      <c r="AN286" s="3048"/>
      <c r="AO286" s="3048"/>
      <c r="AP286" s="3048"/>
      <c r="AQ286" s="3048"/>
      <c r="AR286" s="3048"/>
      <c r="AS286" s="3048"/>
      <c r="AT286" s="3048"/>
      <c r="AU286" s="3048"/>
    </row>
    <row r="287" spans="1:47">
      <c r="A287" s="3288"/>
      <c r="B287" s="3289"/>
      <c r="C287" s="3445"/>
      <c r="D287" s="3290"/>
      <c r="E287" s="3290"/>
      <c r="F287" s="3290"/>
      <c r="G287" s="3290"/>
      <c r="H287" s="3290"/>
      <c r="I287" s="3290"/>
      <c r="J287" s="3343"/>
      <c r="K287" s="3343"/>
      <c r="L287" s="3288"/>
      <c r="M287" s="3289"/>
      <c r="N287" s="3288"/>
      <c r="O287" s="3288"/>
      <c r="P287" s="3288"/>
      <c r="Q287" s="3384"/>
      <c r="R287" s="3288"/>
      <c r="S287" s="3385"/>
      <c r="T287" s="3288"/>
      <c r="U287" s="3288"/>
      <c r="V287" s="3298">
        <f>Table6268934562[[#This Row],[Offer Value]]-Table6268934562[[#This Row],[PO Value]]</f>
        <v>0</v>
      </c>
      <c r="W287" s="3288"/>
      <c r="X287" s="3288"/>
      <c r="Y287" s="3288"/>
      <c r="Z287" s="3066"/>
      <c r="AA287" s="3075"/>
      <c r="AB287" s="3048"/>
      <c r="AC287" s="3048"/>
      <c r="AD287" s="3048"/>
      <c r="AE287" s="3048"/>
      <c r="AF287" s="3048"/>
      <c r="AG287" s="3048"/>
      <c r="AH287" s="3048"/>
      <c r="AI287" s="3048"/>
      <c r="AJ287" s="3048"/>
      <c r="AK287" s="3048"/>
      <c r="AL287" s="3048"/>
      <c r="AM287" s="3048"/>
      <c r="AN287" s="3048"/>
      <c r="AO287" s="3048"/>
      <c r="AP287" s="3048"/>
      <c r="AQ287" s="3048"/>
      <c r="AR287" s="3048"/>
      <c r="AS287" s="3048"/>
      <c r="AT287" s="3048"/>
      <c r="AU287" s="3048"/>
    </row>
    <row r="288" spans="1:47">
      <c r="A288" s="3288"/>
      <c r="B288" s="3289"/>
      <c r="C288" s="3445"/>
      <c r="D288" s="3290"/>
      <c r="E288" s="3290"/>
      <c r="F288" s="3290"/>
      <c r="G288" s="3290"/>
      <c r="H288" s="3290"/>
      <c r="I288" s="3290"/>
      <c r="J288" s="3343"/>
      <c r="K288" s="3343"/>
      <c r="L288" s="3288"/>
      <c r="M288" s="3288"/>
      <c r="N288" s="3288"/>
      <c r="O288" s="3288"/>
      <c r="P288" s="3288"/>
      <c r="Q288" s="3384"/>
      <c r="R288" s="3288"/>
      <c r="S288" s="3385"/>
      <c r="T288" s="3288"/>
      <c r="U288" s="3288"/>
      <c r="V288" s="3298">
        <f>Table6268934562[[#This Row],[Offer Value]]-Table6268934562[[#This Row],[PO Value]]</f>
        <v>0</v>
      </c>
      <c r="W288" s="3288"/>
      <c r="X288" s="3288"/>
      <c r="Y288" s="3288"/>
      <c r="Z288" s="3066"/>
      <c r="AA288" s="3075"/>
      <c r="AB288" s="3048"/>
      <c r="AC288" s="3048"/>
      <c r="AD288" s="3048"/>
      <c r="AE288" s="3048"/>
      <c r="AF288" s="3048"/>
      <c r="AG288" s="3048"/>
      <c r="AH288" s="3048"/>
      <c r="AI288" s="3048"/>
      <c r="AJ288" s="3048"/>
      <c r="AK288" s="3048"/>
      <c r="AL288" s="3048"/>
      <c r="AM288" s="3048"/>
      <c r="AN288" s="3048"/>
      <c r="AO288" s="3048"/>
      <c r="AP288" s="3048"/>
      <c r="AQ288" s="3048"/>
      <c r="AR288" s="3048"/>
      <c r="AS288" s="3048"/>
      <c r="AT288" s="3048"/>
      <c r="AU288" s="3048"/>
    </row>
    <row r="289" spans="1:47">
      <c r="A289" s="3288"/>
      <c r="B289" s="3289"/>
      <c r="C289" s="3445"/>
      <c r="D289" s="3290"/>
      <c r="E289" s="3290"/>
      <c r="F289" s="3290"/>
      <c r="G289" s="3290"/>
      <c r="H289" s="3290"/>
      <c r="I289" s="3290"/>
      <c r="J289" s="3343"/>
      <c r="K289" s="3343"/>
      <c r="L289" s="3288"/>
      <c r="M289" s="3288"/>
      <c r="N289" s="3288"/>
      <c r="O289" s="3288"/>
      <c r="P289" s="3288"/>
      <c r="Q289" s="3384"/>
      <c r="R289" s="3288"/>
      <c r="S289" s="3385"/>
      <c r="T289" s="3288"/>
      <c r="U289" s="3288"/>
      <c r="V289" s="3298">
        <f>Table6268934562[[#This Row],[Offer Value]]-Table6268934562[[#This Row],[PO Value]]</f>
        <v>0</v>
      </c>
      <c r="W289" s="3288"/>
      <c r="X289" s="3288"/>
      <c r="Y289" s="3288"/>
      <c r="Z289" s="3066"/>
      <c r="AA289" s="3075"/>
      <c r="AB289" s="3048"/>
      <c r="AC289" s="3048"/>
      <c r="AD289" s="3048"/>
      <c r="AE289" s="3048"/>
      <c r="AF289" s="3048"/>
      <c r="AG289" s="3048"/>
      <c r="AH289" s="3048"/>
      <c r="AI289" s="3048"/>
      <c r="AJ289" s="3048"/>
      <c r="AK289" s="3048"/>
      <c r="AL289" s="3048"/>
      <c r="AM289" s="3048"/>
      <c r="AN289" s="3048"/>
      <c r="AO289" s="3048"/>
      <c r="AP289" s="3048"/>
      <c r="AQ289" s="3048"/>
      <c r="AR289" s="3048"/>
      <c r="AS289" s="3048"/>
      <c r="AT289" s="3048"/>
      <c r="AU289" s="3048"/>
    </row>
    <row r="290" spans="1:47">
      <c r="A290" s="3288"/>
      <c r="B290" s="3289"/>
      <c r="C290" s="3445"/>
      <c r="D290" s="3290"/>
      <c r="E290" s="3290"/>
      <c r="F290" s="3290"/>
      <c r="G290" s="3290"/>
      <c r="H290" s="3290"/>
      <c r="I290" s="3290"/>
      <c r="J290" s="3343"/>
      <c r="K290" s="3343"/>
      <c r="L290" s="3288"/>
      <c r="M290" s="3288"/>
      <c r="N290" s="3288"/>
      <c r="O290" s="3288"/>
      <c r="P290" s="3288"/>
      <c r="Q290" s="3384"/>
      <c r="R290" s="3288"/>
      <c r="S290" s="3385"/>
      <c r="T290" s="3288"/>
      <c r="U290" s="3288"/>
      <c r="V290" s="3298">
        <f>Table6268934562[[#This Row],[Offer Value]]-Table6268934562[[#This Row],[PO Value]]</f>
        <v>0</v>
      </c>
      <c r="W290" s="3288"/>
      <c r="X290" s="3288"/>
      <c r="Y290" s="3288"/>
      <c r="Z290" s="3066"/>
      <c r="AA290" s="3075"/>
      <c r="AB290" s="3048"/>
      <c r="AC290" s="3048"/>
      <c r="AD290" s="3048"/>
      <c r="AE290" s="3048"/>
      <c r="AF290" s="3048"/>
      <c r="AG290" s="3048"/>
      <c r="AH290" s="3048"/>
      <c r="AI290" s="3048"/>
      <c r="AJ290" s="3048"/>
      <c r="AK290" s="3048"/>
      <c r="AL290" s="3048"/>
      <c r="AM290" s="3048"/>
      <c r="AN290" s="3048"/>
      <c r="AO290" s="3048"/>
      <c r="AP290" s="3048"/>
      <c r="AQ290" s="3048"/>
      <c r="AR290" s="3048"/>
      <c r="AS290" s="3048"/>
      <c r="AT290" s="3048"/>
      <c r="AU290" s="3048"/>
    </row>
    <row r="291" spans="1:47">
      <c r="A291" s="3288"/>
      <c r="B291" s="3289"/>
      <c r="C291" s="3445"/>
      <c r="D291" s="3290"/>
      <c r="E291" s="3290"/>
      <c r="F291" s="3290"/>
      <c r="G291" s="3290"/>
      <c r="H291" s="3290"/>
      <c r="I291" s="3290"/>
      <c r="J291" s="3343"/>
      <c r="K291" s="3343"/>
      <c r="L291" s="3288"/>
      <c r="M291" s="3288"/>
      <c r="N291" s="3288"/>
      <c r="O291" s="3288"/>
      <c r="P291" s="3288"/>
      <c r="Q291" s="3384"/>
      <c r="R291" s="3289"/>
      <c r="S291" s="3385"/>
      <c r="T291" s="3288"/>
      <c r="U291" s="3288"/>
      <c r="V291" s="3298">
        <f>Table6268934562[[#This Row],[Offer Value]]-Table6268934562[[#This Row],[PO Value]]</f>
        <v>0</v>
      </c>
      <c r="W291" s="3288"/>
      <c r="X291" s="3288"/>
      <c r="Y291" s="3289"/>
      <c r="Z291" s="3066"/>
      <c r="AA291" s="3075"/>
      <c r="AB291" s="3048"/>
      <c r="AC291" s="3048"/>
      <c r="AD291" s="3048"/>
      <c r="AE291" s="3048"/>
      <c r="AF291" s="3048"/>
      <c r="AG291" s="3048"/>
      <c r="AH291" s="3048"/>
      <c r="AI291" s="3048"/>
      <c r="AJ291" s="3048"/>
      <c r="AK291" s="3048"/>
      <c r="AL291" s="3048"/>
      <c r="AM291" s="3048"/>
      <c r="AN291" s="3048"/>
      <c r="AO291" s="3048"/>
      <c r="AP291" s="3048"/>
      <c r="AQ291" s="3048"/>
      <c r="AR291" s="3048"/>
      <c r="AS291" s="3048"/>
      <c r="AT291" s="3048"/>
      <c r="AU291" s="3048"/>
    </row>
    <row r="292" spans="1:47">
      <c r="A292" s="3288"/>
      <c r="B292" s="3289"/>
      <c r="C292" s="3445"/>
      <c r="D292" s="3290"/>
      <c r="E292" s="3290"/>
      <c r="F292" s="3290"/>
      <c r="G292" s="3290"/>
      <c r="H292" s="3290"/>
      <c r="I292" s="3290"/>
      <c r="J292" s="3343"/>
      <c r="K292" s="3343"/>
      <c r="L292" s="3288"/>
      <c r="M292" s="3288"/>
      <c r="N292" s="3288"/>
      <c r="O292" s="3288"/>
      <c r="P292" s="3288"/>
      <c r="Q292" s="3384"/>
      <c r="R292" s="3288"/>
      <c r="S292" s="3385"/>
      <c r="T292" s="3288"/>
      <c r="U292" s="3288"/>
      <c r="V292" s="3298">
        <f>Table6268934562[[#This Row],[Offer Value]]-Table6268934562[[#This Row],[PO Value]]</f>
        <v>0</v>
      </c>
      <c r="W292" s="3288"/>
      <c r="X292" s="3288"/>
      <c r="Y292" s="3288"/>
      <c r="Z292" s="3066"/>
      <c r="AA292" s="3075"/>
      <c r="AB292" s="3048"/>
      <c r="AC292" s="3048"/>
      <c r="AD292" s="3048"/>
      <c r="AE292" s="3048"/>
      <c r="AF292" s="3048"/>
      <c r="AG292" s="3048"/>
      <c r="AH292" s="3048"/>
      <c r="AI292" s="3048"/>
      <c r="AJ292" s="3048"/>
      <c r="AK292" s="3048"/>
      <c r="AL292" s="3048"/>
      <c r="AM292" s="3048"/>
      <c r="AN292" s="3048"/>
      <c r="AO292" s="3048"/>
      <c r="AP292" s="3048"/>
      <c r="AQ292" s="3048"/>
      <c r="AR292" s="3048"/>
      <c r="AS292" s="3048"/>
      <c r="AT292" s="3048"/>
      <c r="AU292" s="3048"/>
    </row>
    <row r="293" spans="1:47">
      <c r="A293" s="3288"/>
      <c r="B293" s="3289"/>
      <c r="C293" s="3445"/>
      <c r="D293" s="3290"/>
      <c r="E293" s="3290"/>
      <c r="F293" s="3290"/>
      <c r="G293" s="3290"/>
      <c r="H293" s="3290"/>
      <c r="I293" s="3290"/>
      <c r="J293" s="3343"/>
      <c r="K293" s="3343"/>
      <c r="L293" s="3288"/>
      <c r="M293" s="3288"/>
      <c r="N293" s="3288"/>
      <c r="O293" s="3288"/>
      <c r="P293" s="3288"/>
      <c r="Q293" s="3384"/>
      <c r="R293" s="3288"/>
      <c r="S293" s="3385"/>
      <c r="T293" s="3288"/>
      <c r="U293" s="3288"/>
      <c r="V293" s="3298">
        <f>Table6268934562[[#This Row],[Offer Value]]-Table6268934562[[#This Row],[PO Value]]</f>
        <v>0</v>
      </c>
      <c r="W293" s="3288"/>
      <c r="X293" s="3288"/>
      <c r="Y293" s="3288"/>
      <c r="Z293" s="3066"/>
      <c r="AA293" s="3075"/>
      <c r="AB293" s="3048"/>
      <c r="AC293" s="3048"/>
      <c r="AD293" s="3048"/>
      <c r="AE293" s="3048"/>
      <c r="AF293" s="3048"/>
      <c r="AG293" s="3048"/>
      <c r="AH293" s="3048"/>
      <c r="AI293" s="3048"/>
      <c r="AJ293" s="3048"/>
      <c r="AK293" s="3048"/>
      <c r="AL293" s="3048"/>
      <c r="AM293" s="3048"/>
      <c r="AN293" s="3048"/>
      <c r="AO293" s="3048"/>
      <c r="AP293" s="3048"/>
      <c r="AQ293" s="3048"/>
      <c r="AR293" s="3048"/>
      <c r="AS293" s="3048"/>
      <c r="AT293" s="3048"/>
      <c r="AU293" s="3048"/>
    </row>
    <row r="294" spans="1:47">
      <c r="A294" s="3288"/>
      <c r="B294" s="3289"/>
      <c r="C294" s="3445"/>
      <c r="D294" s="3290"/>
      <c r="E294" s="3290"/>
      <c r="F294" s="3290"/>
      <c r="G294" s="3290"/>
      <c r="H294" s="3290"/>
      <c r="I294" s="3290"/>
      <c r="J294" s="3343"/>
      <c r="K294" s="3343"/>
      <c r="L294" s="3288"/>
      <c r="M294" s="3288"/>
      <c r="N294" s="3288"/>
      <c r="O294" s="3288"/>
      <c r="P294" s="3288"/>
      <c r="Q294" s="3384"/>
      <c r="R294" s="3288"/>
      <c r="S294" s="3385"/>
      <c r="T294" s="3288"/>
      <c r="U294" s="3288"/>
      <c r="V294" s="3298">
        <f>Table6268934562[[#This Row],[Offer Value]]-Table6268934562[[#This Row],[PO Value]]</f>
        <v>0</v>
      </c>
      <c r="W294" s="3288"/>
      <c r="X294" s="3288"/>
      <c r="Y294" s="3288"/>
      <c r="Z294" s="3066"/>
      <c r="AA294" s="3075"/>
      <c r="AB294" s="3048"/>
      <c r="AC294" s="3048"/>
      <c r="AD294" s="3048"/>
      <c r="AE294" s="3048"/>
      <c r="AF294" s="3048"/>
      <c r="AG294" s="3048"/>
      <c r="AH294" s="3048"/>
      <c r="AI294" s="3048"/>
      <c r="AJ294" s="3048"/>
      <c r="AK294" s="3048"/>
      <c r="AL294" s="3048"/>
      <c r="AM294" s="3048"/>
      <c r="AN294" s="3048"/>
      <c r="AO294" s="3048"/>
      <c r="AP294" s="3048"/>
      <c r="AQ294" s="3048"/>
      <c r="AR294" s="3048"/>
      <c r="AS294" s="3048"/>
      <c r="AT294" s="3048"/>
      <c r="AU294" s="3048"/>
    </row>
    <row r="295" spans="1:47">
      <c r="A295" s="3288"/>
      <c r="B295" s="3289"/>
      <c r="C295" s="3445"/>
      <c r="D295" s="3290"/>
      <c r="E295" s="3290"/>
      <c r="F295" s="3290"/>
      <c r="G295" s="3290"/>
      <c r="H295" s="3290"/>
      <c r="I295" s="3290"/>
      <c r="J295" s="3343"/>
      <c r="K295" s="3343"/>
      <c r="L295" s="3288"/>
      <c r="M295" s="3289"/>
      <c r="N295" s="3288"/>
      <c r="O295" s="3288"/>
      <c r="P295" s="3288"/>
      <c r="Q295" s="3384"/>
      <c r="R295" s="3288"/>
      <c r="S295" s="3385"/>
      <c r="T295" s="3288"/>
      <c r="U295" s="3288"/>
      <c r="V295" s="3298">
        <f>Table6268934562[[#This Row],[Offer Value]]-Table6268934562[[#This Row],[PO Value]]</f>
        <v>0</v>
      </c>
      <c r="W295" s="3288"/>
      <c r="X295" s="3288"/>
      <c r="Y295" s="3288"/>
      <c r="Z295" s="3066"/>
      <c r="AA295" s="3075"/>
      <c r="AB295" s="3048"/>
      <c r="AC295" s="3048"/>
      <c r="AD295" s="3048"/>
      <c r="AE295" s="3048"/>
      <c r="AF295" s="3048"/>
      <c r="AG295" s="3048"/>
      <c r="AH295" s="3048"/>
      <c r="AI295" s="3048"/>
      <c r="AJ295" s="3048"/>
      <c r="AK295" s="3048"/>
      <c r="AL295" s="3048"/>
      <c r="AM295" s="3048"/>
      <c r="AN295" s="3048"/>
      <c r="AO295" s="3048"/>
      <c r="AP295" s="3048"/>
      <c r="AQ295" s="3048"/>
      <c r="AR295" s="3048"/>
      <c r="AS295" s="3048"/>
      <c r="AT295" s="3048"/>
      <c r="AU295" s="3048"/>
    </row>
    <row r="296" spans="1:47">
      <c r="A296" s="3288"/>
      <c r="B296" s="3289"/>
      <c r="C296" s="3445"/>
      <c r="D296" s="3290"/>
      <c r="E296" s="3290"/>
      <c r="F296" s="3290"/>
      <c r="G296" s="3290"/>
      <c r="H296" s="3290"/>
      <c r="I296" s="3290"/>
      <c r="J296" s="3343"/>
      <c r="K296" s="3343"/>
      <c r="L296" s="3288"/>
      <c r="M296" s="3288"/>
      <c r="N296" s="3288"/>
      <c r="O296" s="3288"/>
      <c r="P296" s="3288"/>
      <c r="Q296" s="3384"/>
      <c r="R296" s="3289"/>
      <c r="S296" s="3385"/>
      <c r="T296" s="3288"/>
      <c r="U296" s="3288"/>
      <c r="V296" s="3298">
        <f>Table6268934562[[#This Row],[Offer Value]]-Table6268934562[[#This Row],[PO Value]]</f>
        <v>0</v>
      </c>
      <c r="W296" s="3288"/>
      <c r="X296" s="3288"/>
      <c r="Y296" s="3289"/>
      <c r="Z296" s="3066"/>
      <c r="AA296" s="3075"/>
      <c r="AB296" s="3048"/>
      <c r="AC296" s="3048"/>
      <c r="AD296" s="3048"/>
      <c r="AE296" s="3048"/>
      <c r="AF296" s="3048"/>
      <c r="AG296" s="3048"/>
      <c r="AH296" s="3048"/>
      <c r="AI296" s="3048"/>
      <c r="AJ296" s="3048"/>
      <c r="AK296" s="3048"/>
      <c r="AL296" s="3048"/>
      <c r="AM296" s="3048"/>
      <c r="AN296" s="3048"/>
      <c r="AO296" s="3048"/>
      <c r="AP296" s="3048"/>
      <c r="AQ296" s="3048"/>
      <c r="AR296" s="3048"/>
      <c r="AS296" s="3048"/>
      <c r="AT296" s="3048"/>
      <c r="AU296" s="3048"/>
    </row>
    <row r="297" spans="1:47">
      <c r="A297" s="3288"/>
      <c r="B297" s="3288"/>
      <c r="C297" s="3445"/>
      <c r="D297" s="3290"/>
      <c r="E297" s="3290"/>
      <c r="F297" s="3290"/>
      <c r="G297" s="3290"/>
      <c r="H297" s="3290"/>
      <c r="I297" s="3290"/>
      <c r="J297" s="3343"/>
      <c r="K297" s="3343"/>
      <c r="L297" s="3288"/>
      <c r="M297" s="3288"/>
      <c r="N297" s="3288"/>
      <c r="O297" s="3288"/>
      <c r="P297" s="3288"/>
      <c r="Q297" s="3384"/>
      <c r="R297" s="3288"/>
      <c r="S297" s="3385"/>
      <c r="T297" s="3288"/>
      <c r="U297" s="3288"/>
      <c r="V297" s="3298">
        <f>Table6268934562[[#This Row],[Offer Value]]-Table6268934562[[#This Row],[PO Value]]</f>
        <v>0</v>
      </c>
      <c r="W297" s="3288"/>
      <c r="X297" s="3288"/>
      <c r="Y297" s="3288"/>
      <c r="Z297" s="3066"/>
      <c r="AA297" s="3075"/>
      <c r="AB297" s="3048"/>
      <c r="AC297" s="3048"/>
      <c r="AD297" s="3048"/>
      <c r="AE297" s="3048"/>
      <c r="AF297" s="3048"/>
      <c r="AG297" s="3048"/>
      <c r="AH297" s="3048"/>
      <c r="AI297" s="3048"/>
      <c r="AJ297" s="3048"/>
      <c r="AK297" s="3048"/>
      <c r="AL297" s="3048"/>
      <c r="AM297" s="3048"/>
      <c r="AN297" s="3048"/>
      <c r="AO297" s="3048"/>
      <c r="AP297" s="3048"/>
      <c r="AQ297" s="3048"/>
      <c r="AR297" s="3048"/>
      <c r="AS297" s="3048"/>
      <c r="AT297" s="3048"/>
      <c r="AU297" s="3048"/>
    </row>
    <row r="298" spans="1:47">
      <c r="A298" s="3288"/>
      <c r="B298" s="3288"/>
      <c r="C298" s="3445"/>
      <c r="D298" s="3290"/>
      <c r="E298" s="3290"/>
      <c r="F298" s="3290"/>
      <c r="G298" s="3290"/>
      <c r="H298" s="3290"/>
      <c r="I298" s="3290"/>
      <c r="J298" s="3343"/>
      <c r="K298" s="3343"/>
      <c r="L298" s="3288"/>
      <c r="M298" s="3289"/>
      <c r="N298" s="3288"/>
      <c r="O298" s="3288"/>
      <c r="P298" s="3288"/>
      <c r="Q298" s="3384"/>
      <c r="R298" s="3288"/>
      <c r="S298" s="3385"/>
      <c r="T298" s="3288"/>
      <c r="U298" s="3288"/>
      <c r="V298" s="3298">
        <f>Table6268934562[[#This Row],[Offer Value]]-Table6268934562[[#This Row],[PO Value]]</f>
        <v>0</v>
      </c>
      <c r="W298" s="3288"/>
      <c r="X298" s="3288"/>
      <c r="Y298" s="3288"/>
      <c r="Z298" s="3066"/>
      <c r="AA298" s="3075"/>
      <c r="AB298" s="3048"/>
      <c r="AC298" s="3048"/>
      <c r="AD298" s="3048"/>
      <c r="AE298" s="3048"/>
      <c r="AF298" s="3048"/>
      <c r="AG298" s="3048"/>
      <c r="AH298" s="3048"/>
      <c r="AI298" s="3048"/>
      <c r="AJ298" s="3048"/>
      <c r="AK298" s="3048"/>
      <c r="AL298" s="3048"/>
      <c r="AM298" s="3048"/>
      <c r="AN298" s="3048"/>
      <c r="AO298" s="3048"/>
      <c r="AP298" s="3048"/>
      <c r="AQ298" s="3048"/>
      <c r="AR298" s="3048"/>
      <c r="AS298" s="3048"/>
      <c r="AT298" s="3048"/>
      <c r="AU298" s="3048"/>
    </row>
    <row r="299" spans="1:47">
      <c r="A299" s="3288"/>
      <c r="B299" s="3288"/>
      <c r="C299" s="3445"/>
      <c r="D299" s="3290"/>
      <c r="E299" s="3290"/>
      <c r="F299" s="3290"/>
      <c r="G299" s="3290"/>
      <c r="H299" s="3290"/>
      <c r="I299" s="3290"/>
      <c r="J299" s="3343"/>
      <c r="K299" s="3343"/>
      <c r="L299" s="3288"/>
      <c r="M299" s="3289"/>
      <c r="N299" s="3288"/>
      <c r="O299" s="3288"/>
      <c r="P299" s="3288"/>
      <c r="Q299" s="3384"/>
      <c r="R299" s="3288"/>
      <c r="S299" s="3385"/>
      <c r="T299" s="3288"/>
      <c r="U299" s="3288"/>
      <c r="V299" s="3298">
        <f>Table6268934562[[#This Row],[Offer Value]]-Table6268934562[[#This Row],[PO Value]]</f>
        <v>0</v>
      </c>
      <c r="W299" s="3288"/>
      <c r="X299" s="3288"/>
      <c r="Y299" s="3288"/>
      <c r="Z299" s="3066"/>
      <c r="AA299" s="3075"/>
      <c r="AB299" s="3048"/>
      <c r="AC299" s="3048"/>
      <c r="AD299" s="3048"/>
      <c r="AE299" s="3048"/>
      <c r="AF299" s="3048"/>
      <c r="AG299" s="3048"/>
      <c r="AH299" s="3048"/>
      <c r="AI299" s="3048"/>
      <c r="AJ299" s="3048"/>
      <c r="AK299" s="3048"/>
      <c r="AL299" s="3048"/>
      <c r="AM299" s="3048"/>
      <c r="AN299" s="3048"/>
      <c r="AO299" s="3048"/>
      <c r="AP299" s="3048"/>
      <c r="AQ299" s="3048"/>
      <c r="AR299" s="3048"/>
      <c r="AS299" s="3048"/>
      <c r="AT299" s="3048"/>
      <c r="AU299" s="3048"/>
    </row>
    <row r="300" spans="1:47">
      <c r="A300" s="3288"/>
      <c r="B300" s="3288"/>
      <c r="C300" s="3445"/>
      <c r="D300" s="3290"/>
      <c r="E300" s="3290"/>
      <c r="F300" s="3290"/>
      <c r="G300" s="3290"/>
      <c r="H300" s="3290"/>
      <c r="I300" s="3290"/>
      <c r="J300" s="3343"/>
      <c r="K300" s="3343"/>
      <c r="L300" s="3288"/>
      <c r="M300" s="3289"/>
      <c r="N300" s="3288"/>
      <c r="O300" s="3288"/>
      <c r="P300" s="3288"/>
      <c r="Q300" s="3384"/>
      <c r="R300" s="3288"/>
      <c r="S300" s="3385"/>
      <c r="T300" s="3288"/>
      <c r="U300" s="3288"/>
      <c r="V300" s="3298">
        <f>Table6268934562[[#This Row],[Offer Value]]-Table6268934562[[#This Row],[PO Value]]</f>
        <v>0</v>
      </c>
      <c r="W300" s="3288"/>
      <c r="X300" s="3288"/>
      <c r="Y300" s="3288"/>
    </row>
    <row r="301" spans="1:47">
      <c r="A301" s="3288"/>
      <c r="B301" s="3288"/>
      <c r="C301" s="3445"/>
      <c r="D301" s="3290"/>
      <c r="E301" s="3290"/>
      <c r="F301" s="3290"/>
      <c r="G301" s="3290"/>
      <c r="H301" s="3290"/>
      <c r="I301" s="3290"/>
      <c r="J301" s="3343"/>
      <c r="K301" s="3343"/>
      <c r="L301" s="3288"/>
      <c r="M301" s="3289"/>
      <c r="N301" s="3288"/>
      <c r="O301" s="3288"/>
      <c r="P301" s="3288"/>
      <c r="Q301" s="3384"/>
      <c r="R301" s="3288"/>
      <c r="S301" s="3385"/>
      <c r="T301" s="3288"/>
      <c r="U301" s="3288"/>
      <c r="V301" s="3298">
        <f>Table6268934562[[#This Row],[Offer Value]]-Table6268934562[[#This Row],[PO Value]]</f>
        <v>0</v>
      </c>
      <c r="W301" s="3288"/>
      <c r="X301" s="3288"/>
      <c r="Y301" s="3288"/>
    </row>
    <row r="302" spans="1:47">
      <c r="A302" s="3288"/>
      <c r="B302" s="3288"/>
      <c r="C302" s="3445"/>
      <c r="D302" s="3290"/>
      <c r="E302" s="3290"/>
      <c r="F302" s="3290"/>
      <c r="G302" s="3290"/>
      <c r="H302" s="3290"/>
      <c r="I302" s="3290"/>
      <c r="J302" s="3343"/>
      <c r="K302" s="3343"/>
      <c r="L302" s="3288"/>
      <c r="M302" s="3289"/>
      <c r="N302" s="3288"/>
      <c r="O302" s="3288"/>
      <c r="P302" s="3288"/>
      <c r="Q302" s="3384"/>
      <c r="R302" s="3288"/>
      <c r="S302" s="3385"/>
      <c r="T302" s="3288"/>
      <c r="U302" s="3288"/>
      <c r="V302" s="3298">
        <f>Table6268934562[[#This Row],[Offer Value]]-Table6268934562[[#This Row],[PO Value]]</f>
        <v>0</v>
      </c>
      <c r="W302" s="3288"/>
      <c r="X302" s="3288"/>
      <c r="Y302" s="3288"/>
    </row>
    <row r="303" spans="1:47">
      <c r="A303" s="3288"/>
      <c r="B303" s="3288"/>
      <c r="C303" s="3445"/>
      <c r="D303" s="3290"/>
      <c r="E303" s="3290"/>
      <c r="F303" s="3290"/>
      <c r="G303" s="3290"/>
      <c r="H303" s="3290"/>
      <c r="I303" s="3290"/>
      <c r="J303" s="3343"/>
      <c r="K303" s="3343"/>
      <c r="L303" s="3288"/>
      <c r="M303" s="3289"/>
      <c r="N303" s="3288"/>
      <c r="O303" s="3288"/>
      <c r="P303" s="3288"/>
      <c r="Q303" s="3384"/>
      <c r="R303" s="3288"/>
      <c r="S303" s="3385"/>
      <c r="T303" s="3288"/>
      <c r="U303" s="3288"/>
      <c r="V303" s="3298">
        <f>Table6268934562[[#This Row],[Offer Value]]-Table6268934562[[#This Row],[PO Value]]</f>
        <v>0</v>
      </c>
      <c r="W303" s="3288"/>
      <c r="X303" s="3288"/>
      <c r="Y303" s="3288"/>
    </row>
    <row r="304" spans="1:47">
      <c r="A304" s="3288"/>
      <c r="B304" s="3288"/>
      <c r="C304" s="3445"/>
      <c r="D304" s="3290"/>
      <c r="E304" s="3290"/>
      <c r="F304" s="3290"/>
      <c r="G304" s="3290"/>
      <c r="H304" s="3290"/>
      <c r="I304" s="3290"/>
      <c r="J304" s="3343"/>
      <c r="K304" s="3343"/>
      <c r="L304" s="3288"/>
      <c r="M304" s="3289"/>
      <c r="N304" s="3288"/>
      <c r="O304" s="3288"/>
      <c r="P304" s="3288"/>
      <c r="Q304" s="3384"/>
      <c r="R304" s="3288"/>
      <c r="S304" s="3385"/>
      <c r="T304" s="3288"/>
      <c r="U304" s="3288"/>
      <c r="V304" s="3298">
        <f>Table6268934562[[#This Row],[Offer Value]]-Table6268934562[[#This Row],[PO Value]]</f>
        <v>0</v>
      </c>
      <c r="W304" s="3288"/>
      <c r="X304" s="3288"/>
      <c r="Y304" s="3288"/>
    </row>
    <row r="305" spans="1:25">
      <c r="A305" s="3288"/>
      <c r="B305" s="3288"/>
      <c r="C305" s="3445"/>
      <c r="D305" s="3290"/>
      <c r="E305" s="3290"/>
      <c r="F305" s="3290"/>
      <c r="G305" s="3290"/>
      <c r="H305" s="3290"/>
      <c r="I305" s="3290"/>
      <c r="J305" s="3343"/>
      <c r="K305" s="3343"/>
      <c r="L305" s="3288"/>
      <c r="M305" s="3289"/>
      <c r="N305" s="3288"/>
      <c r="O305" s="3288"/>
      <c r="P305" s="3288"/>
      <c r="Q305" s="3384"/>
      <c r="R305" s="3288"/>
      <c r="S305" s="3385"/>
      <c r="T305" s="3288"/>
      <c r="U305" s="3288"/>
      <c r="V305" s="3298">
        <f>Table6268934562[[#This Row],[Offer Value]]-Table6268934562[[#This Row],[PO Value]]</f>
        <v>0</v>
      </c>
      <c r="W305" s="3288"/>
      <c r="X305" s="3288"/>
      <c r="Y305" s="3288"/>
    </row>
    <row r="306" spans="1:25">
      <c r="A306" s="3288"/>
      <c r="B306" s="3288"/>
      <c r="C306" s="3445"/>
      <c r="D306" s="3290"/>
      <c r="E306" s="3290"/>
      <c r="F306" s="3290"/>
      <c r="G306" s="3290"/>
      <c r="H306" s="3290"/>
      <c r="I306" s="3290"/>
      <c r="J306" s="3343"/>
      <c r="K306" s="3343"/>
      <c r="L306" s="3288"/>
      <c r="M306" s="3288"/>
      <c r="N306" s="3288"/>
      <c r="O306" s="3288"/>
      <c r="P306" s="3288"/>
      <c r="Q306" s="3384"/>
      <c r="R306" s="3288"/>
      <c r="S306" s="3385"/>
      <c r="T306" s="3288"/>
      <c r="U306" s="3288"/>
      <c r="V306" s="3298">
        <f>Table6268934562[[#This Row],[Offer Value]]-Table6268934562[[#This Row],[PO Value]]</f>
        <v>0</v>
      </c>
      <c r="W306" s="3288"/>
      <c r="X306" s="3288"/>
      <c r="Y306" s="3288"/>
    </row>
    <row r="307" spans="1:25">
      <c r="A307" s="3288"/>
      <c r="B307" s="3288"/>
      <c r="C307" s="3445"/>
      <c r="D307" s="3290"/>
      <c r="E307" s="3290"/>
      <c r="F307" s="3290"/>
      <c r="G307" s="3290"/>
      <c r="H307" s="3290"/>
      <c r="I307" s="3290"/>
      <c r="J307" s="3343"/>
      <c r="K307" s="3343"/>
      <c r="L307" s="3288"/>
      <c r="M307" s="3288"/>
      <c r="N307" s="3288"/>
      <c r="O307" s="3288"/>
      <c r="P307" s="3288"/>
      <c r="Q307" s="3384"/>
      <c r="R307" s="3288"/>
      <c r="S307" s="3385"/>
      <c r="T307" s="3288"/>
      <c r="U307" s="3288"/>
      <c r="V307" s="3298">
        <f>Table6268934562[[#This Row],[Offer Value]]-Table6268934562[[#This Row],[PO Value]]</f>
        <v>0</v>
      </c>
      <c r="W307" s="3288"/>
      <c r="X307" s="3288"/>
      <c r="Y307" s="3288"/>
    </row>
    <row r="308" spans="1:25">
      <c r="A308" s="3288"/>
      <c r="B308" s="3288"/>
      <c r="C308" s="3445"/>
      <c r="D308" s="3290"/>
      <c r="E308" s="3290"/>
      <c r="F308" s="3290"/>
      <c r="G308" s="3290"/>
      <c r="H308" s="3290"/>
      <c r="I308" s="3290"/>
      <c r="J308" s="3343"/>
      <c r="K308" s="3343"/>
      <c r="L308" s="3288"/>
      <c r="M308" s="3288"/>
      <c r="N308" s="3288"/>
      <c r="O308" s="3288"/>
      <c r="P308" s="3288"/>
      <c r="Q308" s="3384"/>
      <c r="R308" s="3288"/>
      <c r="S308" s="3385"/>
      <c r="T308" s="3288"/>
      <c r="U308" s="3288"/>
      <c r="V308" s="3298">
        <f>Table6268934562[[#This Row],[Offer Value]]-Table6268934562[[#This Row],[PO Value]]</f>
        <v>0</v>
      </c>
      <c r="W308" s="3288"/>
      <c r="X308" s="3288"/>
      <c r="Y308" s="3288"/>
    </row>
    <row r="309" spans="1:25">
      <c r="A309" s="3288"/>
      <c r="B309" s="3288"/>
      <c r="C309" s="3445"/>
      <c r="D309" s="3290"/>
      <c r="E309" s="3290"/>
      <c r="F309" s="3290"/>
      <c r="G309" s="3290"/>
      <c r="H309" s="3290"/>
      <c r="I309" s="3290"/>
      <c r="J309" s="3343"/>
      <c r="K309" s="3343"/>
      <c r="L309" s="3288"/>
      <c r="M309" s="3288"/>
      <c r="N309" s="3288"/>
      <c r="O309" s="3288"/>
      <c r="P309" s="3288"/>
      <c r="Q309" s="3384"/>
      <c r="R309" s="3288"/>
      <c r="S309" s="3385"/>
      <c r="T309" s="3288"/>
      <c r="U309" s="3288"/>
      <c r="V309" s="3298">
        <f>Table6268934562[[#This Row],[Offer Value]]-Table6268934562[[#This Row],[PO Value]]</f>
        <v>0</v>
      </c>
      <c r="W309" s="3288"/>
      <c r="X309" s="3288"/>
      <c r="Y309" s="3288"/>
    </row>
    <row r="310" spans="1:25">
      <c r="A310" s="3288"/>
      <c r="B310" s="3288"/>
      <c r="C310" s="3445"/>
      <c r="D310" s="3290"/>
      <c r="E310" s="3290"/>
      <c r="F310" s="3290"/>
      <c r="G310" s="3290"/>
      <c r="H310" s="3290"/>
      <c r="I310" s="3290"/>
      <c r="J310" s="3343"/>
      <c r="K310" s="3343"/>
      <c r="L310" s="3288"/>
      <c r="M310" s="3288"/>
      <c r="N310" s="3288"/>
      <c r="O310" s="3288"/>
      <c r="P310" s="3288"/>
      <c r="Q310" s="3384"/>
      <c r="R310" s="3288"/>
      <c r="S310" s="3385"/>
      <c r="T310" s="3288"/>
      <c r="U310" s="3288"/>
      <c r="V310" s="3298">
        <f>Table6268934562[[#This Row],[Offer Value]]-Table6268934562[[#This Row],[PO Value]]</f>
        <v>0</v>
      </c>
      <c r="W310" s="3288"/>
      <c r="X310" s="3288"/>
      <c r="Y310" s="3288"/>
    </row>
    <row r="311" spans="1:25">
      <c r="A311" s="3288"/>
      <c r="B311" s="3288"/>
      <c r="C311" s="3445"/>
      <c r="D311" s="3290"/>
      <c r="E311" s="3290"/>
      <c r="F311" s="3290"/>
      <c r="G311" s="3290"/>
      <c r="H311" s="3290"/>
      <c r="I311" s="3290"/>
      <c r="J311" s="3343"/>
      <c r="K311" s="3343"/>
      <c r="L311" s="3288"/>
      <c r="M311" s="3289"/>
      <c r="N311" s="3288"/>
      <c r="O311" s="3288"/>
      <c r="P311" s="3288"/>
      <c r="Q311" s="3384"/>
      <c r="R311" s="3288"/>
      <c r="S311" s="3385"/>
      <c r="T311" s="3288"/>
      <c r="U311" s="3288"/>
      <c r="V311" s="3298">
        <f>Table6268934562[[#This Row],[Offer Value]]-Table6268934562[[#This Row],[PO Value]]</f>
        <v>0</v>
      </c>
      <c r="W311" s="3288"/>
      <c r="X311" s="3288"/>
      <c r="Y311" s="3288"/>
    </row>
    <row r="312" spans="1:25">
      <c r="A312" s="3288"/>
      <c r="B312" s="3288"/>
      <c r="C312" s="3445"/>
      <c r="D312" s="3290"/>
      <c r="E312" s="3290"/>
      <c r="F312" s="3290"/>
      <c r="G312" s="3290"/>
      <c r="H312" s="3290"/>
      <c r="I312" s="3290"/>
      <c r="J312" s="3343"/>
      <c r="K312" s="3343"/>
      <c r="L312" s="3288"/>
      <c r="M312" s="3288"/>
      <c r="N312" s="3288"/>
      <c r="O312" s="3288"/>
      <c r="P312" s="3288"/>
      <c r="Q312" s="3384"/>
      <c r="R312" s="3288"/>
      <c r="S312" s="3385"/>
      <c r="T312" s="3288"/>
      <c r="U312" s="3288"/>
      <c r="V312" s="3298">
        <f>Table6268934562[[#This Row],[Offer Value]]-Table6268934562[[#This Row],[PO Value]]</f>
        <v>0</v>
      </c>
      <c r="W312" s="3288"/>
      <c r="X312" s="3288"/>
      <c r="Y312" s="3288"/>
    </row>
    <row r="313" spans="1:25">
      <c r="A313" s="3288"/>
      <c r="B313" s="3288"/>
      <c r="C313" s="3445"/>
      <c r="D313" s="3290"/>
      <c r="E313" s="3290"/>
      <c r="F313" s="3290"/>
      <c r="G313" s="3290"/>
      <c r="H313" s="3290"/>
      <c r="I313" s="3290"/>
      <c r="J313" s="3343"/>
      <c r="K313" s="3343"/>
      <c r="L313" s="3288"/>
      <c r="M313" s="3288"/>
      <c r="N313" s="3288"/>
      <c r="O313" s="3288"/>
      <c r="P313" s="3288"/>
      <c r="Q313" s="3384"/>
      <c r="R313" s="3288"/>
      <c r="S313" s="3385"/>
      <c r="T313" s="3288"/>
      <c r="U313" s="3288"/>
      <c r="V313" s="3298">
        <f>Table6268934562[[#This Row],[Offer Value]]-Table6268934562[[#This Row],[PO Value]]</f>
        <v>0</v>
      </c>
      <c r="W313" s="3288"/>
      <c r="X313" s="3288"/>
      <c r="Y313" s="3288"/>
    </row>
    <row r="314" spans="1:25">
      <c r="A314" s="3288"/>
      <c r="B314" s="3288"/>
      <c r="C314" s="3445"/>
      <c r="D314" s="3290"/>
      <c r="E314" s="3290"/>
      <c r="F314" s="3290"/>
      <c r="G314" s="3290"/>
      <c r="H314" s="3290"/>
      <c r="I314" s="3290"/>
      <c r="J314" s="3343"/>
      <c r="K314" s="3343"/>
      <c r="L314" s="3288"/>
      <c r="M314" s="3289"/>
      <c r="N314" s="3288"/>
      <c r="O314" s="3288"/>
      <c r="P314" s="3288"/>
      <c r="Q314" s="3384"/>
      <c r="R314" s="3288"/>
      <c r="S314" s="3385"/>
      <c r="T314" s="3288"/>
      <c r="U314" s="3288"/>
      <c r="V314" s="3298">
        <f>Table6268934562[[#This Row],[Offer Value]]-Table6268934562[[#This Row],[PO Value]]</f>
        <v>0</v>
      </c>
      <c r="W314" s="3288"/>
      <c r="X314" s="3288"/>
      <c r="Y314" s="3288"/>
    </row>
    <row r="315" spans="1:25">
      <c r="A315" s="3288"/>
      <c r="B315" s="3288"/>
      <c r="C315" s="3445"/>
      <c r="D315" s="3290"/>
      <c r="E315" s="3290"/>
      <c r="F315" s="3290"/>
      <c r="G315" s="3290"/>
      <c r="H315" s="3290"/>
      <c r="I315" s="3290"/>
      <c r="J315" s="3343"/>
      <c r="K315" s="3343"/>
      <c r="L315" s="3288"/>
      <c r="M315" s="3288"/>
      <c r="N315" s="3288"/>
      <c r="O315" s="3288"/>
      <c r="P315" s="3288"/>
      <c r="Q315" s="3384"/>
      <c r="R315" s="3288"/>
      <c r="S315" s="3385"/>
      <c r="T315" s="3288"/>
      <c r="U315" s="3288"/>
      <c r="V315" s="3298">
        <f>Table6268934562[[#This Row],[Offer Value]]-Table6268934562[[#This Row],[PO Value]]</f>
        <v>0</v>
      </c>
      <c r="W315" s="3288"/>
      <c r="X315" s="3288"/>
      <c r="Y315" s="3288"/>
    </row>
    <row r="316" spans="1:25">
      <c r="A316" s="3288"/>
      <c r="B316" s="3288"/>
      <c r="C316" s="3445"/>
      <c r="D316" s="3290"/>
      <c r="E316" s="3290"/>
      <c r="F316" s="3290"/>
      <c r="G316" s="3290"/>
      <c r="H316" s="3290"/>
      <c r="I316" s="3290"/>
      <c r="J316" s="3343"/>
      <c r="K316" s="3343"/>
      <c r="L316" s="3288"/>
      <c r="M316" s="3288"/>
      <c r="N316" s="3288"/>
      <c r="O316" s="3288"/>
      <c r="P316" s="3288"/>
      <c r="Q316" s="3384"/>
      <c r="R316" s="3289"/>
      <c r="S316" s="3385"/>
      <c r="T316" s="3288"/>
      <c r="U316" s="3288"/>
      <c r="V316" s="3298">
        <f>Table6268934562[[#This Row],[Offer Value]]-Table6268934562[[#This Row],[PO Value]]</f>
        <v>0</v>
      </c>
      <c r="W316" s="3288"/>
      <c r="X316" s="3288"/>
      <c r="Y316" s="3289"/>
    </row>
    <row r="317" spans="1:25">
      <c r="A317" s="3288"/>
      <c r="B317" s="3288"/>
      <c r="C317" s="3445"/>
      <c r="D317" s="3290"/>
      <c r="E317" s="3290"/>
      <c r="F317" s="3290"/>
      <c r="G317" s="3290"/>
      <c r="H317" s="3290"/>
      <c r="I317" s="3290"/>
      <c r="J317" s="3343"/>
      <c r="K317" s="3343"/>
      <c r="L317" s="3288"/>
      <c r="M317" s="3288"/>
      <c r="N317" s="3288"/>
      <c r="O317" s="3288"/>
      <c r="P317" s="3288"/>
      <c r="Q317" s="3384"/>
      <c r="R317" s="3288"/>
      <c r="S317" s="3385"/>
      <c r="T317" s="3288"/>
      <c r="U317" s="3288"/>
      <c r="V317" s="3298">
        <f>Table6268934562[[#This Row],[Offer Value]]-Table6268934562[[#This Row],[PO Value]]</f>
        <v>0</v>
      </c>
      <c r="W317" s="3288"/>
      <c r="X317" s="3288"/>
      <c r="Y317" s="3288"/>
    </row>
    <row r="318" spans="1:25">
      <c r="A318" s="3288"/>
      <c r="B318" s="3288"/>
      <c r="C318" s="3445"/>
      <c r="D318" s="3290"/>
      <c r="E318" s="3290"/>
      <c r="F318" s="3290"/>
      <c r="G318" s="3290"/>
      <c r="H318" s="3290"/>
      <c r="I318" s="3290"/>
      <c r="J318" s="3343"/>
      <c r="K318" s="3343"/>
      <c r="L318" s="3288"/>
      <c r="M318" s="3289"/>
      <c r="N318" s="3288"/>
      <c r="O318" s="3288"/>
      <c r="P318" s="3288"/>
      <c r="Q318" s="3384"/>
      <c r="R318" s="3288"/>
      <c r="S318" s="3385"/>
      <c r="T318" s="3288"/>
      <c r="U318" s="3288"/>
      <c r="V318" s="3298">
        <f>Table6268934562[[#This Row],[Offer Value]]-Table6268934562[[#This Row],[PO Value]]</f>
        <v>0</v>
      </c>
      <c r="W318" s="3288"/>
      <c r="X318" s="3288"/>
      <c r="Y318" s="3288"/>
    </row>
    <row r="319" spans="1:25">
      <c r="A319" s="3288"/>
      <c r="B319" s="3288"/>
      <c r="C319" s="3445"/>
      <c r="D319" s="3290"/>
      <c r="E319" s="3290"/>
      <c r="F319" s="3290"/>
      <c r="G319" s="3290"/>
      <c r="H319" s="3290"/>
      <c r="I319" s="3290"/>
      <c r="J319" s="3343"/>
      <c r="K319" s="3343"/>
      <c r="L319" s="3288"/>
      <c r="M319" s="3288"/>
      <c r="N319" s="3288"/>
      <c r="O319" s="3288"/>
      <c r="P319" s="3288"/>
      <c r="Q319" s="3384"/>
      <c r="R319" s="3288"/>
      <c r="S319" s="3385"/>
      <c r="T319" s="3288"/>
      <c r="U319" s="3288"/>
      <c r="V319" s="3298">
        <f>Table6268934562[[#This Row],[Offer Value]]-Table6268934562[[#This Row],[PO Value]]</f>
        <v>0</v>
      </c>
      <c r="W319" s="3288"/>
      <c r="X319" s="3288"/>
      <c r="Y319" s="3288"/>
    </row>
    <row r="320" spans="1:25">
      <c r="A320" s="3288"/>
      <c r="B320" s="3288"/>
      <c r="C320" s="3445"/>
      <c r="D320" s="3290"/>
      <c r="E320" s="3290"/>
      <c r="F320" s="3290"/>
      <c r="G320" s="3290"/>
      <c r="H320" s="3290"/>
      <c r="I320" s="3290"/>
      <c r="J320" s="3343"/>
      <c r="K320" s="3343"/>
      <c r="L320" s="3288"/>
      <c r="M320" s="3288"/>
      <c r="N320" s="3288"/>
      <c r="O320" s="3288"/>
      <c r="P320" s="3288"/>
      <c r="Q320" s="3384"/>
      <c r="R320" s="3288"/>
      <c r="S320" s="3385"/>
      <c r="T320" s="3288"/>
      <c r="U320" s="3288"/>
      <c r="V320" s="3298">
        <f>Table6268934562[[#This Row],[Offer Value]]-Table6268934562[[#This Row],[PO Value]]</f>
        <v>0</v>
      </c>
      <c r="W320" s="3288"/>
      <c r="X320" s="3288"/>
      <c r="Y320" s="3288"/>
    </row>
    <row r="321" spans="1:25">
      <c r="A321" s="3288"/>
      <c r="B321" s="3288"/>
      <c r="C321" s="3445"/>
      <c r="D321" s="3290"/>
      <c r="E321" s="3290"/>
      <c r="F321" s="3290"/>
      <c r="G321" s="3290"/>
      <c r="H321" s="3290"/>
      <c r="I321" s="3290"/>
      <c r="J321" s="3343"/>
      <c r="K321" s="3343"/>
      <c r="L321" s="3288"/>
      <c r="M321" s="3288"/>
      <c r="N321" s="3288"/>
      <c r="O321" s="3288"/>
      <c r="P321" s="3288"/>
      <c r="Q321" s="3384"/>
      <c r="R321" s="3288"/>
      <c r="S321" s="3385"/>
      <c r="T321" s="3288"/>
      <c r="U321" s="3288"/>
      <c r="V321" s="3298">
        <f>Table6268934562[[#This Row],[Offer Value]]-Table6268934562[[#This Row],[PO Value]]</f>
        <v>0</v>
      </c>
      <c r="W321" s="3288"/>
      <c r="X321" s="3288"/>
      <c r="Y321" s="3288"/>
    </row>
    <row r="322" spans="1:25">
      <c r="A322" s="3288"/>
      <c r="B322" s="3288"/>
      <c r="C322" s="3445"/>
      <c r="D322" s="3290"/>
      <c r="E322" s="3290"/>
      <c r="F322" s="3290"/>
      <c r="G322" s="3290"/>
      <c r="H322" s="3290"/>
      <c r="I322" s="3290"/>
      <c r="J322" s="3343"/>
      <c r="K322" s="3343"/>
      <c r="L322" s="3288"/>
      <c r="M322" s="3289"/>
      <c r="N322" s="3288"/>
      <c r="O322" s="3288"/>
      <c r="P322" s="3288"/>
      <c r="Q322" s="3384"/>
      <c r="R322" s="3288"/>
      <c r="S322" s="3385"/>
      <c r="T322" s="3288"/>
      <c r="U322" s="3288"/>
      <c r="V322" s="3298">
        <f>Table6268934562[[#This Row],[Offer Value]]-Table6268934562[[#This Row],[PO Value]]</f>
        <v>0</v>
      </c>
      <c r="W322" s="3288"/>
      <c r="X322" s="3288"/>
      <c r="Y322" s="3288"/>
    </row>
    <row r="323" spans="1:25">
      <c r="A323" s="3288"/>
      <c r="B323" s="3288"/>
      <c r="C323" s="3445"/>
      <c r="D323" s="3290"/>
      <c r="E323" s="3290"/>
      <c r="F323" s="3290"/>
      <c r="G323" s="3290"/>
      <c r="H323" s="3290"/>
      <c r="I323" s="3290"/>
      <c r="J323" s="3343"/>
      <c r="K323" s="3343"/>
      <c r="L323" s="3288"/>
      <c r="M323" s="3289"/>
      <c r="N323" s="3288"/>
      <c r="O323" s="3288"/>
      <c r="P323" s="3288"/>
      <c r="Q323" s="3384"/>
      <c r="R323" s="3288"/>
      <c r="S323" s="3385"/>
      <c r="T323" s="3288"/>
      <c r="U323" s="3288"/>
      <c r="V323" s="3298">
        <f>Table6268934562[[#This Row],[Offer Value]]-Table6268934562[[#This Row],[PO Value]]</f>
        <v>0</v>
      </c>
      <c r="W323" s="3288"/>
      <c r="X323" s="3288"/>
      <c r="Y323" s="3288"/>
    </row>
    <row r="324" spans="1:25">
      <c r="A324" s="3288"/>
      <c r="B324" s="3288"/>
      <c r="C324" s="3445"/>
      <c r="D324" s="3290"/>
      <c r="E324" s="3290"/>
      <c r="F324" s="3290"/>
      <c r="G324" s="3290"/>
      <c r="H324" s="3290"/>
      <c r="I324" s="3290"/>
      <c r="J324" s="3343"/>
      <c r="K324" s="3343"/>
      <c r="L324" s="3288"/>
      <c r="M324" s="3288"/>
      <c r="N324" s="3288"/>
      <c r="O324" s="3288"/>
      <c r="P324" s="3288"/>
      <c r="Q324" s="3384"/>
      <c r="R324" s="3289"/>
      <c r="S324" s="3385"/>
      <c r="T324" s="3288"/>
      <c r="U324" s="3288"/>
      <c r="V324" s="3298">
        <f>Table6268934562[[#This Row],[Offer Value]]-Table6268934562[[#This Row],[PO Value]]</f>
        <v>0</v>
      </c>
      <c r="W324" s="3288"/>
      <c r="X324" s="3288"/>
      <c r="Y324" s="3289"/>
    </row>
    <row r="325" spans="1:25">
      <c r="A325" s="3288"/>
      <c r="B325" s="3288"/>
      <c r="C325" s="3444"/>
      <c r="D325" s="3288"/>
      <c r="E325" s="3288"/>
      <c r="F325" s="3288"/>
      <c r="G325" s="3288"/>
      <c r="H325" s="3288"/>
      <c r="I325" s="3290"/>
      <c r="J325" s="3343"/>
      <c r="K325" s="3343"/>
      <c r="L325" s="3288"/>
      <c r="M325" s="3288"/>
      <c r="N325" s="3288"/>
      <c r="O325" s="3288"/>
      <c r="P325" s="3288"/>
      <c r="Q325" s="3384"/>
      <c r="R325" s="3288"/>
      <c r="S325" s="3385"/>
      <c r="T325" s="3288"/>
      <c r="U325" s="3288"/>
      <c r="V325" s="3298">
        <f>Table6268934562[[#This Row],[Offer Value]]-Table6268934562[[#This Row],[PO Value]]</f>
        <v>0</v>
      </c>
      <c r="W325" s="3288"/>
      <c r="X325" s="3288"/>
      <c r="Y325" s="3288"/>
    </row>
    <row r="326" spans="1:25">
      <c r="A326" s="3288"/>
      <c r="B326" s="3288"/>
      <c r="C326" s="3444"/>
      <c r="D326" s="3288"/>
      <c r="E326" s="3288"/>
      <c r="F326" s="3288"/>
      <c r="G326" s="3288"/>
      <c r="H326" s="3288"/>
      <c r="I326" s="3290"/>
      <c r="J326" s="3343"/>
      <c r="K326" s="3343"/>
      <c r="L326" s="3288"/>
      <c r="M326" s="3288"/>
      <c r="N326" s="3288"/>
      <c r="O326" s="3288"/>
      <c r="P326" s="3288"/>
      <c r="Q326" s="3384"/>
      <c r="R326" s="3288"/>
      <c r="S326" s="3385"/>
      <c r="T326" s="3288"/>
      <c r="U326" s="3288"/>
      <c r="V326" s="3298">
        <f>Table6268934562[[#This Row],[Offer Value]]-Table6268934562[[#This Row],[PO Value]]</f>
        <v>0</v>
      </c>
      <c r="W326" s="3288"/>
      <c r="X326" s="3288"/>
      <c r="Y326" s="3288"/>
    </row>
    <row r="327" spans="1:25">
      <c r="A327" s="3288"/>
      <c r="B327" s="3288"/>
      <c r="C327" s="3444"/>
      <c r="D327" s="3288"/>
      <c r="E327" s="3288"/>
      <c r="F327" s="3288"/>
      <c r="G327" s="3288"/>
      <c r="H327" s="3288"/>
      <c r="I327" s="3290"/>
      <c r="J327" s="3343"/>
      <c r="K327" s="3343"/>
      <c r="L327" s="3288"/>
      <c r="M327" s="3288"/>
      <c r="N327" s="3288"/>
      <c r="O327" s="3288"/>
      <c r="P327" s="3288"/>
      <c r="Q327" s="3384"/>
      <c r="R327" s="3288"/>
      <c r="S327" s="3385"/>
      <c r="T327" s="3288"/>
      <c r="U327" s="3288"/>
      <c r="V327" s="3298">
        <f>Table6268934562[[#This Row],[Offer Value]]-Table6268934562[[#This Row],[PO Value]]</f>
        <v>0</v>
      </c>
      <c r="W327" s="3288"/>
      <c r="X327" s="3288"/>
      <c r="Y327" s="3288"/>
    </row>
    <row r="328" spans="1:25">
      <c r="A328" s="3288"/>
      <c r="B328" s="3288"/>
      <c r="C328" s="3444"/>
      <c r="D328" s="3288"/>
      <c r="E328" s="3288"/>
      <c r="F328" s="3288"/>
      <c r="G328" s="3288"/>
      <c r="H328" s="3288"/>
      <c r="I328" s="3290"/>
      <c r="J328" s="3343"/>
      <c r="K328" s="3343"/>
      <c r="L328" s="3288"/>
      <c r="M328" s="3288"/>
      <c r="N328" s="3288"/>
      <c r="O328" s="3288"/>
      <c r="P328" s="3288"/>
      <c r="Q328" s="3384"/>
      <c r="R328" s="3288"/>
      <c r="S328" s="3385"/>
      <c r="T328" s="3288"/>
      <c r="U328" s="3288"/>
      <c r="V328" s="3298">
        <f>Table6268934562[[#This Row],[Offer Value]]-Table6268934562[[#This Row],[PO Value]]</f>
        <v>0</v>
      </c>
      <c r="W328" s="3288"/>
      <c r="X328" s="3288"/>
      <c r="Y328" s="3288"/>
    </row>
    <row r="329" spans="1:25">
      <c r="A329" s="3288"/>
      <c r="B329" s="3288"/>
      <c r="C329" s="3444"/>
      <c r="D329" s="3288"/>
      <c r="E329" s="3288"/>
      <c r="F329" s="3288"/>
      <c r="G329" s="3288"/>
      <c r="H329" s="3288"/>
      <c r="I329" s="3290"/>
      <c r="J329" s="3343"/>
      <c r="K329" s="3343"/>
      <c r="L329" s="3288"/>
      <c r="M329" s="3288"/>
      <c r="N329" s="3288"/>
      <c r="O329" s="3288"/>
      <c r="P329" s="3288"/>
      <c r="Q329" s="3384"/>
      <c r="R329" s="3288"/>
      <c r="S329" s="3385"/>
      <c r="T329" s="3288"/>
      <c r="U329" s="3288"/>
      <c r="V329" s="3298">
        <f>Table6268934562[[#This Row],[Offer Value]]-Table6268934562[[#This Row],[PO Value]]</f>
        <v>0</v>
      </c>
      <c r="W329" s="3288"/>
      <c r="X329" s="3288"/>
      <c r="Y329" s="3288"/>
    </row>
    <row r="330" spans="1:25">
      <c r="A330" s="3288"/>
      <c r="B330" s="3288"/>
      <c r="C330" s="3444"/>
      <c r="D330" s="3288"/>
      <c r="E330" s="3288"/>
      <c r="F330" s="3288"/>
      <c r="G330" s="3288"/>
      <c r="H330" s="3288"/>
      <c r="I330" s="3290"/>
      <c r="J330" s="3343"/>
      <c r="K330" s="3343"/>
      <c r="L330" s="3288"/>
      <c r="M330" s="3288"/>
      <c r="N330" s="3288"/>
      <c r="O330" s="3288"/>
      <c r="P330" s="3288"/>
      <c r="Q330" s="3384"/>
      <c r="R330" s="3288"/>
      <c r="S330" s="3385"/>
      <c r="T330" s="3288"/>
      <c r="U330" s="3288"/>
      <c r="V330" s="3298">
        <f>Table6268934562[[#This Row],[Offer Value]]-Table6268934562[[#This Row],[PO Value]]</f>
        <v>0</v>
      </c>
      <c r="W330" s="3288"/>
      <c r="X330" s="3288"/>
      <c r="Y330" s="3288"/>
    </row>
    <row r="331" spans="1:25">
      <c r="A331" s="3288"/>
      <c r="B331" s="3288"/>
      <c r="C331" s="3444"/>
      <c r="D331" s="3288"/>
      <c r="E331" s="3288"/>
      <c r="F331" s="3288"/>
      <c r="G331" s="3288"/>
      <c r="H331" s="3288"/>
      <c r="I331" s="3290"/>
      <c r="J331" s="3343"/>
      <c r="K331" s="3343"/>
      <c r="L331" s="3288"/>
      <c r="M331" s="3288"/>
      <c r="N331" s="3288"/>
      <c r="O331" s="3288"/>
      <c r="P331" s="3288"/>
      <c r="Q331" s="3384"/>
      <c r="R331" s="3288"/>
      <c r="S331" s="3385"/>
      <c r="T331" s="3288"/>
      <c r="U331" s="3288"/>
      <c r="V331" s="3298">
        <f>Table6268934562[[#This Row],[Offer Value]]-Table6268934562[[#This Row],[PO Value]]</f>
        <v>0</v>
      </c>
      <c r="W331" s="3288"/>
      <c r="X331" s="3288"/>
      <c r="Y331" s="3288"/>
    </row>
    <row r="332" spans="1:25">
      <c r="A332" s="3288"/>
      <c r="B332" s="3288"/>
      <c r="C332" s="3444"/>
      <c r="D332" s="3288"/>
      <c r="E332" s="3288"/>
      <c r="F332" s="3288"/>
      <c r="G332" s="3288"/>
      <c r="H332" s="3288"/>
      <c r="I332" s="3290"/>
      <c r="J332" s="3343"/>
      <c r="K332" s="3343"/>
      <c r="L332" s="3288"/>
      <c r="M332" s="3288"/>
      <c r="N332" s="3288"/>
      <c r="O332" s="3288"/>
      <c r="P332" s="3288"/>
      <c r="Q332" s="3384"/>
      <c r="R332" s="3288"/>
      <c r="S332" s="3385"/>
      <c r="T332" s="3288"/>
      <c r="U332" s="3288"/>
      <c r="V332" s="3298">
        <f>Table6268934562[[#This Row],[Offer Value]]-Table6268934562[[#This Row],[PO Value]]</f>
        <v>0</v>
      </c>
      <c r="W332" s="3288"/>
      <c r="X332" s="3288"/>
      <c r="Y332" s="3288"/>
    </row>
    <row r="333" spans="1:25">
      <c r="A333" s="3288"/>
      <c r="B333" s="3288"/>
      <c r="C333" s="3444"/>
      <c r="D333" s="3288"/>
      <c r="E333" s="3288"/>
      <c r="F333" s="3288"/>
      <c r="G333" s="3288"/>
      <c r="H333" s="3288"/>
      <c r="I333" s="3290"/>
      <c r="J333" s="3343"/>
      <c r="K333" s="3343"/>
      <c r="L333" s="3288"/>
      <c r="M333" s="3288"/>
      <c r="N333" s="3288"/>
      <c r="O333" s="3288"/>
      <c r="P333" s="3288"/>
      <c r="Q333" s="3384"/>
      <c r="R333" s="3288"/>
      <c r="S333" s="3385"/>
      <c r="T333" s="3288"/>
      <c r="U333" s="3288"/>
      <c r="V333" s="3298">
        <f>Table6268934562[[#This Row],[Offer Value]]-Table6268934562[[#This Row],[PO Value]]</f>
        <v>0</v>
      </c>
      <c r="W333" s="3288"/>
      <c r="X333" s="3288"/>
      <c r="Y333" s="3288"/>
    </row>
    <row r="334" spans="1:25">
      <c r="A334" s="3288"/>
      <c r="B334" s="3288"/>
      <c r="C334" s="3444"/>
      <c r="D334" s="3288"/>
      <c r="E334" s="3288"/>
      <c r="F334" s="3288"/>
      <c r="G334" s="3288"/>
      <c r="H334" s="3288"/>
      <c r="I334" s="3290"/>
      <c r="J334" s="3343"/>
      <c r="K334" s="3343"/>
      <c r="L334" s="3288"/>
      <c r="M334" s="3288"/>
      <c r="N334" s="3288"/>
      <c r="O334" s="3288"/>
      <c r="P334" s="3288"/>
      <c r="Q334" s="3384"/>
      <c r="R334" s="3288"/>
      <c r="S334" s="3385"/>
      <c r="T334" s="3288"/>
      <c r="U334" s="3288"/>
      <c r="V334" s="3298">
        <f>Table6268934562[[#This Row],[Offer Value]]-Table6268934562[[#This Row],[PO Value]]</f>
        <v>0</v>
      </c>
      <c r="W334" s="3288"/>
      <c r="X334" s="3288"/>
      <c r="Y334" s="3288"/>
    </row>
    <row r="335" spans="1:25">
      <c r="A335" s="3288"/>
      <c r="B335" s="3288"/>
      <c r="C335" s="3444"/>
      <c r="D335" s="3288"/>
      <c r="E335" s="3288"/>
      <c r="F335" s="3288"/>
      <c r="G335" s="3288"/>
      <c r="H335" s="3288"/>
      <c r="I335" s="3290"/>
      <c r="J335" s="3343"/>
      <c r="K335" s="3343"/>
      <c r="L335" s="3288"/>
      <c r="M335" s="3288"/>
      <c r="N335" s="3288"/>
      <c r="O335" s="3288"/>
      <c r="P335" s="3288"/>
      <c r="Q335" s="3384"/>
      <c r="R335" s="3288"/>
      <c r="S335" s="3385"/>
      <c r="T335" s="3288"/>
      <c r="U335" s="3288"/>
      <c r="V335" s="3298">
        <f>Table6268934562[[#This Row],[Offer Value]]-Table6268934562[[#This Row],[PO Value]]</f>
        <v>0</v>
      </c>
      <c r="W335" s="3288"/>
      <c r="X335" s="3288"/>
      <c r="Y335" s="3288"/>
    </row>
    <row r="336" spans="1:25">
      <c r="A336" s="3288"/>
      <c r="B336" s="3288"/>
      <c r="C336" s="3444"/>
      <c r="D336" s="3288"/>
      <c r="E336" s="3288"/>
      <c r="F336" s="3288"/>
      <c r="G336" s="3288"/>
      <c r="H336" s="3288"/>
      <c r="I336" s="3290"/>
      <c r="J336" s="3343"/>
      <c r="K336" s="3343"/>
      <c r="L336" s="3288"/>
      <c r="M336" s="3288"/>
      <c r="N336" s="3288"/>
      <c r="O336" s="3288"/>
      <c r="P336" s="3288"/>
      <c r="Q336" s="3384"/>
      <c r="R336" s="3288"/>
      <c r="S336" s="3385"/>
      <c r="T336" s="3288"/>
      <c r="U336" s="3288"/>
      <c r="V336" s="3298">
        <f>Table6268934562[[#This Row],[Offer Value]]-Table6268934562[[#This Row],[PO Value]]</f>
        <v>0</v>
      </c>
      <c r="W336" s="3288"/>
      <c r="X336" s="3288"/>
      <c r="Y336" s="3288"/>
    </row>
    <row r="337" spans="1:25">
      <c r="A337" s="3288"/>
      <c r="B337" s="3288"/>
      <c r="C337" s="3444"/>
      <c r="D337" s="3288"/>
      <c r="E337" s="3288"/>
      <c r="F337" s="3288"/>
      <c r="G337" s="3288"/>
      <c r="H337" s="3288"/>
      <c r="I337" s="3290"/>
      <c r="J337" s="3343"/>
      <c r="K337" s="3343"/>
      <c r="L337" s="3288"/>
      <c r="M337" s="3288"/>
      <c r="N337" s="3288"/>
      <c r="O337" s="3288"/>
      <c r="P337" s="3288"/>
      <c r="Q337" s="3384"/>
      <c r="R337" s="3288"/>
      <c r="S337" s="3385"/>
      <c r="T337" s="3288"/>
      <c r="U337" s="3288"/>
      <c r="V337" s="3298">
        <f>Table6268934562[[#This Row],[Offer Value]]-Table6268934562[[#This Row],[PO Value]]</f>
        <v>0</v>
      </c>
      <c r="W337" s="3288"/>
      <c r="X337" s="3288"/>
      <c r="Y337" s="3288"/>
    </row>
    <row r="338" spans="1:25">
      <c r="A338" s="3288"/>
      <c r="B338" s="3288"/>
      <c r="C338" s="3444"/>
      <c r="D338" s="3288"/>
      <c r="E338" s="3288"/>
      <c r="F338" s="3288"/>
      <c r="G338" s="3288"/>
      <c r="H338" s="3288"/>
      <c r="I338" s="3290"/>
      <c r="J338" s="3343"/>
      <c r="K338" s="3343"/>
      <c r="L338" s="3288"/>
      <c r="M338" s="3288"/>
      <c r="N338" s="3288"/>
      <c r="O338" s="3288"/>
      <c r="P338" s="3288"/>
      <c r="Q338" s="3384"/>
      <c r="R338" s="3288"/>
      <c r="S338" s="3385"/>
      <c r="T338" s="3288"/>
      <c r="U338" s="3288"/>
      <c r="V338" s="3298">
        <f>Table6268934562[[#This Row],[Offer Value]]-Table6268934562[[#This Row],[PO Value]]</f>
        <v>0</v>
      </c>
      <c r="W338" s="3288"/>
      <c r="X338" s="3288"/>
      <c r="Y338" s="3288"/>
    </row>
    <row r="339" spans="1:25">
      <c r="A339" s="3288"/>
      <c r="B339" s="3288"/>
      <c r="C339" s="3444"/>
      <c r="D339" s="3288"/>
      <c r="E339" s="3288"/>
      <c r="F339" s="3288"/>
      <c r="G339" s="3288"/>
      <c r="H339" s="3288"/>
      <c r="I339" s="3290"/>
      <c r="J339" s="3343"/>
      <c r="K339" s="3343"/>
      <c r="L339" s="3288"/>
      <c r="M339" s="3288"/>
      <c r="N339" s="3288"/>
      <c r="O339" s="3288"/>
      <c r="P339" s="3288"/>
      <c r="Q339" s="3384"/>
      <c r="R339" s="3288"/>
      <c r="S339" s="3385"/>
      <c r="T339" s="3288"/>
      <c r="U339" s="3288"/>
      <c r="V339" s="3298">
        <f>Table6268934562[[#This Row],[Offer Value]]-Table6268934562[[#This Row],[PO Value]]</f>
        <v>0</v>
      </c>
      <c r="W339" s="3288"/>
      <c r="X339" s="3288"/>
      <c r="Y339" s="3288"/>
    </row>
    <row r="340" spans="1:25">
      <c r="A340" s="3288"/>
      <c r="B340" s="3288"/>
      <c r="C340" s="3444"/>
      <c r="D340" s="3288"/>
      <c r="E340" s="3288"/>
      <c r="F340" s="3288"/>
      <c r="G340" s="3288"/>
      <c r="H340" s="3288"/>
      <c r="I340" s="3290"/>
      <c r="J340" s="3343"/>
      <c r="K340" s="3343"/>
      <c r="L340" s="3288"/>
      <c r="M340" s="3288"/>
      <c r="N340" s="3288"/>
      <c r="O340" s="3288"/>
      <c r="P340" s="3288"/>
      <c r="Q340" s="3384"/>
      <c r="R340" s="3288"/>
      <c r="S340" s="3385"/>
      <c r="T340" s="3288"/>
      <c r="U340" s="3288"/>
      <c r="V340" s="3298">
        <f>Table6268934562[[#This Row],[Offer Value]]-Table6268934562[[#This Row],[PO Value]]</f>
        <v>0</v>
      </c>
      <c r="W340" s="3288"/>
      <c r="X340" s="3288"/>
      <c r="Y340" s="3288"/>
    </row>
    <row r="341" spans="1:25">
      <c r="A341" s="3288"/>
      <c r="B341" s="3288"/>
      <c r="C341" s="3444"/>
      <c r="D341" s="3288"/>
      <c r="E341" s="3288"/>
      <c r="F341" s="3288"/>
      <c r="G341" s="3288"/>
      <c r="H341" s="3288"/>
      <c r="I341" s="3290"/>
      <c r="J341" s="3343"/>
      <c r="K341" s="3343"/>
      <c r="L341" s="3288"/>
      <c r="M341" s="3288"/>
      <c r="N341" s="3288"/>
      <c r="O341" s="3288"/>
      <c r="P341" s="3288"/>
      <c r="Q341" s="3384"/>
      <c r="R341" s="3288"/>
      <c r="S341" s="3385"/>
      <c r="T341" s="3288"/>
      <c r="U341" s="3288"/>
      <c r="V341" s="3298">
        <f>Table6268934562[[#This Row],[Offer Value]]-Table6268934562[[#This Row],[PO Value]]</f>
        <v>0</v>
      </c>
      <c r="W341" s="3288"/>
      <c r="X341" s="3288"/>
      <c r="Y341" s="3288"/>
    </row>
    <row r="342" spans="1:25">
      <c r="A342" s="3288"/>
      <c r="B342" s="3288"/>
      <c r="C342" s="3444"/>
      <c r="D342" s="3288"/>
      <c r="E342" s="3288"/>
      <c r="F342" s="3288"/>
      <c r="G342" s="3288"/>
      <c r="H342" s="3288"/>
      <c r="I342" s="3290"/>
      <c r="J342" s="3343"/>
      <c r="K342" s="3343"/>
      <c r="L342" s="3288"/>
      <c r="M342" s="3288"/>
      <c r="N342" s="3288"/>
      <c r="O342" s="3288"/>
      <c r="P342" s="3288"/>
      <c r="Q342" s="3384"/>
      <c r="R342" s="3288"/>
      <c r="S342" s="3385"/>
      <c r="T342" s="3288"/>
      <c r="U342" s="3288"/>
      <c r="V342" s="3298">
        <f>Table6268934562[[#This Row],[Offer Value]]-Table6268934562[[#This Row],[PO Value]]</f>
        <v>0</v>
      </c>
      <c r="W342" s="3288"/>
      <c r="X342" s="3288"/>
      <c r="Y342" s="3288"/>
    </row>
    <row r="343" spans="1:25">
      <c r="A343" s="3288"/>
      <c r="B343" s="3288"/>
      <c r="C343" s="3444"/>
      <c r="D343" s="3288"/>
      <c r="E343" s="3288"/>
      <c r="F343" s="3288"/>
      <c r="G343" s="3288"/>
      <c r="H343" s="3288"/>
      <c r="I343" s="3290"/>
      <c r="J343" s="3343"/>
      <c r="K343" s="3343"/>
      <c r="L343" s="3288"/>
      <c r="M343" s="3288"/>
      <c r="N343" s="3288"/>
      <c r="O343" s="3288"/>
      <c r="P343" s="3288"/>
      <c r="Q343" s="3384"/>
      <c r="R343" s="3288"/>
      <c r="S343" s="3385"/>
      <c r="T343" s="3288"/>
      <c r="U343" s="3288"/>
      <c r="V343" s="3298">
        <f>Table6268934562[[#This Row],[Offer Value]]-Table6268934562[[#This Row],[PO Value]]</f>
        <v>0</v>
      </c>
      <c r="W343" s="3288"/>
      <c r="X343" s="3288"/>
      <c r="Y343" s="3288"/>
    </row>
    <row r="344" spans="1:25">
      <c r="A344" s="3288"/>
      <c r="B344" s="3288"/>
      <c r="C344" s="3444"/>
      <c r="D344" s="3288"/>
      <c r="E344" s="3288"/>
      <c r="F344" s="3288"/>
      <c r="G344" s="3288"/>
      <c r="H344" s="3288"/>
      <c r="I344" s="3290"/>
      <c r="J344" s="3343"/>
      <c r="K344" s="3343"/>
      <c r="L344" s="3288"/>
      <c r="M344" s="3288"/>
      <c r="N344" s="3288"/>
      <c r="O344" s="3288"/>
      <c r="P344" s="3288"/>
      <c r="Q344" s="3384"/>
      <c r="R344" s="3288"/>
      <c r="S344" s="3385"/>
      <c r="T344" s="3288"/>
      <c r="U344" s="3288"/>
      <c r="V344" s="3298">
        <f>Table6268934562[[#This Row],[Offer Value]]-Table6268934562[[#This Row],[PO Value]]</f>
        <v>0</v>
      </c>
      <c r="W344" s="3288"/>
      <c r="X344" s="3288"/>
      <c r="Y344" s="3288"/>
    </row>
    <row r="345" spans="1:25">
      <c r="A345" s="3288"/>
      <c r="B345" s="3288"/>
      <c r="C345" s="3444"/>
      <c r="D345" s="3288"/>
      <c r="E345" s="3288"/>
      <c r="F345" s="3288"/>
      <c r="G345" s="3288"/>
      <c r="H345" s="3288"/>
      <c r="I345" s="3290"/>
      <c r="J345" s="3343"/>
      <c r="K345" s="3343"/>
      <c r="L345" s="3288"/>
      <c r="M345" s="3288"/>
      <c r="N345" s="3288"/>
      <c r="O345" s="3288"/>
      <c r="P345" s="3288"/>
      <c r="Q345" s="3384"/>
      <c r="R345" s="3288"/>
      <c r="S345" s="3385"/>
      <c r="T345" s="3288"/>
      <c r="U345" s="3288"/>
      <c r="V345" s="3298">
        <f>Table6268934562[[#This Row],[Offer Value]]-Table6268934562[[#This Row],[PO Value]]</f>
        <v>0</v>
      </c>
      <c r="W345" s="3288"/>
      <c r="X345" s="3288"/>
      <c r="Y345" s="3288"/>
    </row>
    <row r="346" spans="1:25">
      <c r="A346" s="3288"/>
      <c r="B346" s="3288"/>
      <c r="C346" s="3444"/>
      <c r="D346" s="3288"/>
      <c r="E346" s="3288"/>
      <c r="F346" s="3288"/>
      <c r="G346" s="3288"/>
      <c r="H346" s="3288"/>
      <c r="I346" s="3290"/>
      <c r="J346" s="3343"/>
      <c r="K346" s="3343"/>
      <c r="L346" s="3288"/>
      <c r="M346" s="3288"/>
      <c r="N346" s="3288"/>
      <c r="O346" s="3288"/>
      <c r="P346" s="3288"/>
      <c r="Q346" s="3384"/>
      <c r="R346" s="3288"/>
      <c r="S346" s="3385"/>
      <c r="T346" s="3288"/>
      <c r="U346" s="3288"/>
      <c r="V346" s="3298">
        <f>Table6268934562[[#This Row],[Offer Value]]-Table6268934562[[#This Row],[PO Value]]</f>
        <v>0</v>
      </c>
      <c r="W346" s="3288"/>
      <c r="X346" s="3288"/>
      <c r="Y346" s="3288"/>
    </row>
    <row r="347" spans="1:25">
      <c r="A347" s="3288"/>
      <c r="B347" s="3288"/>
      <c r="C347" s="3444"/>
      <c r="D347" s="3288"/>
      <c r="E347" s="3288"/>
      <c r="F347" s="3288"/>
      <c r="G347" s="3288"/>
      <c r="H347" s="3288"/>
      <c r="I347" s="3290"/>
      <c r="J347" s="3343"/>
      <c r="K347" s="3343"/>
      <c r="L347" s="3288"/>
      <c r="M347" s="3288"/>
      <c r="N347" s="3288"/>
      <c r="O347" s="3288"/>
      <c r="P347" s="3288"/>
      <c r="Q347" s="3384"/>
      <c r="R347" s="3288"/>
      <c r="S347" s="3385"/>
      <c r="T347" s="3288"/>
      <c r="U347" s="3288"/>
      <c r="V347" s="3298">
        <f>Table6268934562[[#This Row],[Offer Value]]-Table6268934562[[#This Row],[PO Value]]</f>
        <v>0</v>
      </c>
      <c r="W347" s="3288"/>
      <c r="X347" s="3288"/>
      <c r="Y347" s="3288"/>
    </row>
    <row r="348" spans="1:25">
      <c r="A348" s="3288"/>
      <c r="B348" s="3288"/>
      <c r="C348" s="3444"/>
      <c r="D348" s="3288"/>
      <c r="E348" s="3288"/>
      <c r="F348" s="3288"/>
      <c r="G348" s="3288"/>
      <c r="H348" s="3288"/>
      <c r="I348" s="3290"/>
      <c r="J348" s="3343"/>
      <c r="K348" s="3343"/>
      <c r="L348" s="3288"/>
      <c r="M348" s="3288"/>
      <c r="N348" s="3288"/>
      <c r="O348" s="3288"/>
      <c r="P348" s="3288"/>
      <c r="Q348" s="3384"/>
      <c r="R348" s="3288"/>
      <c r="S348" s="3385"/>
      <c r="T348" s="3288"/>
      <c r="U348" s="3288"/>
      <c r="V348" s="3298">
        <f>Table6268934562[[#This Row],[Offer Value]]-Table6268934562[[#This Row],[PO Value]]</f>
        <v>0</v>
      </c>
      <c r="W348" s="3288"/>
      <c r="X348" s="3288"/>
      <c r="Y348" s="3288"/>
    </row>
    <row r="349" spans="1:25">
      <c r="A349" s="3288"/>
      <c r="B349" s="3288"/>
      <c r="C349" s="3444"/>
      <c r="D349" s="3288"/>
      <c r="E349" s="3288"/>
      <c r="F349" s="3288"/>
      <c r="G349" s="3288"/>
      <c r="H349" s="3288"/>
      <c r="I349" s="3290"/>
      <c r="J349" s="3343"/>
      <c r="K349" s="3343"/>
      <c r="L349" s="3288"/>
      <c r="M349" s="3288"/>
      <c r="N349" s="3288"/>
      <c r="O349" s="3288"/>
      <c r="P349" s="3288"/>
      <c r="Q349" s="3384"/>
      <c r="R349" s="3288"/>
      <c r="S349" s="3385"/>
      <c r="T349" s="3288"/>
      <c r="U349" s="3288"/>
      <c r="V349" s="3298">
        <f>Table6268934562[[#This Row],[Offer Value]]-Table6268934562[[#This Row],[PO Value]]</f>
        <v>0</v>
      </c>
      <c r="W349" s="3288"/>
      <c r="X349" s="3288"/>
      <c r="Y349" s="3288"/>
    </row>
    <row r="350" spans="1:25">
      <c r="A350" s="3288"/>
      <c r="B350" s="3288"/>
      <c r="C350" s="3444"/>
      <c r="D350" s="3288"/>
      <c r="E350" s="3288"/>
      <c r="F350" s="3288"/>
      <c r="G350" s="3288"/>
      <c r="H350" s="3288"/>
      <c r="I350" s="3290"/>
      <c r="J350" s="3343"/>
      <c r="K350" s="3343"/>
      <c r="L350" s="3288"/>
      <c r="M350" s="3288"/>
      <c r="N350" s="3288"/>
      <c r="O350" s="3288"/>
      <c r="P350" s="3288"/>
      <c r="Q350" s="3384"/>
      <c r="R350" s="3288"/>
      <c r="S350" s="3385"/>
      <c r="T350" s="3288"/>
      <c r="U350" s="3288"/>
      <c r="V350" s="3298">
        <f>Table6268934562[[#This Row],[Offer Value]]-Table6268934562[[#This Row],[PO Value]]</f>
        <v>0</v>
      </c>
      <c r="W350" s="3288"/>
      <c r="X350" s="3288"/>
      <c r="Y350" s="3288"/>
    </row>
    <row r="351" spans="1:25">
      <c r="A351" s="3288"/>
      <c r="B351" s="3288"/>
      <c r="C351" s="3444"/>
      <c r="D351" s="3288"/>
      <c r="E351" s="3288"/>
      <c r="F351" s="3288"/>
      <c r="G351" s="3288"/>
      <c r="H351" s="3288"/>
      <c r="I351" s="3290"/>
      <c r="J351" s="3343"/>
      <c r="K351" s="3343"/>
      <c r="L351" s="3288"/>
      <c r="M351" s="3288"/>
      <c r="N351" s="3288"/>
      <c r="O351" s="3288"/>
      <c r="P351" s="3288"/>
      <c r="Q351" s="3384"/>
      <c r="R351" s="3288"/>
      <c r="S351" s="3385"/>
      <c r="T351" s="3288"/>
      <c r="U351" s="3288"/>
      <c r="V351" s="3298">
        <f>Table6268934562[[#This Row],[Offer Value]]-Table6268934562[[#This Row],[PO Value]]</f>
        <v>0</v>
      </c>
      <c r="W351" s="3288"/>
      <c r="X351" s="3288"/>
      <c r="Y351" s="3288"/>
    </row>
    <row r="352" spans="1:25">
      <c r="A352" s="3288"/>
      <c r="B352" s="3288"/>
      <c r="C352" s="3444"/>
      <c r="D352" s="3288"/>
      <c r="E352" s="3288"/>
      <c r="F352" s="3288"/>
      <c r="G352" s="3288"/>
      <c r="H352" s="3288"/>
      <c r="I352" s="3290"/>
      <c r="J352" s="3343"/>
      <c r="K352" s="3343"/>
      <c r="L352" s="3288"/>
      <c r="M352" s="3288"/>
      <c r="N352" s="3288"/>
      <c r="O352" s="3288"/>
      <c r="P352" s="3288"/>
      <c r="Q352" s="3384"/>
      <c r="R352" s="3288"/>
      <c r="S352" s="3385"/>
      <c r="T352" s="3288"/>
      <c r="U352" s="3288"/>
      <c r="V352" s="3298">
        <f>Table6268934562[[#This Row],[Offer Value]]-Table6268934562[[#This Row],[PO Value]]</f>
        <v>0</v>
      </c>
      <c r="W352" s="3288"/>
      <c r="X352" s="3288"/>
      <c r="Y352" s="3288"/>
    </row>
    <row r="353" spans="1:25">
      <c r="A353" s="3288"/>
      <c r="B353" s="3288"/>
      <c r="C353" s="3444"/>
      <c r="D353" s="3288"/>
      <c r="E353" s="3288"/>
      <c r="F353" s="3288"/>
      <c r="G353" s="3288"/>
      <c r="H353" s="3288"/>
      <c r="I353" s="3290"/>
      <c r="J353" s="3343"/>
      <c r="K353" s="3343"/>
      <c r="L353" s="3288"/>
      <c r="M353" s="3288"/>
      <c r="N353" s="3288"/>
      <c r="O353" s="3288"/>
      <c r="P353" s="3288"/>
      <c r="Q353" s="3384"/>
      <c r="R353" s="3288"/>
      <c r="S353" s="3385"/>
      <c r="T353" s="3288"/>
      <c r="U353" s="3288"/>
      <c r="V353" s="3298">
        <f>Table6268934562[[#This Row],[Offer Value]]-Table6268934562[[#This Row],[PO Value]]</f>
        <v>0</v>
      </c>
      <c r="W353" s="3288"/>
      <c r="X353" s="3288"/>
      <c r="Y353" s="3288"/>
    </row>
    <row r="354" spans="1:25">
      <c r="A354" s="3288"/>
      <c r="B354" s="3288"/>
      <c r="C354" s="3444"/>
      <c r="D354" s="3288"/>
      <c r="E354" s="3288"/>
      <c r="F354" s="3288"/>
      <c r="G354" s="3288"/>
      <c r="H354" s="3288"/>
      <c r="I354" s="3290"/>
      <c r="J354" s="3343"/>
      <c r="K354" s="3343"/>
      <c r="L354" s="3288"/>
      <c r="M354" s="3288"/>
      <c r="N354" s="3288"/>
      <c r="O354" s="3288"/>
      <c r="P354" s="3288"/>
      <c r="Q354" s="3384"/>
      <c r="R354" s="3288"/>
      <c r="S354" s="3385"/>
      <c r="T354" s="3288"/>
      <c r="U354" s="3288"/>
      <c r="V354" s="3298">
        <f>Table6268934562[[#This Row],[Offer Value]]-Table6268934562[[#This Row],[PO Value]]</f>
        <v>0</v>
      </c>
      <c r="W354" s="3288"/>
      <c r="X354" s="3288"/>
      <c r="Y354" s="3288"/>
    </row>
    <row r="355" spans="1:25">
      <c r="A355" s="3288"/>
      <c r="B355" s="3288"/>
      <c r="C355" s="3444"/>
      <c r="D355" s="3288"/>
      <c r="E355" s="3288"/>
      <c r="F355" s="3288"/>
      <c r="G355" s="3288"/>
      <c r="H355" s="3288"/>
      <c r="I355" s="3290"/>
      <c r="J355" s="3343"/>
      <c r="K355" s="3343"/>
      <c r="L355" s="3288"/>
      <c r="M355" s="3288"/>
      <c r="N355" s="3288"/>
      <c r="O355" s="3288"/>
      <c r="P355" s="3288"/>
      <c r="Q355" s="3384"/>
      <c r="R355" s="3288"/>
      <c r="S355" s="3385"/>
      <c r="T355" s="3288"/>
      <c r="U355" s="3288"/>
      <c r="V355" s="3298">
        <f>Table6268934562[[#This Row],[Offer Value]]-Table6268934562[[#This Row],[PO Value]]</f>
        <v>0</v>
      </c>
      <c r="W355" s="3288"/>
      <c r="X355" s="3288"/>
      <c r="Y355" s="3288"/>
    </row>
    <row r="356" spans="1:25">
      <c r="A356" s="3288"/>
      <c r="B356" s="3288"/>
      <c r="C356" s="3444"/>
      <c r="D356" s="3288"/>
      <c r="E356" s="3288"/>
      <c r="F356" s="3288"/>
      <c r="G356" s="3288"/>
      <c r="H356" s="3288"/>
      <c r="I356" s="3290"/>
      <c r="J356" s="3343"/>
      <c r="K356" s="3343"/>
      <c r="L356" s="3288"/>
      <c r="M356" s="3288"/>
      <c r="N356" s="3288"/>
      <c r="O356" s="3288"/>
      <c r="P356" s="3288"/>
      <c r="Q356" s="3384"/>
      <c r="R356" s="3288"/>
      <c r="S356" s="3385"/>
      <c r="T356" s="3288"/>
      <c r="U356" s="3288"/>
      <c r="V356" s="3298">
        <f>Table6268934562[[#This Row],[Offer Value]]-Table6268934562[[#This Row],[PO Value]]</f>
        <v>0</v>
      </c>
      <c r="W356" s="3288"/>
      <c r="X356" s="3288"/>
      <c r="Y356" s="3288"/>
    </row>
    <row r="357" spans="1:25">
      <c r="A357" s="3288"/>
      <c r="B357" s="3288"/>
      <c r="C357" s="3446"/>
      <c r="D357" s="3299"/>
      <c r="E357" s="3299"/>
      <c r="F357" s="3299"/>
      <c r="G357" s="3299"/>
      <c r="H357" s="3299"/>
      <c r="I357" s="3294"/>
      <c r="J357" s="3343"/>
      <c r="K357" s="3343"/>
      <c r="L357" s="3288"/>
      <c r="M357" s="3288"/>
      <c r="N357" s="3288"/>
      <c r="O357" s="3288"/>
      <c r="P357" s="3288"/>
      <c r="Q357" s="3384"/>
      <c r="R357" s="3288"/>
      <c r="S357" s="3385"/>
      <c r="T357" s="3288"/>
      <c r="U357" s="3288"/>
      <c r="V357" s="3298">
        <f>Table6268934562[[#This Row],[Offer Value]]-Table6268934562[[#This Row],[PO Value]]</f>
        <v>0</v>
      </c>
      <c r="W357" s="3288"/>
      <c r="X357" s="3288"/>
      <c r="Y357" s="3288"/>
    </row>
    <row r="358" spans="1:25">
      <c r="A358" s="3288"/>
      <c r="B358" s="3288"/>
      <c r="C358" s="3444"/>
      <c r="D358" s="3288"/>
      <c r="E358" s="3288"/>
      <c r="F358" s="3288"/>
      <c r="G358" s="3288"/>
      <c r="H358" s="3288"/>
      <c r="I358" s="3290"/>
      <c r="J358" s="3343"/>
      <c r="K358" s="3343"/>
      <c r="L358" s="3288"/>
      <c r="M358" s="3288"/>
      <c r="N358" s="3288"/>
      <c r="O358" s="3288"/>
      <c r="P358" s="3288"/>
      <c r="Q358" s="3384"/>
      <c r="R358" s="3288"/>
      <c r="S358" s="3385"/>
      <c r="T358" s="3288"/>
      <c r="U358" s="3288"/>
      <c r="V358" s="3298">
        <f>Table6268934562[[#This Row],[Offer Value]]-Table6268934562[[#This Row],[PO Value]]</f>
        <v>0</v>
      </c>
      <c r="W358" s="3288"/>
      <c r="X358" s="3288"/>
      <c r="Y358" s="3288"/>
    </row>
    <row r="359" spans="1:25">
      <c r="A359" s="3288"/>
      <c r="B359" s="3288"/>
      <c r="C359" s="3444"/>
      <c r="D359" s="3288"/>
      <c r="E359" s="3288"/>
      <c r="F359" s="3288"/>
      <c r="G359" s="3288"/>
      <c r="H359" s="3288"/>
      <c r="I359" s="3290"/>
      <c r="J359" s="3343"/>
      <c r="K359" s="3343"/>
      <c r="L359" s="3288"/>
      <c r="M359" s="3288"/>
      <c r="N359" s="3288"/>
      <c r="O359" s="3288"/>
      <c r="P359" s="3288"/>
      <c r="Q359" s="3384"/>
      <c r="R359" s="3288"/>
      <c r="S359" s="3385"/>
      <c r="T359" s="3288"/>
      <c r="U359" s="3288"/>
      <c r="V359" s="3298">
        <f>Table6268934562[[#This Row],[Offer Value]]-Table6268934562[[#This Row],[PO Value]]</f>
        <v>0</v>
      </c>
      <c r="W359" s="3288"/>
      <c r="X359" s="3288"/>
      <c r="Y359" s="3288"/>
    </row>
    <row r="360" spans="1:25">
      <c r="A360" s="3288"/>
      <c r="B360" s="3288"/>
      <c r="C360" s="3444"/>
      <c r="D360" s="3288"/>
      <c r="E360" s="3288"/>
      <c r="F360" s="3288"/>
      <c r="G360" s="3288"/>
      <c r="H360" s="3288"/>
      <c r="I360" s="3290"/>
      <c r="J360" s="3343"/>
      <c r="K360" s="3343"/>
      <c r="L360" s="3288"/>
      <c r="M360" s="3288"/>
      <c r="N360" s="3288"/>
      <c r="O360" s="3288"/>
      <c r="P360" s="3288"/>
      <c r="Q360" s="3384"/>
      <c r="R360" s="3288"/>
      <c r="S360" s="3385"/>
      <c r="T360" s="3288"/>
      <c r="U360" s="3288"/>
      <c r="V360" s="3298">
        <f>Table6268934562[[#This Row],[Offer Value]]-Table6268934562[[#This Row],[PO Value]]</f>
        <v>0</v>
      </c>
      <c r="W360" s="3288"/>
      <c r="X360" s="3288"/>
      <c r="Y360" s="3288"/>
    </row>
    <row r="361" spans="1:25">
      <c r="A361" s="3288"/>
      <c r="B361" s="3288"/>
      <c r="C361" s="3444"/>
      <c r="D361" s="3288"/>
      <c r="E361" s="3288"/>
      <c r="F361" s="3288"/>
      <c r="G361" s="3288"/>
      <c r="H361" s="3288"/>
      <c r="I361" s="3290"/>
      <c r="J361" s="3343"/>
      <c r="K361" s="3343"/>
      <c r="L361" s="3288"/>
      <c r="M361" s="3288"/>
      <c r="N361" s="3288"/>
      <c r="O361" s="3288"/>
      <c r="P361" s="3288"/>
      <c r="Q361" s="3384"/>
      <c r="R361" s="3288"/>
      <c r="S361" s="3385"/>
      <c r="T361" s="3288"/>
      <c r="U361" s="3288"/>
      <c r="V361" s="3298">
        <f>Table6268934562[[#This Row],[Offer Value]]-Table6268934562[[#This Row],[PO Value]]</f>
        <v>0</v>
      </c>
      <c r="W361" s="3288"/>
      <c r="X361" s="3288"/>
      <c r="Y361" s="3288"/>
    </row>
    <row r="362" spans="1:25">
      <c r="A362" s="3288"/>
      <c r="B362" s="3288"/>
      <c r="C362" s="3444"/>
      <c r="D362" s="3288"/>
      <c r="E362" s="3288"/>
      <c r="F362" s="3288"/>
      <c r="G362" s="3288"/>
      <c r="H362" s="3288"/>
      <c r="I362" s="3290"/>
      <c r="J362" s="3343"/>
      <c r="K362" s="3343"/>
      <c r="L362" s="3288"/>
      <c r="M362" s="3288"/>
      <c r="N362" s="3288"/>
      <c r="O362" s="3288"/>
      <c r="P362" s="3288"/>
      <c r="Q362" s="3384"/>
      <c r="R362" s="3288"/>
      <c r="S362" s="3385"/>
      <c r="T362" s="3288"/>
      <c r="U362" s="3288"/>
      <c r="V362" s="3298">
        <f>Table6268934562[[#This Row],[Offer Value]]-Table6268934562[[#This Row],[PO Value]]</f>
        <v>0</v>
      </c>
      <c r="W362" s="3288"/>
      <c r="X362" s="3288"/>
      <c r="Y362" s="3288"/>
    </row>
    <row r="363" spans="1:25">
      <c r="A363" s="3288"/>
      <c r="B363" s="3288"/>
      <c r="C363" s="3444"/>
      <c r="D363" s="3288"/>
      <c r="E363" s="3288"/>
      <c r="F363" s="3288"/>
      <c r="G363" s="3288"/>
      <c r="H363" s="3288"/>
      <c r="I363" s="3290"/>
      <c r="J363" s="3343"/>
      <c r="K363" s="3343"/>
      <c r="L363" s="3288"/>
      <c r="M363" s="3288"/>
      <c r="N363" s="3288"/>
      <c r="O363" s="3288"/>
      <c r="P363" s="3288"/>
      <c r="Q363" s="3384"/>
      <c r="R363" s="3288"/>
      <c r="S363" s="3385"/>
      <c r="T363" s="3288"/>
      <c r="U363" s="3288"/>
      <c r="V363" s="3298">
        <f>Table6268934562[[#This Row],[Offer Value]]-Table6268934562[[#This Row],[PO Value]]</f>
        <v>0</v>
      </c>
      <c r="W363" s="3288"/>
      <c r="X363" s="3288"/>
      <c r="Y363" s="3288"/>
    </row>
    <row r="364" spans="1:25">
      <c r="A364" s="3288"/>
      <c r="B364" s="3288"/>
      <c r="C364" s="3444"/>
      <c r="D364" s="3288"/>
      <c r="E364" s="3288"/>
      <c r="F364" s="3288"/>
      <c r="G364" s="3288"/>
      <c r="H364" s="3288"/>
      <c r="I364" s="3290"/>
      <c r="J364" s="3343"/>
      <c r="K364" s="3343"/>
      <c r="L364" s="3288"/>
      <c r="M364" s="3288"/>
      <c r="N364" s="3288"/>
      <c r="O364" s="3288"/>
      <c r="P364" s="3288"/>
      <c r="Q364" s="3384"/>
      <c r="R364" s="3288"/>
      <c r="S364" s="3385"/>
      <c r="T364" s="3288"/>
      <c r="U364" s="3288"/>
      <c r="V364" s="3298">
        <f>Table6268934562[[#This Row],[Offer Value]]-Table6268934562[[#This Row],[PO Value]]</f>
        <v>0</v>
      </c>
      <c r="W364" s="3288"/>
      <c r="X364" s="3288"/>
      <c r="Y364" s="3288"/>
    </row>
    <row r="365" spans="1:25">
      <c r="A365" s="3288"/>
      <c r="B365" s="3288"/>
      <c r="C365" s="3444"/>
      <c r="D365" s="3288"/>
      <c r="E365" s="3288"/>
      <c r="F365" s="3288"/>
      <c r="G365" s="3288"/>
      <c r="H365" s="3288"/>
      <c r="I365" s="3290"/>
      <c r="J365" s="3343"/>
      <c r="K365" s="3343"/>
      <c r="L365" s="3288"/>
      <c r="M365" s="3288"/>
      <c r="N365" s="3288"/>
      <c r="O365" s="3288"/>
      <c r="P365" s="3288"/>
      <c r="Q365" s="3384"/>
      <c r="R365" s="3288"/>
      <c r="S365" s="3385"/>
      <c r="T365" s="3288"/>
      <c r="U365" s="3288"/>
      <c r="V365" s="3298">
        <f>Table6268934562[[#This Row],[Offer Value]]-Table6268934562[[#This Row],[PO Value]]</f>
        <v>0</v>
      </c>
      <c r="W365" s="3288"/>
      <c r="X365" s="3288"/>
      <c r="Y365" s="3288"/>
    </row>
    <row r="366" spans="1:25">
      <c r="A366" s="3288"/>
      <c r="B366" s="3288"/>
      <c r="C366" s="3444"/>
      <c r="D366" s="3288"/>
      <c r="E366" s="3288"/>
      <c r="F366" s="3288"/>
      <c r="G366" s="3288"/>
      <c r="H366" s="3288"/>
      <c r="I366" s="3290"/>
      <c r="J366" s="3343"/>
      <c r="K366" s="3343"/>
      <c r="L366" s="3288"/>
      <c r="M366" s="3288"/>
      <c r="N366" s="3288"/>
      <c r="O366" s="3288"/>
      <c r="P366" s="3288"/>
      <c r="Q366" s="3384"/>
      <c r="R366" s="3288"/>
      <c r="S366" s="3385"/>
      <c r="T366" s="3288"/>
      <c r="U366" s="3288"/>
      <c r="V366" s="3298">
        <f>Table6268934562[[#This Row],[Offer Value]]-Table6268934562[[#This Row],[PO Value]]</f>
        <v>0</v>
      </c>
      <c r="W366" s="3288"/>
      <c r="X366" s="3288"/>
      <c r="Y366" s="3288"/>
    </row>
    <row r="367" spans="1:25">
      <c r="A367" s="3288"/>
      <c r="B367" s="3288"/>
      <c r="C367" s="3444"/>
      <c r="D367" s="3288"/>
      <c r="E367" s="3288"/>
      <c r="F367" s="3288"/>
      <c r="G367" s="3288"/>
      <c r="H367" s="3288"/>
      <c r="I367" s="3290"/>
      <c r="J367" s="3343"/>
      <c r="K367" s="3343"/>
      <c r="L367" s="3288"/>
      <c r="M367" s="3288"/>
      <c r="N367" s="3288"/>
      <c r="O367" s="3288"/>
      <c r="P367" s="3288"/>
      <c r="Q367" s="3384"/>
      <c r="R367" s="3288"/>
      <c r="S367" s="3385"/>
      <c r="T367" s="3288"/>
      <c r="U367" s="3288"/>
      <c r="V367" s="3298">
        <f>Table6268934562[[#This Row],[Offer Value]]-Table6268934562[[#This Row],[PO Value]]</f>
        <v>0</v>
      </c>
      <c r="W367" s="3288"/>
      <c r="X367" s="3288"/>
      <c r="Y367" s="3288"/>
    </row>
    <row r="368" spans="1:25">
      <c r="A368" s="3288"/>
      <c r="B368" s="3288"/>
      <c r="C368" s="3444"/>
      <c r="D368" s="3288"/>
      <c r="E368" s="3288"/>
      <c r="F368" s="3288"/>
      <c r="G368" s="3288"/>
      <c r="H368" s="3288"/>
      <c r="I368" s="3290"/>
      <c r="J368" s="3343"/>
      <c r="K368" s="3343"/>
      <c r="L368" s="3288"/>
      <c r="M368" s="3288"/>
      <c r="N368" s="3288"/>
      <c r="O368" s="3288"/>
      <c r="P368" s="3288"/>
      <c r="Q368" s="3384"/>
      <c r="R368" s="3288"/>
      <c r="S368" s="3385"/>
      <c r="T368" s="3288"/>
      <c r="U368" s="3288"/>
      <c r="V368" s="3298">
        <f>Table6268934562[[#This Row],[Offer Value]]-Table6268934562[[#This Row],[PO Value]]</f>
        <v>0</v>
      </c>
      <c r="W368" s="3288"/>
      <c r="X368" s="3288"/>
      <c r="Y368" s="3288"/>
    </row>
    <row r="369" spans="1:25">
      <c r="A369" s="3288"/>
      <c r="B369" s="3288"/>
      <c r="C369" s="3444"/>
      <c r="D369" s="3288"/>
      <c r="E369" s="3288"/>
      <c r="F369" s="3288"/>
      <c r="G369" s="3288"/>
      <c r="H369" s="3288"/>
      <c r="I369" s="3290"/>
      <c r="J369" s="3343"/>
      <c r="K369" s="3343"/>
      <c r="L369" s="3288"/>
      <c r="M369" s="3288"/>
      <c r="N369" s="3288"/>
      <c r="O369" s="3288"/>
      <c r="P369" s="3288"/>
      <c r="Q369" s="3384"/>
      <c r="R369" s="3288"/>
      <c r="S369" s="3385"/>
      <c r="T369" s="3288"/>
      <c r="U369" s="3288"/>
      <c r="V369" s="3298">
        <f>Table6268934562[[#This Row],[Offer Value]]-Table6268934562[[#This Row],[PO Value]]</f>
        <v>0</v>
      </c>
      <c r="W369" s="3288"/>
      <c r="X369" s="3288"/>
      <c r="Y369" s="3288"/>
    </row>
    <row r="370" spans="1:25">
      <c r="A370" s="3288"/>
      <c r="B370" s="3288"/>
      <c r="C370" s="3444"/>
      <c r="D370" s="3288"/>
      <c r="E370" s="3288"/>
      <c r="F370" s="3288"/>
      <c r="G370" s="3288"/>
      <c r="H370" s="3288"/>
      <c r="I370" s="3290"/>
      <c r="J370" s="3343"/>
      <c r="K370" s="3343"/>
      <c r="L370" s="3288"/>
      <c r="M370" s="3288"/>
      <c r="N370" s="3288"/>
      <c r="O370" s="3288"/>
      <c r="P370" s="3288"/>
      <c r="Q370" s="3384"/>
      <c r="R370" s="3288"/>
      <c r="S370" s="3385"/>
      <c r="T370" s="3288"/>
      <c r="U370" s="3288"/>
      <c r="V370" s="3298">
        <f>Table6268934562[[#This Row],[Offer Value]]-Table6268934562[[#This Row],[PO Value]]</f>
        <v>0</v>
      </c>
      <c r="W370" s="3288"/>
      <c r="X370" s="3288"/>
      <c r="Y370" s="3288"/>
    </row>
    <row r="371" spans="1:25">
      <c r="A371" s="3288"/>
      <c r="B371" s="3288"/>
      <c r="C371" s="3444"/>
      <c r="D371" s="3288"/>
      <c r="E371" s="3288"/>
      <c r="F371" s="3288"/>
      <c r="G371" s="3288"/>
      <c r="H371" s="3288"/>
      <c r="I371" s="3290"/>
      <c r="J371" s="3343"/>
      <c r="K371" s="3343"/>
      <c r="L371" s="3288"/>
      <c r="M371" s="3288"/>
      <c r="N371" s="3288"/>
      <c r="O371" s="3288"/>
      <c r="P371" s="3288"/>
      <c r="Q371" s="3384"/>
      <c r="R371" s="3288"/>
      <c r="S371" s="3385"/>
      <c r="T371" s="3288"/>
      <c r="U371" s="3288"/>
      <c r="V371" s="3298">
        <f>Table6268934562[[#This Row],[Offer Value]]-Table6268934562[[#This Row],[PO Value]]</f>
        <v>0</v>
      </c>
      <c r="W371" s="3288"/>
      <c r="X371" s="3288"/>
      <c r="Y371" s="3288"/>
    </row>
    <row r="372" spans="1:25">
      <c r="A372" s="3288"/>
      <c r="B372" s="3288"/>
      <c r="C372" s="3444"/>
      <c r="D372" s="3288"/>
      <c r="E372" s="3288"/>
      <c r="F372" s="3288"/>
      <c r="G372" s="3288"/>
      <c r="H372" s="3288"/>
      <c r="I372" s="3290"/>
      <c r="J372" s="3343"/>
      <c r="K372" s="3343"/>
      <c r="L372" s="3288"/>
      <c r="M372" s="3288"/>
      <c r="N372" s="3288"/>
      <c r="O372" s="3288"/>
      <c r="P372" s="3288"/>
      <c r="Q372" s="3384"/>
      <c r="R372" s="3288"/>
      <c r="S372" s="3385"/>
      <c r="T372" s="3288"/>
      <c r="U372" s="3288"/>
      <c r="V372" s="3298">
        <f>Table6268934562[[#This Row],[Offer Value]]-Table6268934562[[#This Row],[PO Value]]</f>
        <v>0</v>
      </c>
      <c r="W372" s="3288"/>
      <c r="X372" s="3288"/>
      <c r="Y372" s="3288"/>
    </row>
    <row r="373" spans="1:25">
      <c r="A373" s="3288"/>
      <c r="B373" s="3288"/>
      <c r="C373" s="3444"/>
      <c r="D373" s="3288"/>
      <c r="E373" s="3288"/>
      <c r="F373" s="3288"/>
      <c r="G373" s="3288"/>
      <c r="H373" s="3288"/>
      <c r="I373" s="3290"/>
      <c r="J373" s="3343"/>
      <c r="K373" s="3343"/>
      <c r="L373" s="3288"/>
      <c r="M373" s="3288"/>
      <c r="N373" s="3288"/>
      <c r="O373" s="3288"/>
      <c r="P373" s="3288"/>
      <c r="Q373" s="3384"/>
      <c r="R373" s="3288"/>
      <c r="S373" s="3385"/>
      <c r="T373" s="3288"/>
      <c r="U373" s="3288"/>
      <c r="V373" s="3298">
        <f>Table6268934562[[#This Row],[Offer Value]]-Table6268934562[[#This Row],[PO Value]]</f>
        <v>0</v>
      </c>
      <c r="W373" s="3288"/>
      <c r="X373" s="3288"/>
      <c r="Y373" s="3288"/>
    </row>
    <row r="374" spans="1:25">
      <c r="A374" s="3288"/>
      <c r="B374" s="3288"/>
      <c r="C374" s="3444"/>
      <c r="D374" s="3288"/>
      <c r="E374" s="3288"/>
      <c r="F374" s="3288"/>
      <c r="G374" s="3288"/>
      <c r="H374" s="3288"/>
      <c r="I374" s="3290"/>
      <c r="J374" s="3343"/>
      <c r="K374" s="3343"/>
      <c r="L374" s="3288"/>
      <c r="M374" s="3288"/>
      <c r="N374" s="3288"/>
      <c r="O374" s="3288"/>
      <c r="P374" s="3288"/>
      <c r="Q374" s="3384"/>
      <c r="R374" s="3288"/>
      <c r="S374" s="3385"/>
      <c r="T374" s="3288"/>
      <c r="U374" s="3288"/>
      <c r="V374" s="3298">
        <f>Table6268934562[[#This Row],[Offer Value]]-Table6268934562[[#This Row],[PO Value]]</f>
        <v>0</v>
      </c>
      <c r="W374" s="3288"/>
      <c r="X374" s="3288"/>
      <c r="Y374" s="3288"/>
    </row>
    <row r="375" spans="1:25">
      <c r="A375" s="3288"/>
      <c r="B375" s="3288"/>
      <c r="C375" s="3444"/>
      <c r="D375" s="3288"/>
      <c r="E375" s="3288"/>
      <c r="F375" s="3288"/>
      <c r="G375" s="3288"/>
      <c r="H375" s="3288"/>
      <c r="I375" s="3290"/>
      <c r="J375" s="3343"/>
      <c r="K375" s="3343"/>
      <c r="L375" s="3288"/>
      <c r="M375" s="3288"/>
      <c r="N375" s="3288"/>
      <c r="O375" s="3288"/>
      <c r="P375" s="3288"/>
      <c r="Q375" s="3384"/>
      <c r="R375" s="3288"/>
      <c r="S375" s="3385"/>
      <c r="T375" s="3288"/>
      <c r="U375" s="3288"/>
      <c r="V375" s="3298">
        <f>Table6268934562[[#This Row],[Offer Value]]-Table6268934562[[#This Row],[PO Value]]</f>
        <v>0</v>
      </c>
      <c r="W375" s="3288"/>
      <c r="X375" s="3288"/>
      <c r="Y375" s="3288"/>
    </row>
    <row r="376" spans="1:25">
      <c r="A376" s="3288"/>
      <c r="B376" s="3288"/>
      <c r="C376" s="3444"/>
      <c r="D376" s="3288"/>
      <c r="E376" s="3288"/>
      <c r="F376" s="3288"/>
      <c r="G376" s="3288"/>
      <c r="H376" s="3288"/>
      <c r="I376" s="3290"/>
      <c r="J376" s="3343"/>
      <c r="K376" s="3343"/>
      <c r="L376" s="3288"/>
      <c r="M376" s="3288"/>
      <c r="N376" s="3288"/>
      <c r="O376" s="3288"/>
      <c r="P376" s="3288"/>
      <c r="Q376" s="3384"/>
      <c r="R376" s="3288"/>
      <c r="S376" s="3385"/>
      <c r="T376" s="3288"/>
      <c r="U376" s="3288"/>
      <c r="V376" s="3298">
        <f>Table6268934562[[#This Row],[Offer Value]]-Table6268934562[[#This Row],[PO Value]]</f>
        <v>0</v>
      </c>
      <c r="W376" s="3288"/>
      <c r="X376" s="3288"/>
      <c r="Y376" s="3288"/>
    </row>
    <row r="377" spans="1:25">
      <c r="A377" s="3288"/>
      <c r="B377" s="3288"/>
      <c r="C377" s="3444"/>
      <c r="D377" s="3288"/>
      <c r="E377" s="3288"/>
      <c r="F377" s="3288"/>
      <c r="G377" s="3288"/>
      <c r="H377" s="3288"/>
      <c r="I377" s="3290"/>
      <c r="J377" s="3343"/>
      <c r="K377" s="3343"/>
      <c r="L377" s="3288"/>
      <c r="M377" s="3288"/>
      <c r="N377" s="3288"/>
      <c r="O377" s="3288"/>
      <c r="P377" s="3288"/>
      <c r="Q377" s="3384"/>
      <c r="R377" s="3288"/>
      <c r="S377" s="3385"/>
      <c r="T377" s="3288"/>
      <c r="U377" s="3288"/>
      <c r="V377" s="3298">
        <f>Table6268934562[[#This Row],[Offer Value]]-Table6268934562[[#This Row],[PO Value]]</f>
        <v>0</v>
      </c>
      <c r="W377" s="3288"/>
      <c r="X377" s="3288"/>
      <c r="Y377" s="3288"/>
    </row>
    <row r="378" spans="1:25">
      <c r="A378" s="3288"/>
      <c r="B378" s="3288"/>
      <c r="C378" s="3444"/>
      <c r="D378" s="3288"/>
      <c r="E378" s="3288"/>
      <c r="F378" s="3288"/>
      <c r="G378" s="3288"/>
      <c r="H378" s="3288"/>
      <c r="I378" s="3290"/>
      <c r="J378" s="3343"/>
      <c r="K378" s="3343"/>
      <c r="L378" s="3288"/>
      <c r="M378" s="3288"/>
      <c r="N378" s="3288"/>
      <c r="O378" s="3288"/>
      <c r="P378" s="3288"/>
      <c r="Q378" s="3384"/>
      <c r="R378" s="3288"/>
      <c r="S378" s="3385"/>
      <c r="T378" s="3288"/>
      <c r="U378" s="3288"/>
      <c r="V378" s="3298">
        <f>Table6268934562[[#This Row],[Offer Value]]-Table6268934562[[#This Row],[PO Value]]</f>
        <v>0</v>
      </c>
      <c r="W378" s="3288"/>
      <c r="X378" s="3288"/>
      <c r="Y378" s="3288"/>
    </row>
    <row r="379" spans="1:25">
      <c r="A379" s="3288"/>
      <c r="B379" s="3288"/>
      <c r="C379" s="3444"/>
      <c r="D379" s="3288"/>
      <c r="E379" s="3288"/>
      <c r="F379" s="3288"/>
      <c r="G379" s="3288"/>
      <c r="H379" s="3288"/>
      <c r="I379" s="3290"/>
      <c r="J379" s="3343"/>
      <c r="K379" s="3343"/>
      <c r="L379" s="3288"/>
      <c r="M379" s="3288"/>
      <c r="N379" s="3288"/>
      <c r="O379" s="3288"/>
      <c r="P379" s="3288"/>
      <c r="Q379" s="3384"/>
      <c r="R379" s="3288"/>
      <c r="S379" s="3385"/>
      <c r="T379" s="3288"/>
      <c r="U379" s="3288"/>
      <c r="V379" s="3298">
        <f>Table6268934562[[#This Row],[Offer Value]]-Table6268934562[[#This Row],[PO Value]]</f>
        <v>0</v>
      </c>
      <c r="W379" s="3288"/>
      <c r="X379" s="3288"/>
      <c r="Y379" s="3288"/>
    </row>
    <row r="380" spans="1:25">
      <c r="A380" s="3288"/>
      <c r="B380" s="3288"/>
      <c r="C380" s="3444"/>
      <c r="D380" s="3288"/>
      <c r="E380" s="3288"/>
      <c r="F380" s="3288"/>
      <c r="G380" s="3288"/>
      <c r="H380" s="3288"/>
      <c r="I380" s="3290"/>
      <c r="J380" s="3343"/>
      <c r="K380" s="3343"/>
      <c r="L380" s="3288"/>
      <c r="M380" s="3288"/>
      <c r="N380" s="3288"/>
      <c r="O380" s="3288"/>
      <c r="P380" s="3288"/>
      <c r="Q380" s="3384"/>
      <c r="R380" s="3288"/>
      <c r="S380" s="3385"/>
      <c r="T380" s="3288"/>
      <c r="U380" s="3288"/>
      <c r="V380" s="3298">
        <f>Table6268934562[[#This Row],[Offer Value]]-Table6268934562[[#This Row],[PO Value]]</f>
        <v>0</v>
      </c>
      <c r="W380" s="3288"/>
      <c r="X380" s="3288"/>
      <c r="Y380" s="3288"/>
    </row>
    <row r="381" spans="1:25">
      <c r="A381" s="3288"/>
      <c r="B381" s="3288"/>
      <c r="C381" s="3444"/>
      <c r="D381" s="3288"/>
      <c r="E381" s="3288"/>
      <c r="F381" s="3288"/>
      <c r="G381" s="3288"/>
      <c r="H381" s="3288"/>
      <c r="I381" s="3290"/>
      <c r="J381" s="3343"/>
      <c r="K381" s="3343"/>
      <c r="L381" s="3288"/>
      <c r="M381" s="3288"/>
      <c r="N381" s="3288"/>
      <c r="O381" s="3288"/>
      <c r="P381" s="3288"/>
      <c r="Q381" s="3384"/>
      <c r="R381" s="3288"/>
      <c r="S381" s="3385"/>
      <c r="T381" s="3288"/>
      <c r="U381" s="3288"/>
      <c r="V381" s="3298">
        <f>Table6268934562[[#This Row],[Offer Value]]-Table6268934562[[#This Row],[PO Value]]</f>
        <v>0</v>
      </c>
      <c r="W381" s="3288"/>
      <c r="X381" s="3288"/>
      <c r="Y381" s="3288"/>
    </row>
    <row r="382" spans="1:25">
      <c r="A382" s="3288"/>
      <c r="B382" s="3288"/>
      <c r="C382" s="3444"/>
      <c r="D382" s="3288"/>
      <c r="E382" s="3288"/>
      <c r="F382" s="3288"/>
      <c r="G382" s="3288"/>
      <c r="H382" s="3288"/>
      <c r="I382" s="3290"/>
      <c r="J382" s="3343"/>
      <c r="K382" s="3343"/>
      <c r="L382" s="3288"/>
      <c r="M382" s="3288"/>
      <c r="N382" s="3288"/>
      <c r="O382" s="3288"/>
      <c r="P382" s="3288"/>
      <c r="Q382" s="3384"/>
      <c r="R382" s="3288"/>
      <c r="S382" s="3385"/>
      <c r="T382" s="3288"/>
      <c r="U382" s="3288"/>
      <c r="V382" s="3298">
        <f>Table6268934562[[#This Row],[Offer Value]]-Table6268934562[[#This Row],[PO Value]]</f>
        <v>0</v>
      </c>
      <c r="W382" s="3288"/>
      <c r="X382" s="3288"/>
      <c r="Y382" s="3288"/>
    </row>
    <row r="383" spans="1:25">
      <c r="A383" s="3288"/>
      <c r="B383" s="3288"/>
      <c r="C383" s="3444"/>
      <c r="D383" s="3288"/>
      <c r="E383" s="3288"/>
      <c r="F383" s="3288"/>
      <c r="G383" s="3288"/>
      <c r="H383" s="3288"/>
      <c r="I383" s="3290"/>
      <c r="J383" s="3343"/>
      <c r="K383" s="3343"/>
      <c r="L383" s="3288"/>
      <c r="M383" s="3288"/>
      <c r="N383" s="3288"/>
      <c r="O383" s="3288"/>
      <c r="P383" s="3288"/>
      <c r="Q383" s="3384"/>
      <c r="R383" s="3288"/>
      <c r="S383" s="3385"/>
      <c r="T383" s="3288"/>
      <c r="U383" s="3288"/>
      <c r="V383" s="3298">
        <f>Table6268934562[[#This Row],[Offer Value]]-Table6268934562[[#This Row],[PO Value]]</f>
        <v>0</v>
      </c>
      <c r="W383" s="3288"/>
      <c r="X383" s="3288"/>
      <c r="Y383" s="3288"/>
    </row>
    <row r="384" spans="1:25">
      <c r="A384" s="3288"/>
      <c r="B384" s="3288"/>
      <c r="C384" s="3444"/>
      <c r="D384" s="3288"/>
      <c r="E384" s="3288"/>
      <c r="F384" s="3288"/>
      <c r="G384" s="3288"/>
      <c r="H384" s="3288"/>
      <c r="I384" s="3290"/>
      <c r="J384" s="3343"/>
      <c r="K384" s="3343"/>
      <c r="L384" s="3288"/>
      <c r="M384" s="3288"/>
      <c r="N384" s="3288"/>
      <c r="O384" s="3288"/>
      <c r="P384" s="3288"/>
      <c r="Q384" s="3384"/>
      <c r="R384" s="3288"/>
      <c r="S384" s="3385"/>
      <c r="T384" s="3288"/>
      <c r="U384" s="3288"/>
      <c r="V384" s="3298">
        <f>Table6268934562[[#This Row],[Offer Value]]-Table6268934562[[#This Row],[PO Value]]</f>
        <v>0</v>
      </c>
      <c r="W384" s="3288"/>
      <c r="X384" s="3288"/>
      <c r="Y384" s="3288"/>
    </row>
    <row r="385" spans="1:25">
      <c r="A385" s="3288"/>
      <c r="B385" s="3288"/>
      <c r="C385" s="3444"/>
      <c r="D385" s="3288"/>
      <c r="E385" s="3288"/>
      <c r="F385" s="3288"/>
      <c r="G385" s="3288"/>
      <c r="H385" s="3288"/>
      <c r="I385" s="3290"/>
      <c r="J385" s="3343"/>
      <c r="K385" s="3343"/>
      <c r="L385" s="3288"/>
      <c r="M385" s="3288"/>
      <c r="N385" s="3288"/>
      <c r="O385" s="3288"/>
      <c r="P385" s="3288"/>
      <c r="Q385" s="3384"/>
      <c r="R385" s="3288"/>
      <c r="S385" s="3385"/>
      <c r="T385" s="3288"/>
      <c r="U385" s="3288"/>
      <c r="V385" s="3298">
        <f>Table6268934562[[#This Row],[Offer Value]]-Table6268934562[[#This Row],[PO Value]]</f>
        <v>0</v>
      </c>
      <c r="W385" s="3288"/>
      <c r="X385" s="3288"/>
      <c r="Y385" s="3288"/>
    </row>
    <row r="386" spans="1:25">
      <c r="A386" s="3288"/>
      <c r="B386" s="3288"/>
      <c r="C386" s="3444"/>
      <c r="D386" s="3288"/>
      <c r="E386" s="3288"/>
      <c r="F386" s="3288"/>
      <c r="G386" s="3288"/>
      <c r="H386" s="3288"/>
      <c r="I386" s="3290"/>
      <c r="J386" s="3343"/>
      <c r="K386" s="3343"/>
      <c r="L386" s="3288"/>
      <c r="M386" s="3288"/>
      <c r="N386" s="3288"/>
      <c r="O386" s="3288"/>
      <c r="P386" s="3288"/>
      <c r="Q386" s="3384"/>
      <c r="R386" s="3288"/>
      <c r="S386" s="3385"/>
      <c r="T386" s="3288"/>
      <c r="U386" s="3288"/>
      <c r="V386" s="3298">
        <f>Table6268934562[[#This Row],[Offer Value]]-Table6268934562[[#This Row],[PO Value]]</f>
        <v>0</v>
      </c>
      <c r="W386" s="3288"/>
      <c r="X386" s="3288"/>
      <c r="Y386" s="3288"/>
    </row>
    <row r="387" spans="1:25">
      <c r="A387" s="3288"/>
      <c r="B387" s="3288"/>
      <c r="C387" s="3444"/>
      <c r="D387" s="3288"/>
      <c r="E387" s="3288"/>
      <c r="F387" s="3288"/>
      <c r="G387" s="3288"/>
      <c r="H387" s="3288"/>
      <c r="I387" s="3290"/>
      <c r="J387" s="3343"/>
      <c r="K387" s="3343"/>
      <c r="L387" s="3288"/>
      <c r="M387" s="3288"/>
      <c r="N387" s="3288"/>
      <c r="O387" s="3288"/>
      <c r="P387" s="3288"/>
      <c r="Q387" s="3384"/>
      <c r="R387" s="3288"/>
      <c r="S387" s="3385"/>
      <c r="T387" s="3288"/>
      <c r="U387" s="3288"/>
      <c r="V387" s="3298">
        <f>Table6268934562[[#This Row],[Offer Value]]-Table6268934562[[#This Row],[PO Value]]</f>
        <v>0</v>
      </c>
      <c r="W387" s="3288"/>
      <c r="X387" s="3288"/>
      <c r="Y387" s="3288"/>
    </row>
    <row r="388" spans="1:25">
      <c r="A388" s="3288"/>
      <c r="B388" s="3288"/>
      <c r="C388" s="3444"/>
      <c r="D388" s="3288"/>
      <c r="E388" s="3288"/>
      <c r="F388" s="3288"/>
      <c r="G388" s="3288"/>
      <c r="H388" s="3288"/>
      <c r="I388" s="3290"/>
      <c r="J388" s="3343"/>
      <c r="K388" s="3343"/>
      <c r="L388" s="3288"/>
      <c r="M388" s="3288"/>
      <c r="N388" s="3288"/>
      <c r="O388" s="3288"/>
      <c r="P388" s="3288"/>
      <c r="Q388" s="3384"/>
      <c r="R388" s="3288"/>
      <c r="S388" s="3385"/>
      <c r="T388" s="3288"/>
      <c r="U388" s="3288"/>
      <c r="V388" s="3298">
        <f>Table6268934562[[#This Row],[Offer Value]]-Table6268934562[[#This Row],[PO Value]]</f>
        <v>0</v>
      </c>
      <c r="W388" s="3288"/>
      <c r="X388" s="3288"/>
      <c r="Y388" s="3288"/>
    </row>
    <row r="389" spans="1:25">
      <c r="A389" s="3288"/>
      <c r="B389" s="3288"/>
      <c r="C389" s="3444"/>
      <c r="D389" s="3288"/>
      <c r="E389" s="3288"/>
      <c r="F389" s="3288"/>
      <c r="G389" s="3288"/>
      <c r="H389" s="3288"/>
      <c r="I389" s="3290"/>
      <c r="J389" s="3343"/>
      <c r="K389" s="3343"/>
      <c r="L389" s="3288"/>
      <c r="M389" s="3288"/>
      <c r="N389" s="3288"/>
      <c r="O389" s="3288"/>
      <c r="P389" s="3288"/>
      <c r="Q389" s="3384"/>
      <c r="R389" s="3288"/>
      <c r="S389" s="3385"/>
      <c r="T389" s="3288"/>
      <c r="U389" s="3288"/>
      <c r="V389" s="3298">
        <f>Table6268934562[[#This Row],[Offer Value]]-Table6268934562[[#This Row],[PO Value]]</f>
        <v>0</v>
      </c>
      <c r="W389" s="3288"/>
      <c r="X389" s="3288"/>
      <c r="Y389" s="3288"/>
    </row>
    <row r="390" spans="1:25">
      <c r="A390" s="3288"/>
      <c r="B390" s="3288"/>
      <c r="C390" s="3444"/>
      <c r="D390" s="3288"/>
      <c r="E390" s="3288"/>
      <c r="F390" s="3288"/>
      <c r="G390" s="3288"/>
      <c r="H390" s="3288"/>
      <c r="I390" s="3290"/>
      <c r="J390" s="3343"/>
      <c r="K390" s="3343"/>
      <c r="L390" s="3288"/>
      <c r="M390" s="3288"/>
      <c r="N390" s="3288"/>
      <c r="O390" s="3288"/>
      <c r="P390" s="3288"/>
      <c r="Q390" s="3384"/>
      <c r="R390" s="3288"/>
      <c r="S390" s="3385"/>
      <c r="T390" s="3288"/>
      <c r="U390" s="3288"/>
      <c r="V390" s="3298">
        <f>Table6268934562[[#This Row],[Offer Value]]-Table6268934562[[#This Row],[PO Value]]</f>
        <v>0</v>
      </c>
      <c r="W390" s="3288"/>
      <c r="X390" s="3288"/>
      <c r="Y390" s="3288"/>
    </row>
    <row r="391" spans="1:25">
      <c r="A391" s="3288"/>
      <c r="B391" s="3288"/>
      <c r="C391" s="3444"/>
      <c r="D391" s="3288"/>
      <c r="E391" s="3288"/>
      <c r="F391" s="3288"/>
      <c r="G391" s="3288"/>
      <c r="H391" s="3288"/>
      <c r="I391" s="3290"/>
      <c r="J391" s="3343"/>
      <c r="K391" s="3343"/>
      <c r="L391" s="3288"/>
      <c r="M391" s="3288"/>
      <c r="N391" s="3288"/>
      <c r="O391" s="3288"/>
      <c r="P391" s="3288"/>
      <c r="Q391" s="3384"/>
      <c r="R391" s="3288"/>
      <c r="S391" s="3385"/>
      <c r="T391" s="3288"/>
      <c r="U391" s="3288"/>
      <c r="V391" s="3298">
        <f>Table6268934562[[#This Row],[Offer Value]]-Table6268934562[[#This Row],[PO Value]]</f>
        <v>0</v>
      </c>
      <c r="W391" s="3288"/>
      <c r="X391" s="3288"/>
      <c r="Y391" s="3288"/>
    </row>
    <row r="392" spans="1:25">
      <c r="A392" s="3288"/>
      <c r="B392" s="3288"/>
      <c r="C392" s="3444"/>
      <c r="D392" s="3288"/>
      <c r="E392" s="3288"/>
      <c r="F392" s="3288"/>
      <c r="G392" s="3288"/>
      <c r="H392" s="3288"/>
      <c r="I392" s="3290"/>
      <c r="J392" s="3343"/>
      <c r="K392" s="3343"/>
      <c r="L392" s="3288"/>
      <c r="M392" s="3288"/>
      <c r="N392" s="3288"/>
      <c r="O392" s="3288"/>
      <c r="P392" s="3288"/>
      <c r="Q392" s="3384"/>
      <c r="R392" s="3288"/>
      <c r="S392" s="3385"/>
      <c r="T392" s="3288"/>
      <c r="U392" s="3288"/>
      <c r="V392" s="3298">
        <f>Table6268934562[[#This Row],[Offer Value]]-Table6268934562[[#This Row],[PO Value]]</f>
        <v>0</v>
      </c>
      <c r="W392" s="3288"/>
      <c r="X392" s="3288"/>
      <c r="Y392" s="3288"/>
    </row>
    <row r="393" spans="1:25">
      <c r="A393" s="3288"/>
      <c r="B393" s="3288"/>
      <c r="C393" s="3444"/>
      <c r="D393" s="3288"/>
      <c r="E393" s="3288"/>
      <c r="F393" s="3288"/>
      <c r="G393" s="3288"/>
      <c r="H393" s="3288"/>
      <c r="I393" s="3290"/>
      <c r="J393" s="3288"/>
      <c r="K393" s="3288"/>
      <c r="L393" s="3288"/>
      <c r="M393" s="3288"/>
      <c r="N393" s="3424"/>
      <c r="O393" s="3424"/>
      <c r="P393" s="3288"/>
      <c r="Q393" s="3384"/>
      <c r="R393" s="3424"/>
      <c r="S393" s="3425"/>
      <c r="T393" s="3288"/>
      <c r="U393" s="3424"/>
      <c r="V393" s="3298">
        <f>Table6268934562[[#This Row],[Offer Value]]-Table6268934562[[#This Row],[PO Value]]</f>
        <v>0</v>
      </c>
      <c r="W393" s="3288"/>
      <c r="X393" s="3288"/>
      <c r="Y393" s="3424"/>
    </row>
    <row r="394" spans="1:25">
      <c r="A394" s="3426"/>
      <c r="B394" s="3427"/>
      <c r="C394" s="3453"/>
      <c r="D394" s="3427"/>
      <c r="E394" s="3427"/>
      <c r="F394" s="3427"/>
      <c r="G394" s="3427"/>
      <c r="H394" s="3427"/>
      <c r="I394" s="3428"/>
      <c r="J394" s="3429"/>
      <c r="K394" s="3429"/>
      <c r="L394" s="3427"/>
      <c r="M394" s="3430"/>
      <c r="N394" s="3431"/>
      <c r="O394" s="3431"/>
      <c r="P394" s="3427"/>
      <c r="Q394" s="3432"/>
      <c r="R394" s="3430"/>
      <c r="S394" s="3433"/>
      <c r="T394" s="3427"/>
      <c r="U394" s="3431"/>
      <c r="V394" s="3298">
        <f>Table6268934562[[#This Row],[Offer Value]]-Table6268934562[[#This Row],[PO Value]]</f>
        <v>0</v>
      </c>
      <c r="W394" s="3427"/>
      <c r="X394" s="3427"/>
      <c r="Y394" s="3430"/>
    </row>
    <row r="395" spans="1:25">
      <c r="A395" s="3426"/>
      <c r="B395" s="3427"/>
      <c r="C395" s="3453"/>
      <c r="D395" s="3427"/>
      <c r="E395" s="3427"/>
      <c r="F395" s="3427"/>
      <c r="G395" s="3427"/>
      <c r="H395" s="3427"/>
      <c r="I395" s="3428"/>
      <c r="J395" s="3429"/>
      <c r="K395" s="3429"/>
      <c r="L395" s="3427"/>
      <c r="M395" s="3430"/>
      <c r="N395" s="3431"/>
      <c r="O395" s="3431"/>
      <c r="P395" s="3427"/>
      <c r="Q395" s="3432"/>
      <c r="R395" s="3430"/>
      <c r="S395" s="3433"/>
      <c r="T395" s="3427"/>
      <c r="U395" s="3431"/>
      <c r="V395" s="3298">
        <f>Table6268934562[[#This Row],[Offer Value]]-Table6268934562[[#This Row],[PO Value]]</f>
        <v>0</v>
      </c>
      <c r="W395" s="3427"/>
      <c r="X395" s="3427"/>
      <c r="Y395" s="3430"/>
    </row>
    <row r="396" spans="1:25">
      <c r="A396" s="3426"/>
      <c r="B396" s="3430"/>
      <c r="C396" s="3453"/>
      <c r="D396" s="3427"/>
      <c r="E396" s="3427"/>
      <c r="F396" s="3427"/>
      <c r="G396" s="3427"/>
      <c r="H396" s="3427"/>
      <c r="I396" s="3428"/>
      <c r="J396" s="3429"/>
      <c r="K396" s="3429"/>
      <c r="L396" s="3427"/>
      <c r="M396" s="3430"/>
      <c r="N396" s="3431"/>
      <c r="O396" s="3431"/>
      <c r="P396" s="3427"/>
      <c r="Q396" s="3432"/>
      <c r="R396" s="3430"/>
      <c r="S396" s="3433"/>
      <c r="T396" s="3431"/>
      <c r="U396" s="3431"/>
      <c r="V396" s="3298">
        <f>Table6268934562[[#This Row],[Offer Value]]-Table6268934562[[#This Row],[PO Value]]</f>
        <v>0</v>
      </c>
      <c r="W396" s="3427"/>
      <c r="X396" s="3427"/>
      <c r="Y396" s="3430"/>
    </row>
    <row r="397" spans="1:25">
      <c r="A397" s="3426"/>
      <c r="B397" s="3427"/>
      <c r="C397" s="3453"/>
      <c r="D397" s="3427"/>
      <c r="E397" s="3427"/>
      <c r="F397" s="3427"/>
      <c r="G397" s="3427"/>
      <c r="H397" s="3427"/>
      <c r="I397" s="3428"/>
      <c r="J397" s="3429"/>
      <c r="K397" s="3429"/>
      <c r="L397" s="3427"/>
      <c r="M397" s="3430"/>
      <c r="N397" s="3431"/>
      <c r="O397" s="3431"/>
      <c r="P397" s="3427"/>
      <c r="Q397" s="3432"/>
      <c r="R397" s="3430"/>
      <c r="S397" s="3433"/>
      <c r="T397" s="3427"/>
      <c r="U397" s="3431"/>
      <c r="V397" s="3298">
        <f>Table6268934562[[#This Row],[Offer Value]]-Table6268934562[[#This Row],[PO Value]]</f>
        <v>0</v>
      </c>
      <c r="W397" s="3427"/>
      <c r="X397" s="3427"/>
      <c r="Y397" s="3430"/>
    </row>
    <row r="398" spans="1:25">
      <c r="A398" s="3426"/>
      <c r="B398" s="3427"/>
      <c r="C398" s="3453"/>
      <c r="D398" s="3427"/>
      <c r="E398" s="3427"/>
      <c r="F398" s="3427"/>
      <c r="G398" s="3427"/>
      <c r="H398" s="3427"/>
      <c r="I398" s="3428"/>
      <c r="J398" s="3429"/>
      <c r="K398" s="3429"/>
      <c r="L398" s="3427"/>
      <c r="M398" s="3430"/>
      <c r="N398" s="3431"/>
      <c r="O398" s="3431"/>
      <c r="P398" s="3427"/>
      <c r="Q398" s="3432"/>
      <c r="R398" s="3430"/>
      <c r="S398" s="3433"/>
      <c r="T398" s="3427"/>
      <c r="U398" s="3431"/>
      <c r="V398" s="3298">
        <f>Table6268934562[[#This Row],[Offer Value]]-Table6268934562[[#This Row],[PO Value]]</f>
        <v>0</v>
      </c>
      <c r="W398" s="3427"/>
      <c r="X398" s="3427"/>
      <c r="Y398" s="3430"/>
    </row>
    <row r="399" spans="1:25">
      <c r="A399" s="3426"/>
      <c r="B399" s="3427"/>
      <c r="C399" s="3453"/>
      <c r="D399" s="3427"/>
      <c r="E399" s="3427"/>
      <c r="F399" s="3427"/>
      <c r="G399" s="3427"/>
      <c r="H399" s="3427"/>
      <c r="I399" s="3428"/>
      <c r="J399" s="3429"/>
      <c r="K399" s="3429"/>
      <c r="L399" s="3427"/>
      <c r="M399" s="3430"/>
      <c r="N399" s="3431"/>
      <c r="O399" s="3431"/>
      <c r="P399" s="3427"/>
      <c r="Q399" s="3432"/>
      <c r="R399" s="3430"/>
      <c r="S399" s="3433"/>
      <c r="T399" s="3427"/>
      <c r="U399" s="3431"/>
      <c r="V399" s="3298">
        <f>Table6268934562[[#This Row],[Offer Value]]-Table6268934562[[#This Row],[PO Value]]</f>
        <v>0</v>
      </c>
      <c r="W399" s="3427"/>
      <c r="X399" s="3427"/>
      <c r="Y399" s="3430"/>
    </row>
    <row r="400" spans="1:25">
      <c r="A400" s="3426"/>
      <c r="B400" s="3427"/>
      <c r="C400" s="3453"/>
      <c r="D400" s="3427"/>
      <c r="E400" s="3427"/>
      <c r="F400" s="3427"/>
      <c r="G400" s="3427"/>
      <c r="H400" s="3427"/>
      <c r="I400" s="3428"/>
      <c r="J400" s="3429"/>
      <c r="K400" s="3429"/>
      <c r="L400" s="3427"/>
      <c r="M400" s="3430"/>
      <c r="N400" s="3431"/>
      <c r="O400" s="3431"/>
      <c r="P400" s="3427"/>
      <c r="Q400" s="3432"/>
      <c r="R400" s="3430"/>
      <c r="S400" s="3433"/>
      <c r="T400" s="3427"/>
      <c r="U400" s="3431"/>
      <c r="V400" s="3298">
        <f>Table6268934562[[#This Row],[Offer Value]]-Table6268934562[[#This Row],[PO Value]]</f>
        <v>0</v>
      </c>
      <c r="W400" s="3427"/>
      <c r="X400" s="3427"/>
      <c r="Y400" s="3430"/>
    </row>
    <row r="401" spans="1:25">
      <c r="A401" s="3426"/>
      <c r="B401" s="3427"/>
      <c r="C401" s="3453"/>
      <c r="D401" s="3427"/>
      <c r="E401" s="3427"/>
      <c r="F401" s="3427"/>
      <c r="G401" s="3427"/>
      <c r="H401" s="3427"/>
      <c r="I401" s="3428"/>
      <c r="J401" s="3429"/>
      <c r="K401" s="3429"/>
      <c r="L401" s="3427"/>
      <c r="M401" s="3430"/>
      <c r="N401" s="3431"/>
      <c r="O401" s="3431"/>
      <c r="P401" s="3427"/>
      <c r="Q401" s="3432"/>
      <c r="R401" s="3430"/>
      <c r="S401" s="3433"/>
      <c r="T401" s="3427"/>
      <c r="U401" s="3431"/>
      <c r="V401" s="3298">
        <f>Table6268934562[[#This Row],[Offer Value]]-Table6268934562[[#This Row],[PO Value]]</f>
        <v>0</v>
      </c>
      <c r="W401" s="3427"/>
      <c r="X401" s="3427"/>
      <c r="Y401" s="3430"/>
    </row>
    <row r="402" spans="1:25">
      <c r="A402" s="3426"/>
      <c r="B402" s="3427"/>
      <c r="C402" s="3453"/>
      <c r="D402" s="3427"/>
      <c r="E402" s="3427"/>
      <c r="F402" s="3427"/>
      <c r="G402" s="3427"/>
      <c r="H402" s="3427"/>
      <c r="I402" s="3428"/>
      <c r="J402" s="3429"/>
      <c r="K402" s="3429"/>
      <c r="L402" s="3427"/>
      <c r="M402" s="3430"/>
      <c r="N402" s="3431"/>
      <c r="O402" s="3431"/>
      <c r="P402" s="3427"/>
      <c r="Q402" s="3432"/>
      <c r="R402" s="3430"/>
      <c r="S402" s="3433"/>
      <c r="T402" s="3427"/>
      <c r="U402" s="3431"/>
      <c r="V402" s="3298">
        <f>Table6268934562[[#This Row],[Offer Value]]-Table6268934562[[#This Row],[PO Value]]</f>
        <v>0</v>
      </c>
      <c r="W402" s="3427"/>
      <c r="X402" s="3427"/>
      <c r="Y402" s="3430"/>
    </row>
    <row r="403" spans="1:25">
      <c r="A403" s="3426"/>
      <c r="B403" s="3427"/>
      <c r="C403" s="3453"/>
      <c r="D403" s="3427"/>
      <c r="E403" s="3427"/>
      <c r="F403" s="3427"/>
      <c r="G403" s="3427"/>
      <c r="H403" s="3427"/>
      <c r="I403" s="3428"/>
      <c r="J403" s="3429"/>
      <c r="K403" s="3429"/>
      <c r="L403" s="3427"/>
      <c r="M403" s="3430"/>
      <c r="N403" s="3431"/>
      <c r="O403" s="3431"/>
      <c r="P403" s="3427"/>
      <c r="Q403" s="3432"/>
      <c r="R403" s="3430"/>
      <c r="S403" s="3433"/>
      <c r="T403" s="3427"/>
      <c r="U403" s="3431"/>
      <c r="V403" s="3298">
        <f>Table6268934562[[#This Row],[Offer Value]]-Table6268934562[[#This Row],[PO Value]]</f>
        <v>0</v>
      </c>
      <c r="W403" s="3427"/>
      <c r="X403" s="3427"/>
      <c r="Y403" s="3430"/>
    </row>
    <row r="404" spans="1:25">
      <c r="A404" s="3426"/>
      <c r="B404" s="3427"/>
      <c r="C404" s="3453"/>
      <c r="D404" s="3427"/>
      <c r="E404" s="3427"/>
      <c r="F404" s="3427"/>
      <c r="G404" s="3427"/>
      <c r="H404" s="3427"/>
      <c r="I404" s="3428"/>
      <c r="J404" s="3429"/>
      <c r="K404" s="3429"/>
      <c r="L404" s="3427"/>
      <c r="M404" s="3430"/>
      <c r="N404" s="3431"/>
      <c r="O404" s="3431"/>
      <c r="P404" s="3427"/>
      <c r="Q404" s="3432"/>
      <c r="R404" s="3430"/>
      <c r="S404" s="3433"/>
      <c r="T404" s="3427"/>
      <c r="U404" s="3431"/>
      <c r="V404" s="3298">
        <f>Table6268934562[[#This Row],[Offer Value]]-Table6268934562[[#This Row],[PO Value]]</f>
        <v>0</v>
      </c>
      <c r="W404" s="3427"/>
      <c r="X404" s="3427"/>
      <c r="Y404" s="3430"/>
    </row>
    <row r="405" spans="1:25">
      <c r="A405" s="3426"/>
      <c r="B405" s="3427"/>
      <c r="C405" s="3453"/>
      <c r="D405" s="3427"/>
      <c r="E405" s="3427"/>
      <c r="F405" s="3427"/>
      <c r="G405" s="3427"/>
      <c r="H405" s="3427"/>
      <c r="I405" s="3428"/>
      <c r="J405" s="3429"/>
      <c r="K405" s="3429"/>
      <c r="L405" s="3427"/>
      <c r="M405" s="3430"/>
      <c r="N405" s="3431"/>
      <c r="O405" s="3431"/>
      <c r="P405" s="3427"/>
      <c r="Q405" s="3432"/>
      <c r="R405" s="3430"/>
      <c r="S405" s="3433"/>
      <c r="T405" s="3427"/>
      <c r="U405" s="3431"/>
      <c r="V405" s="3298">
        <f>Table6268934562[[#This Row],[Offer Value]]-Table6268934562[[#This Row],[PO Value]]</f>
        <v>0</v>
      </c>
      <c r="W405" s="3427"/>
      <c r="X405" s="3427"/>
      <c r="Y405" s="3430"/>
    </row>
    <row r="406" spans="1:25">
      <c r="A406" s="3426"/>
      <c r="B406" s="3427"/>
      <c r="C406" s="3453"/>
      <c r="D406" s="3427"/>
      <c r="E406" s="3427"/>
      <c r="F406" s="3427"/>
      <c r="G406" s="3427"/>
      <c r="H406" s="3427"/>
      <c r="I406" s="3428"/>
      <c r="J406" s="3429"/>
      <c r="K406" s="3429"/>
      <c r="L406" s="3427"/>
      <c r="M406" s="3430"/>
      <c r="N406" s="3431"/>
      <c r="O406" s="3431"/>
      <c r="P406" s="3427"/>
      <c r="Q406" s="3432"/>
      <c r="R406" s="3430"/>
      <c r="S406" s="3433"/>
      <c r="T406" s="3427"/>
      <c r="U406" s="3431"/>
      <c r="V406" s="3298">
        <f>Table6268934562[[#This Row],[Offer Value]]-Table6268934562[[#This Row],[PO Value]]</f>
        <v>0</v>
      </c>
      <c r="W406" s="3427"/>
      <c r="X406" s="3427"/>
      <c r="Y406" s="3430"/>
    </row>
    <row r="407" spans="1:25">
      <c r="A407" s="3426"/>
      <c r="B407" s="3383"/>
      <c r="C407" s="3452"/>
      <c r="D407" s="3383"/>
      <c r="E407" s="3383"/>
      <c r="F407" s="3383"/>
      <c r="G407" s="3383"/>
      <c r="H407" s="3383"/>
      <c r="I407" s="3290"/>
      <c r="J407" s="3383"/>
      <c r="K407" s="3383"/>
      <c r="L407" s="3383"/>
      <c r="M407" s="3434"/>
      <c r="N407" s="3431"/>
      <c r="O407" s="3431"/>
      <c r="P407" s="3383"/>
      <c r="Q407" s="3435"/>
      <c r="R407" s="3436"/>
      <c r="S407" s="3437"/>
      <c r="T407" s="3383"/>
      <c r="U407" s="3438"/>
      <c r="V407" s="3298">
        <f>Table6268934562[[#This Row],[Offer Value]]-Table6268934562[[#This Row],[PO Value]]</f>
        <v>0</v>
      </c>
      <c r="W407" s="3383"/>
      <c r="X407" s="3383"/>
      <c r="Y407" s="3436"/>
    </row>
    <row r="408" spans="1:25">
      <c r="A408" s="3426"/>
      <c r="B408" s="3383"/>
      <c r="C408" s="3452"/>
      <c r="D408" s="3383"/>
      <c r="E408" s="3383"/>
      <c r="F408" s="3383"/>
      <c r="G408" s="3383"/>
      <c r="H408" s="3383"/>
      <c r="I408" s="3383"/>
      <c r="J408" s="3383"/>
      <c r="K408" s="3383"/>
      <c r="L408" s="3383"/>
      <c r="M408" s="3351"/>
      <c r="N408" s="3431"/>
      <c r="O408" s="3431"/>
      <c r="P408" s="3383"/>
      <c r="Q408" s="3435"/>
      <c r="R408" s="3439"/>
      <c r="S408" s="3437"/>
      <c r="T408" s="3383"/>
      <c r="U408" s="3438"/>
      <c r="V408" s="3298">
        <f>Table6268934562[[#This Row],[Offer Value]]-Table6268934562[[#This Row],[PO Value]]</f>
        <v>0</v>
      </c>
      <c r="W408" s="3383"/>
      <c r="X408" s="3383"/>
      <c r="Y408" s="3436"/>
    </row>
    <row r="409" spans="1:25">
      <c r="A409" s="1106"/>
      <c r="B409" s="1107"/>
      <c r="C409" s="1106"/>
      <c r="D409" s="1108"/>
      <c r="E409" s="1106"/>
      <c r="F409" s="1108"/>
      <c r="G409" s="1106"/>
      <c r="H409" s="1108"/>
      <c r="I409" s="1108"/>
      <c r="J409" s="1108"/>
      <c r="K409" s="1108"/>
      <c r="L409" s="1108"/>
      <c r="M409" s="1108"/>
      <c r="N409" s="1109"/>
      <c r="O409" s="1109"/>
      <c r="P409" s="1108"/>
      <c r="Q409" s="1110"/>
      <c r="R409" s="1108"/>
      <c r="S409" s="1111"/>
      <c r="T409" s="1108"/>
      <c r="U409" s="1108"/>
      <c r="V409" s="1112"/>
      <c r="W409" s="1106"/>
      <c r="X409" s="1106"/>
      <c r="Y409" s="1108"/>
    </row>
  </sheetData>
  <mergeCells count="1">
    <mergeCell ref="Z5:AA5"/>
  </mergeCells>
  <phoneticPr fontId="43" type="noConversion"/>
  <conditionalFormatting sqref="L1:L6 L243 L179:L181 L250 L266 L269:L1048576">
    <cfRule type="duplicateValues" dxfId="109" priority="11"/>
  </conditionalFormatting>
  <conditionalFormatting sqref="L192">
    <cfRule type="duplicateValues" dxfId="108" priority="8"/>
  </conditionalFormatting>
  <conditionalFormatting sqref="L194:L207">
    <cfRule type="duplicateValues" dxfId="107" priority="7"/>
  </conditionalFormatting>
  <conditionalFormatting sqref="L212:L216">
    <cfRule type="duplicateValues" dxfId="106" priority="6"/>
  </conditionalFormatting>
  <conditionalFormatting sqref="L219:L230">
    <cfRule type="duplicateValues" dxfId="105" priority="5"/>
  </conditionalFormatting>
  <conditionalFormatting sqref="L232:L241">
    <cfRule type="duplicateValues" dxfId="104" priority="4"/>
  </conditionalFormatting>
  <conditionalFormatting sqref="L244:L249">
    <cfRule type="duplicateValues" dxfId="103" priority="3"/>
  </conditionalFormatting>
  <conditionalFormatting sqref="L251:L263">
    <cfRule type="duplicateValues" dxfId="102" priority="2"/>
  </conditionalFormatting>
  <conditionalFormatting sqref="L265">
    <cfRule type="duplicateValues" dxfId="101" priority="1"/>
  </conditionalFormatting>
  <dataValidations count="3">
    <dataValidation type="custom" allowBlank="1" showInputMessage="1" showErrorMessage="1" errorTitle="Error" error="Entered data format is wrong" promptTitle="Enter Date format : 01/10/2021 " sqref="B394:B646" xr:uid="{296D5E8B-7FE3-40BF-BD26-9512EE87D279}">
      <formula1>AND(ISNUMBER(B394),LEFT(CELL("format",B394),1)="D")</formula1>
    </dataValidation>
    <dataValidation type="list" allowBlank="1" showInputMessage="1" showErrorMessage="1" error="Do not Enter any other text except Month" sqref="T394:T395 T397:T406" xr:uid="{3F394797-365C-4B41-8FD2-C09AD355AA04}">
      <formula1>#REF!</formula1>
    </dataValidation>
    <dataValidation type="list" allowBlank="1" showInputMessage="1" showErrorMessage="1" error="Do not enter any oteh products" sqref="K398:K406" xr:uid="{A6CACB9C-8CDD-4370-84A8-41E09A3C4F63}">
      <formula1>#REF!</formula1>
    </dataValidation>
  </dataValidations>
  <hyperlinks>
    <hyperlink ref="H7" r:id="rId1" xr:uid="{C59C29E8-78C1-4888-9278-ED31D36940C6}"/>
    <hyperlink ref="H8" r:id="rId2" xr:uid="{9B673BEC-554A-4DFD-964F-F95552BF2EF7}"/>
    <hyperlink ref="H9" r:id="rId3" xr:uid="{5C862624-00DA-44C0-9D28-30A02CE5C3FE}"/>
    <hyperlink ref="H10" r:id="rId4" xr:uid="{D69265E3-E384-4645-86EA-632FEA81D1B1}"/>
    <hyperlink ref="H11" r:id="rId5" xr:uid="{95229DE7-B46F-4B51-83C4-8F72F65D65E1}"/>
    <hyperlink ref="H12" r:id="rId6" xr:uid="{16399AC2-40EA-4D41-9504-D458DCE8BB0D}"/>
    <hyperlink ref="H13" r:id="rId7" xr:uid="{0033ABF8-03FD-489F-A776-85675B2C0CF0}"/>
    <hyperlink ref="H14" r:id="rId8" xr:uid="{D1203E7F-B33D-4FF8-8071-A5FFFBE31DC4}"/>
    <hyperlink ref="H22" r:id="rId9" xr:uid="{0A1262F9-A0AB-449D-924D-5583C56B2602}"/>
    <hyperlink ref="H23" r:id="rId10" xr:uid="{B33B3AEC-9732-48C3-98E6-1147A6DC6C76}"/>
    <hyperlink ref="H24" r:id="rId11" xr:uid="{D942316F-6D67-4AED-AF7B-D0B500B749DA}"/>
    <hyperlink ref="H25" r:id="rId12" xr:uid="{9BD74585-AF79-4D3B-9443-997F76DF685F}"/>
    <hyperlink ref="H26" r:id="rId13" xr:uid="{5FA810E8-3297-476F-B147-0310BA9F400D}"/>
    <hyperlink ref="H27" r:id="rId14" xr:uid="{FC0DEA47-3F5D-480E-9744-FAE0ED7146FC}"/>
    <hyperlink ref="H28" r:id="rId15" xr:uid="{35350594-6EA6-4D00-AF7A-AC4C0CA46ACA}"/>
    <hyperlink ref="H29" r:id="rId16" xr:uid="{3C47E15C-75D5-4F51-93FC-97F57FA9AA5B}"/>
    <hyperlink ref="H30" r:id="rId17" xr:uid="{549D8068-7D69-49EB-895C-CE861426671E}"/>
    <hyperlink ref="H31" r:id="rId18" xr:uid="{83C7967C-5DF0-42B6-8A1A-0DE7B23F7CB4}"/>
    <hyperlink ref="H32" r:id="rId19" xr:uid="{C46CC084-BC58-4E01-9CC7-AD6B6362AFD2}"/>
    <hyperlink ref="H33" r:id="rId20" xr:uid="{AFFD24A4-D1EA-4A08-93B6-AF91401E6E0B}"/>
    <hyperlink ref="H34" r:id="rId21" xr:uid="{6C6FD6F6-BDD3-43C8-BF5C-7A87C720A061}"/>
    <hyperlink ref="H35" r:id="rId22" xr:uid="{435F57C1-8A29-44D5-A4DD-30FD5C24338B}"/>
    <hyperlink ref="H36" r:id="rId23" xr:uid="{344FA4FA-2E14-48BC-9084-155CE0E862D1}"/>
    <hyperlink ref="H37" r:id="rId24" xr:uid="{0BE6B43F-513A-49E9-9FEC-7E431F5E900C}"/>
    <hyperlink ref="H38" r:id="rId25" xr:uid="{2D8FB731-A4BD-4F37-8CE9-9747CC366AFE}"/>
    <hyperlink ref="H39" r:id="rId26" xr:uid="{3774DBAA-43BD-4DB6-9D25-C273E189ECED}"/>
    <hyperlink ref="H40" r:id="rId27" xr:uid="{461CAD82-4517-49B2-9E7D-2464FCA3D304}"/>
    <hyperlink ref="H41" r:id="rId28" xr:uid="{231AB140-CBF1-475C-9C37-27BD61922B87}"/>
    <hyperlink ref="H42" r:id="rId29" xr:uid="{A77AF710-6909-48B6-9CD8-53D5BC7462A8}"/>
    <hyperlink ref="H43" r:id="rId30" xr:uid="{20414043-2DF6-4C0C-BD35-B40D54E755A1}"/>
    <hyperlink ref="H44" r:id="rId31" xr:uid="{03797BEC-E0CD-4BBE-A97C-675706266DFE}"/>
    <hyperlink ref="H45" r:id="rId32" xr:uid="{4B015AEC-2098-4F4D-BA90-A6226A51A41E}"/>
    <hyperlink ref="H46" r:id="rId33" xr:uid="{388DBBC7-DDBB-42F3-B8E5-7E690990C052}"/>
    <hyperlink ref="H47" r:id="rId34" xr:uid="{23AC13FA-DAA2-4C6F-8CA1-C132D32A07B9}"/>
    <hyperlink ref="H48" r:id="rId35" xr:uid="{080E7630-90F0-4D54-8866-96FA8ABBDE5E}"/>
    <hyperlink ref="H49" r:id="rId36" xr:uid="{0D6BC324-6269-47B9-9E8C-FF37A59F6976}"/>
    <hyperlink ref="H50" r:id="rId37" xr:uid="{C9AA0D66-DA9C-4DC0-BB6F-5E5C88CB171D}"/>
    <hyperlink ref="H51" r:id="rId38" xr:uid="{71172956-DCAE-4703-8702-39791C98E013}"/>
    <hyperlink ref="H54" r:id="rId39" xr:uid="{41FBF733-E455-4689-BADA-D7EF5F775487}"/>
    <hyperlink ref="H59" r:id="rId40" xr:uid="{83197AA3-3052-48D0-A876-61B0FD8290E0}"/>
    <hyperlink ref="H60" r:id="rId41" xr:uid="{014A47D4-D4B5-41F6-9D28-D7BA6ABFCA5C}"/>
    <hyperlink ref="H61" r:id="rId42" xr:uid="{1DB96F0E-4878-4166-B79D-2109E5336F2A}"/>
    <hyperlink ref="H62" r:id="rId43" xr:uid="{090A08D2-A4AC-46F5-B78A-0BC5C894D606}"/>
    <hyperlink ref="H63" r:id="rId44" xr:uid="{F8B4678E-BCE1-4020-9EDF-32B52A64B3B9}"/>
    <hyperlink ref="H64" r:id="rId45" xr:uid="{A12F2A79-9DF9-4BD8-8FEE-9D721E16105B}"/>
    <hyperlink ref="H65" r:id="rId46" xr:uid="{521792D7-6FFD-4EB8-ADD4-EB736DE6A0B5}"/>
    <hyperlink ref="H68" r:id="rId47" xr:uid="{8F96960A-390B-44F3-A434-00BFCBCBAB6F}"/>
    <hyperlink ref="H69" r:id="rId48" xr:uid="{2FF92180-951F-4B44-A1EE-EE3FBC2F6519}"/>
    <hyperlink ref="H70" r:id="rId49" xr:uid="{CF785C8C-B9E8-4FE2-8D2F-73BA08E8E398}"/>
    <hyperlink ref="H71" r:id="rId50" xr:uid="{399441CE-712E-4E3F-BA13-5C08F502C48D}"/>
    <hyperlink ref="H72" r:id="rId51" xr:uid="{07B7F675-5FE1-4FA7-8596-A23860E58254}"/>
    <hyperlink ref="H83" r:id="rId52" xr:uid="{6F31C820-EBCC-4961-A7A6-FADF7BBEC7FA}"/>
    <hyperlink ref="H84" r:id="rId53" xr:uid="{535BEE93-7ADC-41CA-8AF4-D8EFBDBDA172}"/>
    <hyperlink ref="H85" r:id="rId54" xr:uid="{A664F1CA-8039-4955-955F-60D645B911A3}"/>
    <hyperlink ref="H86" r:id="rId55" xr:uid="{EE192CD4-39EA-47FE-B4B8-557AE784CF5B}"/>
    <hyperlink ref="H87" r:id="rId56" xr:uid="{E87F184A-1417-46C4-8B16-411F55318BE7}"/>
    <hyperlink ref="H88" r:id="rId57" xr:uid="{C8CAEA31-CDF8-476C-84E0-3BDA1DAF5D85}"/>
    <hyperlink ref="H89" r:id="rId58" xr:uid="{003164AC-DD7B-44B7-AE04-79101486232F}"/>
    <hyperlink ref="H90" r:id="rId59" xr:uid="{DD16CC60-D80A-4B92-A694-85070C9B1305}"/>
    <hyperlink ref="H91" r:id="rId60" xr:uid="{C306FBD9-2EAE-4816-96EE-4E9510576879}"/>
    <hyperlink ref="H92" r:id="rId61" xr:uid="{FCC55749-5B48-4DB4-BB71-94DDCE243446}"/>
    <hyperlink ref="H93" r:id="rId62" xr:uid="{81129285-2872-44C2-A11A-AF76CB17BFB8}"/>
    <hyperlink ref="H94" r:id="rId63" xr:uid="{42A62000-DE5F-4110-A791-EDE70CBCE5AC}"/>
    <hyperlink ref="H95" r:id="rId64" xr:uid="{100486CA-25D3-4B71-AF9A-8EB9A252BC07}"/>
    <hyperlink ref="H96" r:id="rId65" xr:uid="{AF173713-A7B5-43FC-9920-9B3FC26598D0}"/>
    <hyperlink ref="H97" r:id="rId66" xr:uid="{748E38B1-DB4C-4862-B047-7C0F2CE4951C}"/>
    <hyperlink ref="H98" r:id="rId67" xr:uid="{BB48A06B-1F0D-4476-889B-26D5A23308C0}"/>
    <hyperlink ref="H99" r:id="rId68" xr:uid="{8CDF50D9-339D-49FA-A2D2-97F0C7465C3A}"/>
    <hyperlink ref="H100" r:id="rId69" xr:uid="{9A102DC9-F388-442B-9AC6-1B6BE0D10878}"/>
    <hyperlink ref="H101" r:id="rId70" xr:uid="{CC553DB2-B567-4FAD-8BCD-E1EBCD87D2AC}"/>
    <hyperlink ref="H103" r:id="rId71" xr:uid="{F0DCEC76-B381-4325-9BD6-6DF87ACC58CE}"/>
    <hyperlink ref="H104" r:id="rId72" xr:uid="{CE3AA9E4-13E7-48D5-96ED-1455533C8047}"/>
    <hyperlink ref="H105" r:id="rId73" xr:uid="{17224941-982C-4590-A986-BEB75E9A3C8B}"/>
    <hyperlink ref="H106" r:id="rId74" xr:uid="{C198E259-07FC-414D-A010-354FF6F23D25}"/>
    <hyperlink ref="H107" r:id="rId75" xr:uid="{07987F48-5556-4A64-83F4-A7C1EE59BBEB}"/>
    <hyperlink ref="H108" r:id="rId76" xr:uid="{21B28A9F-539D-4411-9937-6F58025F2C30}"/>
    <hyperlink ref="H109" r:id="rId77" xr:uid="{BE8B7622-A465-472E-A313-4BC6A9238433}"/>
    <hyperlink ref="H110" r:id="rId78" xr:uid="{83A747C2-C3E2-4DC0-8198-11D4DD4FFC7D}"/>
    <hyperlink ref="H111" r:id="rId79" xr:uid="{5B768000-0D07-4A2E-BE30-0BA6481DB650}"/>
    <hyperlink ref="H112" r:id="rId80" xr:uid="{CD8124BE-1C92-4297-89B1-C20D3602CC7F}"/>
    <hyperlink ref="H113" r:id="rId81" xr:uid="{3F5C8E26-9B49-4382-A2FA-B2F4F27FA3EE}"/>
    <hyperlink ref="H114" r:id="rId82" xr:uid="{B5437B98-048B-4544-A65F-0E6F54DEE417}"/>
    <hyperlink ref="H115" r:id="rId83" xr:uid="{6377C5FD-C56A-4F1D-AC41-D207262E9AFE}"/>
    <hyperlink ref="H116" r:id="rId84" xr:uid="{DFD5B2D3-AD63-4224-A965-0E9C74B0ACB8}"/>
    <hyperlink ref="H117" r:id="rId85" xr:uid="{A3F35CEF-A3E9-476F-8879-74C6138F1BFC}"/>
    <hyperlink ref="H118" r:id="rId86" xr:uid="{EF24BBD2-540C-4988-9F42-F8FD38FDB1AD}"/>
    <hyperlink ref="H119" r:id="rId87" xr:uid="{905A118A-9A58-4F4D-95E3-405EC4A8A66C}"/>
    <hyperlink ref="H120" r:id="rId88" xr:uid="{4C6CE526-104B-4434-9AF4-8CD64421DD6C}"/>
    <hyperlink ref="H121" r:id="rId89" xr:uid="{27772915-9BD1-4B00-816A-F892E4F12034}"/>
    <hyperlink ref="H122" r:id="rId90" xr:uid="{2802DDE3-CDB0-47AB-930F-78FF23F36BDC}"/>
    <hyperlink ref="H123" r:id="rId91" xr:uid="{B14C0611-FC26-4E75-8FAD-CFD70809E5A7}"/>
    <hyperlink ref="H124" r:id="rId92" xr:uid="{7136FFED-D1B4-4573-A41D-857F9F7FBD5E}"/>
    <hyperlink ref="H125" r:id="rId93" xr:uid="{A516DE05-1BFE-4A25-AB5E-A69B65BB7AD1}"/>
    <hyperlink ref="H126" r:id="rId94" xr:uid="{06C04B8B-849D-4BB8-9473-E59F4FC994C2}"/>
    <hyperlink ref="H127" r:id="rId95" xr:uid="{340E4B1F-BFB8-4E58-8AE1-32A9B6E1DE20}"/>
    <hyperlink ref="H129" r:id="rId96" xr:uid="{F7DE3820-76DD-44A6-BDB2-93681D8A521C}"/>
    <hyperlink ref="H130" r:id="rId97" xr:uid="{165CDE84-B424-4DF1-947A-CD005743F42A}"/>
    <hyperlink ref="H131" r:id="rId98" xr:uid="{BFEDA966-B2D9-404F-B799-572F7B56025E}"/>
    <hyperlink ref="H132" r:id="rId99" xr:uid="{9417F0DC-9368-4CB3-9380-B7F4C1499E10}"/>
    <hyperlink ref="H133" r:id="rId100" xr:uid="{29ED5666-E6C8-4F4A-8063-D54D0917AF8F}"/>
    <hyperlink ref="H134" r:id="rId101" xr:uid="{EE75D5B5-7CA3-4F85-ABB1-128DD520B8B5}"/>
    <hyperlink ref="H135" r:id="rId102" xr:uid="{827DAA7D-5EC7-422A-A88F-23613BF3E0D8}"/>
    <hyperlink ref="H136" r:id="rId103" xr:uid="{1C706990-D4CC-49F7-B0A1-F52C7DA9AE3F}"/>
    <hyperlink ref="H137" r:id="rId104" xr:uid="{C5FE4717-643B-45C4-A14D-600D1BDB358C}"/>
    <hyperlink ref="H138" r:id="rId105" xr:uid="{6614AF91-1E88-4FCB-A613-AA2ED485022E}"/>
    <hyperlink ref="H139" r:id="rId106" xr:uid="{E0A5A255-5267-4B13-A998-3B894201E870}"/>
    <hyperlink ref="H140" r:id="rId107" xr:uid="{F807B3B2-1323-4219-BD32-29E85006BF4F}"/>
    <hyperlink ref="H141" r:id="rId108" xr:uid="{5F83481C-9531-4E6F-85E4-4987E07C2C27}"/>
    <hyperlink ref="H142" r:id="rId109" xr:uid="{831F29D8-5B5F-42BF-807D-AA9025A53F4A}"/>
    <hyperlink ref="H143" r:id="rId110" xr:uid="{6227827D-FD94-48A7-A22D-A2C55E15F7A9}"/>
    <hyperlink ref="H144" r:id="rId111" xr:uid="{0731F534-80B4-470E-902A-73939B1DA567}"/>
    <hyperlink ref="H145" r:id="rId112" xr:uid="{9101A4A3-58EB-4EF1-AF46-9C70D9F6623B}"/>
    <hyperlink ref="H146" r:id="rId113" xr:uid="{E3BD23C4-C0F9-4097-A857-8ACFE59E9032}"/>
    <hyperlink ref="H147" r:id="rId114" xr:uid="{987ACBC0-A05B-41B9-804F-71DF272244AF}"/>
    <hyperlink ref="H148" r:id="rId115" xr:uid="{C81A0690-0A15-4484-93D8-A9FDB41585E2}"/>
    <hyperlink ref="H149" r:id="rId116" xr:uid="{143E6ECD-121F-4911-A47A-42EA13320531}"/>
    <hyperlink ref="H150" r:id="rId117" xr:uid="{E32B431A-64A3-4D1F-BE5B-626EA48DC7D2}"/>
    <hyperlink ref="H151" r:id="rId118" xr:uid="{303BB2EA-7FE1-49E4-9185-D50F42444417}"/>
    <hyperlink ref="H152" r:id="rId119" xr:uid="{13113CA1-EEB4-489E-8D5D-A12F8F960C2C}"/>
    <hyperlink ref="H153" r:id="rId120" xr:uid="{07686DA4-4229-4F31-81C8-3EB149AA19D9}"/>
    <hyperlink ref="H154" r:id="rId121" xr:uid="{C4710131-0634-45BC-B88E-67BF1C1D0501}"/>
    <hyperlink ref="H155" r:id="rId122" xr:uid="{66D32D95-D36E-4DDB-B23D-2C55BF550C41}"/>
    <hyperlink ref="H156" r:id="rId123" xr:uid="{A0932468-5DE5-462C-845F-FA258B6E4772}"/>
    <hyperlink ref="H157" r:id="rId124" xr:uid="{B2E00976-D336-4651-83F1-0053EADED0E7}"/>
    <hyperlink ref="H158" r:id="rId125" xr:uid="{B81ECBF4-A6AA-49FA-B0F7-DC3B5571AFD5}"/>
    <hyperlink ref="H161" r:id="rId126" xr:uid="{E530E971-55C6-41E9-A3C0-3BAF0F546FFF}"/>
    <hyperlink ref="H162" r:id="rId127" xr:uid="{BB63CB42-AE30-4E6C-84A7-92A9AA8B7792}"/>
    <hyperlink ref="H164" r:id="rId128" xr:uid="{C9F94076-932F-4557-A98E-84CAD70DAF32}"/>
    <hyperlink ref="H165" r:id="rId129" xr:uid="{32B6B461-35D3-431E-9700-F408D8E3AF12}"/>
    <hyperlink ref="H166" r:id="rId130" xr:uid="{5EA10160-BEDC-4E87-A40D-1477F5F1CE42}"/>
    <hyperlink ref="H167" r:id="rId131" xr:uid="{D3A6AB7B-BD40-4C4B-B5C0-5F44C535527C}"/>
    <hyperlink ref="H168" r:id="rId132" xr:uid="{B581E883-B4ED-4234-8C17-DD70CDFB1346}"/>
    <hyperlink ref="H169" r:id="rId133" xr:uid="{6EA5AE15-3496-4754-95E5-35445ADADCB1}"/>
    <hyperlink ref="H170" r:id="rId134" display="mailto:dinkar.tarale@ksb.com" xr:uid="{AD184C34-355E-4E85-8AA3-1900E1AA33A9}"/>
    <hyperlink ref="H171" r:id="rId135" display="mailto:dinkar.tarale@ksb.com" xr:uid="{7E872603-0024-4768-8500-63DCCA526ADC}"/>
    <hyperlink ref="H172" r:id="rId136" display="mailto:dinkar.tarale@ksb.com" xr:uid="{181D4622-C2AF-4B30-8C25-EC68E4A08053}"/>
    <hyperlink ref="H173" r:id="rId137" display="mailto:dinkar.tarale@ksb.com" xr:uid="{FF388D0B-C8DB-4CAA-9BF8-2FAD10BA3352}"/>
    <hyperlink ref="H174" r:id="rId138" display="mailto:dinkar.tarale@ksb.com" xr:uid="{88864E65-82DC-4D72-81D5-774EE6E85DAE}"/>
    <hyperlink ref="H175" r:id="rId139" display="mailto:dinkar.tarale@ksb.com" xr:uid="{8D7D1511-C0F1-4F7E-B460-44EED97BD969}"/>
    <hyperlink ref="H177" r:id="rId140" xr:uid="{78060F85-AE3F-43B6-8A9F-D61A3040375F}"/>
    <hyperlink ref="H178" r:id="rId141" xr:uid="{9C9E54F8-E9AC-4E37-9606-1B061C8A11CD}"/>
    <hyperlink ref="H179" r:id="rId142" xr:uid="{32B0FE0C-87F4-456A-A1B9-7C4F818D7269}"/>
    <hyperlink ref="H180" r:id="rId143" display="mailto:yogesh.chavan@siemens.com" xr:uid="{98C0A8F9-F2AF-48F9-B716-676797A35E6C}"/>
    <hyperlink ref="H181" r:id="rId144" display="mailto:yogesh.chavan@siemens.com" xr:uid="{8D0F7F02-9E0A-487E-892A-012D5EB61FC6}"/>
    <hyperlink ref="H182" r:id="rId145" xr:uid="{BA5D2331-FAC7-443B-8535-8E32160B331A}"/>
    <hyperlink ref="H183" r:id="rId146" display="mailto:dbhore@wockhardt.com" xr:uid="{354BD97D-6237-40B4-8493-5FDBF896AB69}"/>
    <hyperlink ref="H185" r:id="rId147" xr:uid="{E02B3DBD-9C33-4807-A9FD-87EB339EA952}"/>
    <hyperlink ref="H186" r:id="rId148" xr:uid="{7FD7DFC2-F6AD-4B1E-A124-0166821A48BA}"/>
    <hyperlink ref="H187" r:id="rId149" xr:uid="{09672772-2A04-49BB-A37C-04CFB2794AF5}"/>
    <hyperlink ref="H189" r:id="rId150" xr:uid="{102E5BCC-884E-41CB-87C0-E366AECE5AFD}"/>
    <hyperlink ref="H190" r:id="rId151" xr:uid="{EF537079-B44E-42CA-BFDA-EA60F9A0CB39}"/>
    <hyperlink ref="H192" r:id="rId152" xr:uid="{A417D90C-B558-4F1E-98DF-AB4CDA7FA3BC}"/>
    <hyperlink ref="H193" r:id="rId153" xr:uid="{1B63BC28-D8E4-4A88-B6AA-870A81C01E9C}"/>
    <hyperlink ref="H194" r:id="rId154" xr:uid="{C6B32D69-11E9-4E6D-92D5-23D504CF4E2E}"/>
    <hyperlink ref="H195" r:id="rId155" xr:uid="{8452BDA7-4B0E-4ECD-82D4-F4EF411D3541}"/>
    <hyperlink ref="H196" r:id="rId156" xr:uid="{02EBE576-AAE3-4166-8AD9-D46F437289D8}"/>
    <hyperlink ref="H197" r:id="rId157" xr:uid="{7F41C526-3FCC-4D2C-8510-E8B4A4ECDD38}"/>
    <hyperlink ref="H198" r:id="rId158" xr:uid="{AC069089-5A62-4CA9-958A-584E014AB6DC}"/>
    <hyperlink ref="H199" r:id="rId159" xr:uid="{3960FC15-5915-44CF-B021-E408348A0859}"/>
    <hyperlink ref="H200" r:id="rId160" xr:uid="{3CC59E60-8A25-46F6-8AE8-BD1064923355}"/>
    <hyperlink ref="H201" r:id="rId161" xr:uid="{A2EB314F-67A5-4A0C-AB87-B66495A5741A}"/>
    <hyperlink ref="H202" r:id="rId162" xr:uid="{3D26D56C-3CAB-4452-8DEE-B5E10C18B2D2}"/>
    <hyperlink ref="H203" r:id="rId163" xr:uid="{3439B5B8-562A-4725-982D-BD64BB34F892}"/>
    <hyperlink ref="H204" r:id="rId164" xr:uid="{109E4E5C-C30A-4160-A562-108BF641EBC4}"/>
    <hyperlink ref="H205" r:id="rId165" xr:uid="{7107A4D9-1769-4DE7-80FC-2CC4D5C1A128}"/>
    <hyperlink ref="H206" r:id="rId166" xr:uid="{40FE1910-78A1-400B-814A-13A38BAA9EE5}"/>
    <hyperlink ref="H207" r:id="rId167" xr:uid="{8713D059-1B9A-467F-851F-5E75B812D52F}"/>
    <hyperlink ref="H208" r:id="rId168" display="mailto:milind.kadam@nisseiasb.com" xr:uid="{C54379AF-3AE6-41D3-897B-5BBB26811CD6}"/>
    <hyperlink ref="H209" r:id="rId169" xr:uid="{D930B6E1-381E-459D-93C8-1CD6AE522BF5}"/>
    <hyperlink ref="H210" r:id="rId170" xr:uid="{DECFDEC3-D2C2-462E-AA37-A3C1B1243649}"/>
    <hyperlink ref="H211" r:id="rId171" display="mailto:chandrakant.rule@in.abb.com" xr:uid="{7B58CB21-1B30-4FC5-BFB0-F3D5527D424D}"/>
    <hyperlink ref="H212" r:id="rId172" xr:uid="{2C525FE4-7CC7-43A2-90C1-2C12B3F13C11}"/>
    <hyperlink ref="H213" r:id="rId173" xr:uid="{A54A9E8E-ADD5-4993-8576-47BCF97269D4}"/>
    <hyperlink ref="H214" r:id="rId174" xr:uid="{8310E7FA-B9CD-4B4B-B999-0D0711CC5C2A}"/>
    <hyperlink ref="H215" r:id="rId175" xr:uid="{489E38AA-80D8-48DA-BC38-25D856AC9F64}"/>
    <hyperlink ref="H216" r:id="rId176" xr:uid="{A8510E23-D275-46C3-ABC4-3003EB370135}"/>
    <hyperlink ref="H217" r:id="rId177" xr:uid="{3F637CC6-70F9-42F4-AF1C-8431E0756042}"/>
    <hyperlink ref="H218" r:id="rId178" xr:uid="{9835B9E4-3AEF-4C80-9AB7-E14B894F1023}"/>
    <hyperlink ref="H219" r:id="rId179" xr:uid="{73222B69-4AD6-44E3-8855-F3E208D9EFD7}"/>
    <hyperlink ref="H220" r:id="rId180" xr:uid="{36ABCCF7-73E1-4D8B-B0DC-C124F568CA88}"/>
    <hyperlink ref="H221" r:id="rId181" xr:uid="{DA06FDCC-8C36-495C-ADC7-C4A5785E277E}"/>
    <hyperlink ref="H222" r:id="rId182" xr:uid="{A265A4DA-C042-4DBA-AB5C-90DCE0B62374}"/>
    <hyperlink ref="H223" r:id="rId183" xr:uid="{7601B51F-A2CA-4919-BF40-EC15F9F711BF}"/>
    <hyperlink ref="H224" r:id="rId184" xr:uid="{386BBFF3-0FEB-4DD1-B549-3F1B3878D77F}"/>
    <hyperlink ref="H225" r:id="rId185" xr:uid="{08955DE2-5C87-491F-AFC5-2A3AE04BA2D8}"/>
    <hyperlink ref="H226" r:id="rId186" xr:uid="{EABB3F26-53EE-436D-AD54-68756AE6FAAE}"/>
    <hyperlink ref="H227" r:id="rId187" xr:uid="{D1BE5BDC-17B0-4BF9-A653-F0B7A8BEC0B1}"/>
    <hyperlink ref="H228" r:id="rId188" xr:uid="{40B1A460-BD98-4D63-8080-8E5F1269F127}"/>
    <hyperlink ref="H229" r:id="rId189" xr:uid="{18A4AD0D-0EA4-4CE5-A29B-3B3436671461}"/>
    <hyperlink ref="H230" r:id="rId190" xr:uid="{61CF873E-34A2-4A4C-A635-C7E5FC4244F4}"/>
    <hyperlink ref="H231" r:id="rId191" xr:uid="{2E9F9A01-4FDC-4021-ABD3-F2CF6B67F99A}"/>
    <hyperlink ref="H242" r:id="rId192" xr:uid="{2E7ED42F-ABF2-4BAB-B53E-20C22D1C3E02}"/>
    <hyperlink ref="H243" r:id="rId193" display="mailto:milind.kadam@nisseiasb.com" xr:uid="{C8481DE9-3341-4B62-B82F-3FBC5C3DE2F6}"/>
    <hyperlink ref="H255" r:id="rId194" xr:uid="{7B33DE82-A7FA-4357-9802-245EA15E4A38}"/>
    <hyperlink ref="H256" r:id="rId195" xr:uid="{F1E72922-AB35-438B-8766-9F7E47E3397D}"/>
    <hyperlink ref="H257" r:id="rId196" xr:uid="{8BCAAF01-8CB3-4221-A58E-D5735426863E}"/>
    <hyperlink ref="H258" r:id="rId197" xr:uid="{41AA31AD-FA84-4915-B9E1-3834052BA7C4}"/>
    <hyperlink ref="H263" r:id="rId198" xr:uid="{86868356-D848-4F88-9122-2DA6B0698AE8}"/>
    <hyperlink ref="H264" r:id="rId199" display="mailto:prasad.dusane@siemens.com" xr:uid="{97FD4805-46B7-44B6-B4EB-AE5B7E65276D}"/>
    <hyperlink ref="H265" r:id="rId200" xr:uid="{9CA323B3-AD65-47A8-8646-728F34120503}"/>
    <hyperlink ref="H266" r:id="rId201" display="mailto:renuka.navandar@in.bosch.com" xr:uid="{FBAE913A-B439-45AA-A955-AB54BC26FC5C}"/>
    <hyperlink ref="H267" r:id="rId202" xr:uid="{1E459CE6-A6A6-4605-8470-10841B4F7677}"/>
    <hyperlink ref="H268" r:id="rId203" xr:uid="{EC6B7FA6-93E9-4904-8421-F3749F521F8A}"/>
  </hyperlinks>
  <pageMargins left="0.7" right="0.7" top="0.75" bottom="0.75" header="0.3" footer="0.3"/>
  <pageSetup orientation="portrait" r:id="rId204"/>
  <legacyDrawing r:id="rId205"/>
  <tableParts count="1">
    <tablePart r:id="rId206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095DACF-BB63-4003-B59A-A7B053FD7D2A}">
          <x14:formula1>
            <xm:f>'Month Prod Names'!$B$4:$B$16</xm:f>
          </x14:formula1>
          <xm:sqref>P154:P155 O1:P6 P96 P104 P22 U181:U183 U156 U209 U242 O167:P1048576</xm:sqref>
        </x14:dataValidation>
        <x14:dataValidation type="list" allowBlank="1" showInputMessage="1" showErrorMessage="1" error="Select from drop down" xr:uid="{5DF0EABB-2F24-4B55-A28D-AFE02A7B527C}">
          <x14:formula1>
            <xm:f>'Month Prod Names'!$J$4:$J$5</xm:f>
          </x14:formula1>
          <xm:sqref>K167:K175</xm:sqref>
        </x14:dataValidation>
        <x14:dataValidation type="list" allowBlank="1" showInputMessage="1" showErrorMessage="1" error="Select From Drop Down" xr:uid="{D9441BB3-853C-401E-8C5B-38F9673EE2EA}">
          <x14:formula1>
            <xm:f>Location!$B:$B</xm:f>
          </x14:formula1>
          <xm:sqref>D1:D6 D167:D1048575</xm:sqref>
        </x14:dataValidation>
        <x14:dataValidation type="list" allowBlank="1" showInputMessage="1" showErrorMessage="1" xr:uid="{31B5C4E5-0846-460A-AF0A-37ACA39F6012}">
          <x14:formula1>
            <xm:f>'Month Prod Names'!$D$4:$D$13</xm:f>
          </x14:formula1>
          <xm:sqref>J1:J6 J167:J217 J219:J250 J255:J266 J268:J1048575</xm:sqref>
        </x14:dataValidation>
        <x14:dataValidation type="list" allowBlank="1" showInputMessage="1" showErrorMessage="1" xr:uid="{BAB15B45-4206-4B66-BD3E-D7FD21687609}">
          <x14:formula1>
            <xm:f>'Month Prod Names'!$K$4:$K$16</xm:f>
          </x14:formula1>
          <xm:sqref>Q1:Q6 Q168:Q1048575</xm:sqref>
        </x14:dataValidation>
        <x14:dataValidation type="list" allowBlank="1" showInputMessage="1" showErrorMessage="1" error="Select From Drop Down" xr:uid="{A9A26754-915B-4A89-9975-60CD74BB22EB}">
          <x14:formula1>
            <xm:f>'Machine Serial Numbers'!$A$2:$A$1502</xm:f>
          </x14:formula1>
          <xm:sqref>I170:I183 I186:I187 I189:I207 I210:I217 I219:I250 I255:I258 I263 I265</xm:sqref>
        </x14:dataValidation>
        <x14:dataValidation type="list" allowBlank="1" showInputMessage="1" showErrorMessage="1" error="Select From Drop Down" xr:uid="{735525E5-0F2E-4E79-9CE7-ADD07433B441}">
          <x14:formula1>
            <xm:f>Customer!$B$2:$B$264</xm:f>
          </x14:formula1>
          <xm:sqref>C167:C528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C080-5524-4903-AE6B-117E0F06B25A}">
  <dimension ref="A1:AF460"/>
  <sheetViews>
    <sheetView zoomScaleNormal="100" workbookViewId="0">
      <selection activeCell="A165" sqref="A165"/>
    </sheetView>
  </sheetViews>
  <sheetFormatPr defaultRowHeight="15" customHeight="1"/>
  <cols>
    <col min="1" max="1" width="11" customWidth="1"/>
    <col min="2" max="2" width="12.44140625" style="25" bestFit="1" customWidth="1"/>
    <col min="3" max="3" width="33.33203125" style="2" customWidth="1"/>
    <col min="4" max="4" width="17.5546875" style="2" bestFit="1" customWidth="1"/>
    <col min="5" max="5" width="15.5546875" style="2" bestFit="1" customWidth="1"/>
    <col min="6" max="6" width="18" style="2" customWidth="1"/>
    <col min="7" max="7" width="16.5546875" style="2" bestFit="1" customWidth="1"/>
    <col min="8" max="8" width="33" style="2" customWidth="1"/>
    <col min="9" max="9" width="16.44140625" style="2" bestFit="1" customWidth="1"/>
    <col min="10" max="10" width="11.44140625" style="2" bestFit="1" customWidth="1"/>
    <col min="11" max="11" width="7.5546875" style="2" customWidth="1"/>
    <col min="12" max="12" width="31" style="2" customWidth="1"/>
    <col min="13" max="13" width="12.44140625" bestFit="1" customWidth="1"/>
    <col min="14" max="14" width="13" style="5" bestFit="1" customWidth="1"/>
    <col min="15" max="15" width="15.33203125" style="5" customWidth="1"/>
    <col min="16" max="16" width="15.88671875" customWidth="1"/>
    <col min="17" max="17" width="6.44140625" style="100" bestFit="1" customWidth="1"/>
    <col min="18" max="18" width="24.5546875" style="1" bestFit="1" customWidth="1"/>
    <col min="19" max="19" width="12.44140625" style="8" bestFit="1" customWidth="1"/>
    <col min="20" max="20" width="10.44140625" bestFit="1" customWidth="1"/>
    <col min="21" max="21" width="9.44140625" bestFit="1" customWidth="1"/>
    <col min="22" max="22" width="27.44140625" style="18" customWidth="1"/>
    <col min="23" max="23" width="51.44140625" style="1" customWidth="1"/>
    <col min="24" max="24" width="9.44140625" style="1" bestFit="1" customWidth="1"/>
    <col min="25" max="25" width="12.44140625" style="428" bestFit="1" customWidth="1"/>
    <col min="26" max="26" width="13.5546875" bestFit="1" customWidth="1"/>
    <col min="27" max="27" width="13.44140625" bestFit="1" customWidth="1"/>
    <col min="28" max="28" width="19.5546875" customWidth="1"/>
    <col min="29" max="29" width="15" bestFit="1" customWidth="1"/>
    <col min="30" max="30" width="15.5546875" customWidth="1"/>
    <col min="31" max="31" width="15" bestFit="1" customWidth="1"/>
    <col min="32" max="32" width="28.5546875" bestFit="1" customWidth="1"/>
  </cols>
  <sheetData>
    <row r="1" spans="1:32" ht="18.600000000000001" thickBot="1">
      <c r="Q1" s="95"/>
      <c r="U1" s="18"/>
      <c r="V1" s="85"/>
      <c r="W1"/>
      <c r="X1"/>
      <c r="AB1" s="996" t="s">
        <v>99</v>
      </c>
      <c r="AC1" s="441"/>
      <c r="AD1" s="442"/>
    </row>
    <row r="2" spans="1:32" ht="31.8" thickBot="1">
      <c r="A2" s="82" t="s">
        <v>1697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172"/>
      <c r="S2" s="83"/>
      <c r="T2" s="83"/>
      <c r="U2" s="83"/>
      <c r="V2" s="83"/>
      <c r="W2" s="83"/>
      <c r="X2" s="83"/>
      <c r="Y2" s="429"/>
      <c r="Z2" s="86"/>
      <c r="AB2" s="341" t="s">
        <v>22</v>
      </c>
      <c r="AC2" s="340" t="s">
        <v>101</v>
      </c>
      <c r="AD2" s="342" t="s">
        <v>54</v>
      </c>
      <c r="AE2" s="863" t="s">
        <v>2</v>
      </c>
      <c r="AF2" s="994" t="s">
        <v>103</v>
      </c>
    </row>
    <row r="3" spans="1:32" ht="17.399999999999999" thickBot="1">
      <c r="J3" s="87"/>
      <c r="K3" s="87"/>
      <c r="L3" s="87"/>
      <c r="M3" s="5"/>
      <c r="P3" s="5"/>
      <c r="Q3" s="96"/>
      <c r="R3" s="285"/>
      <c r="S3" s="17"/>
      <c r="T3" s="5"/>
      <c r="U3" s="80" t="s">
        <v>104</v>
      </c>
      <c r="V3" s="81">
        <f>SUM(N7:N402)</f>
        <v>30588261</v>
      </c>
      <c r="W3" s="4"/>
      <c r="X3" s="4"/>
      <c r="Y3" s="430"/>
      <c r="Z3" s="4"/>
      <c r="AB3" s="346" t="s">
        <v>7</v>
      </c>
      <c r="AC3" s="349">
        <f>SUMIF($O$7:$O$402,"January",$N$7:$N$402)</f>
        <v>6579745</v>
      </c>
      <c r="AD3" s="350">
        <f>SUMIF($U$7:$U$402,"January",$T$7:$T$402)</f>
        <v>4361918</v>
      </c>
      <c r="AE3" s="864">
        <f>SUMIF($P$7:$P$428,"January",$N$7:$N$428)</f>
        <v>4465110</v>
      </c>
      <c r="AF3" s="995">
        <f>AE3-AD3</f>
        <v>103192</v>
      </c>
    </row>
    <row r="4" spans="1:32" ht="21.6" thickBot="1">
      <c r="A4" s="3" t="s">
        <v>105</v>
      </c>
      <c r="B4" s="93">
        <f>COUNTA(B7:B1424)</f>
        <v>113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90"/>
      <c r="N4" s="90"/>
      <c r="O4" s="90"/>
      <c r="P4" s="90"/>
      <c r="Q4" s="97"/>
      <c r="R4" s="287"/>
      <c r="S4" s="101"/>
      <c r="T4" s="90"/>
      <c r="U4" s="12" t="s">
        <v>54</v>
      </c>
      <c r="V4" s="11">
        <f>SUM(T7:T402)</f>
        <v>21310721</v>
      </c>
      <c r="W4" s="21"/>
      <c r="X4" s="21"/>
      <c r="Y4" s="430"/>
      <c r="Z4" s="21"/>
      <c r="AB4" s="347" t="s">
        <v>18</v>
      </c>
      <c r="AC4" s="351">
        <f>SUMIF($O$7:$O$402,"February",$N$7:$N$402)</f>
        <v>290000</v>
      </c>
      <c r="AD4" s="343">
        <f>SUMIF($U$7:$U$402,"February",$T$7:$T$402)</f>
        <v>1491040</v>
      </c>
      <c r="AE4" s="864">
        <f>SUMIF($P$7:$P$428,"February",$N$7:$N$428)</f>
        <v>1534165</v>
      </c>
      <c r="AF4" s="995">
        <f t="shared" ref="AF4:AF14" si="0">AE4-AD4</f>
        <v>43125</v>
      </c>
    </row>
    <row r="5" spans="1:32" ht="21.6" thickBot="1">
      <c r="A5" s="91"/>
      <c r="B5" s="92"/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90"/>
      <c r="O5" s="90"/>
      <c r="P5" s="90"/>
      <c r="Q5" s="97"/>
      <c r="R5" s="287"/>
      <c r="S5" s="101"/>
      <c r="T5" s="90"/>
      <c r="U5" s="12" t="s">
        <v>13</v>
      </c>
      <c r="V5" s="11">
        <f>SUM(V7:V402)</f>
        <v>4608300</v>
      </c>
      <c r="W5" s="22"/>
      <c r="X5" s="22"/>
      <c r="Y5" s="431" t="s">
        <v>106</v>
      </c>
      <c r="Z5" s="3485"/>
      <c r="AA5" s="3486"/>
      <c r="AB5" s="347" t="s">
        <v>25</v>
      </c>
      <c r="AC5" s="351">
        <f>SUMIF($O$7:$O$402,"March",$N$7:$N$402)</f>
        <v>3483840</v>
      </c>
      <c r="AD5" s="343">
        <f>SUMIF($U$7:$U$402,"March",$T$7:$T$402)</f>
        <v>666040</v>
      </c>
      <c r="AE5" s="864">
        <f>SUMIF($P$7:$P$428,"March",$N$7:$N$428)</f>
        <v>405650</v>
      </c>
      <c r="AF5" s="995">
        <f t="shared" si="0"/>
        <v>-260390</v>
      </c>
    </row>
    <row r="6" spans="1:32" ht="54" customHeight="1">
      <c r="A6" s="134" t="s">
        <v>107</v>
      </c>
      <c r="B6" s="134" t="s">
        <v>108</v>
      </c>
      <c r="C6" s="134" t="s">
        <v>109</v>
      </c>
      <c r="D6" s="134" t="s">
        <v>110</v>
      </c>
      <c r="E6" s="134" t="s">
        <v>111</v>
      </c>
      <c r="F6" s="134" t="s">
        <v>112</v>
      </c>
      <c r="G6" s="134" t="s">
        <v>113</v>
      </c>
      <c r="H6" s="134" t="s">
        <v>114</v>
      </c>
      <c r="I6" s="132" t="s">
        <v>115</v>
      </c>
      <c r="J6" s="134" t="s">
        <v>116</v>
      </c>
      <c r="K6" s="134" t="s">
        <v>117</v>
      </c>
      <c r="L6" s="134" t="s">
        <v>118</v>
      </c>
      <c r="M6" s="133" t="s">
        <v>119</v>
      </c>
      <c r="N6" s="134" t="s">
        <v>120</v>
      </c>
      <c r="O6" s="134" t="s">
        <v>121</v>
      </c>
      <c r="P6" s="134" t="s">
        <v>93</v>
      </c>
      <c r="Q6" s="134" t="s">
        <v>122</v>
      </c>
      <c r="R6" s="134" t="s">
        <v>123</v>
      </c>
      <c r="S6" s="134" t="s">
        <v>124</v>
      </c>
      <c r="T6" s="134" t="s">
        <v>125</v>
      </c>
      <c r="U6" s="134" t="s">
        <v>126</v>
      </c>
      <c r="V6" s="134" t="s">
        <v>13</v>
      </c>
      <c r="W6" s="134" t="s">
        <v>127</v>
      </c>
      <c r="X6" s="134" t="s">
        <v>128</v>
      </c>
      <c r="Y6" s="216" t="s">
        <v>129</v>
      </c>
      <c r="Z6" s="201" t="s">
        <v>1698</v>
      </c>
      <c r="AA6" s="202" t="s">
        <v>1699</v>
      </c>
      <c r="AB6" s="347" t="s">
        <v>28</v>
      </c>
      <c r="AC6" s="351">
        <f>SUMIF($O$7:$O$402,"April",$N$7:$N$402)</f>
        <v>3188580</v>
      </c>
      <c r="AD6" s="343">
        <f>SUMIF($U$7:$U$402,"April",$T$7:$T$402)</f>
        <v>2496685</v>
      </c>
      <c r="AE6" s="864">
        <f>SUMIF($P$7:$P$428,"April",$N$7:$N$428)</f>
        <v>2936340</v>
      </c>
      <c r="AF6" s="995">
        <f t="shared" si="0"/>
        <v>439655</v>
      </c>
    </row>
    <row r="7" spans="1:32" ht="18">
      <c r="A7" s="1020">
        <v>1</v>
      </c>
      <c r="B7" s="1021">
        <v>45901</v>
      </c>
      <c r="C7" s="1113" t="s">
        <v>1700</v>
      </c>
      <c r="D7" s="1022" t="s">
        <v>1701</v>
      </c>
      <c r="E7" s="1022" t="s">
        <v>873</v>
      </c>
      <c r="F7" s="1114" t="s">
        <v>1702</v>
      </c>
      <c r="G7" s="1114">
        <v>7226982211</v>
      </c>
      <c r="H7" s="1115" t="s">
        <v>1703</v>
      </c>
      <c r="I7" s="1114" t="s">
        <v>1704</v>
      </c>
      <c r="J7" s="1022" t="s">
        <v>73</v>
      </c>
      <c r="K7" s="1022" t="s">
        <v>138</v>
      </c>
      <c r="L7" s="1116" t="s">
        <v>1705</v>
      </c>
      <c r="M7" s="1117">
        <v>45575</v>
      </c>
      <c r="N7" s="1023">
        <v>85560</v>
      </c>
      <c r="O7" s="1023" t="s">
        <v>7</v>
      </c>
      <c r="P7" s="1023" t="s">
        <v>7</v>
      </c>
      <c r="Q7" s="1024">
        <v>1</v>
      </c>
      <c r="R7" s="1118">
        <v>4900003319</v>
      </c>
      <c r="S7" s="1119">
        <v>45588</v>
      </c>
      <c r="T7" s="1023">
        <v>85560</v>
      </c>
      <c r="U7" s="1023" t="s">
        <v>7</v>
      </c>
      <c r="V7" s="1025">
        <f>Table62689345679[[#This Row],[Offer Value]]-Table62689345679[[#This Row],[PO Value]]</f>
        <v>0</v>
      </c>
      <c r="W7" s="1023"/>
      <c r="X7" s="1026"/>
      <c r="Y7" s="1027" t="s">
        <v>723</v>
      </c>
      <c r="Z7" s="1028"/>
      <c r="AA7" s="1029"/>
      <c r="AB7" s="347" t="s">
        <v>30</v>
      </c>
      <c r="AC7" s="351">
        <f>SUMIF($O$7:$O$402,"May",$N$7:$N$402)</f>
        <v>2088450</v>
      </c>
      <c r="AD7" s="343">
        <f>SUMIF($U$7:$U$402,"May",$T$7:$T$402)</f>
        <v>2314237</v>
      </c>
      <c r="AE7" s="864">
        <f>SUMIF($P$7:$P$428,"May",$N$7:$N$428)</f>
        <v>2524790</v>
      </c>
      <c r="AF7" s="995">
        <f t="shared" si="0"/>
        <v>210553</v>
      </c>
    </row>
    <row r="8" spans="1:32" ht="18">
      <c r="A8" s="1042">
        <v>2</v>
      </c>
      <c r="B8" s="1021">
        <v>45901</v>
      </c>
      <c r="C8" s="1120" t="s">
        <v>711</v>
      </c>
      <c r="D8" s="1022" t="s">
        <v>1701</v>
      </c>
      <c r="E8" s="1120" t="s">
        <v>1159</v>
      </c>
      <c r="F8" s="1120" t="s">
        <v>1706</v>
      </c>
      <c r="G8" s="1120">
        <v>9033953449</v>
      </c>
      <c r="H8" s="1121" t="s">
        <v>1707</v>
      </c>
      <c r="I8" s="1120" t="s">
        <v>1708</v>
      </c>
      <c r="J8" s="1122" t="s">
        <v>73</v>
      </c>
      <c r="K8" s="1122" t="s">
        <v>639</v>
      </c>
      <c r="L8" s="1123" t="s">
        <v>1709</v>
      </c>
      <c r="M8" s="1124">
        <v>45639</v>
      </c>
      <c r="N8" s="1042">
        <v>58000</v>
      </c>
      <c r="O8" s="1023" t="s">
        <v>7</v>
      </c>
      <c r="P8" s="1023" t="s">
        <v>7</v>
      </c>
      <c r="Q8" s="1024">
        <v>1</v>
      </c>
      <c r="R8" s="1039" t="s">
        <v>1710</v>
      </c>
      <c r="S8" s="1125">
        <v>45642</v>
      </c>
      <c r="T8" s="1042">
        <v>58000</v>
      </c>
      <c r="U8" s="1023" t="s">
        <v>7</v>
      </c>
      <c r="V8" s="1025">
        <f>Table62689345679[[#This Row],[Offer Value]]-Table62689345679[[#This Row],[PO Value]]</f>
        <v>0</v>
      </c>
      <c r="W8" s="1126" t="s">
        <v>1711</v>
      </c>
      <c r="X8" s="1042"/>
      <c r="Y8" s="1127" t="s">
        <v>1712</v>
      </c>
      <c r="Z8" s="1128"/>
      <c r="AA8" s="1129"/>
      <c r="AB8" s="347" t="s">
        <v>34</v>
      </c>
      <c r="AC8" s="351">
        <f>SUMIF($O$7:$O$402,"June",$N$7:$N$402)</f>
        <v>423600</v>
      </c>
      <c r="AD8" s="343">
        <f>SUMIF($U$7:$U$402,"June",$T$7:$T$402)</f>
        <v>1813295</v>
      </c>
      <c r="AE8" s="864">
        <f>SUMIF($P$7:$P$428,"June",$N$7:$N$428)</f>
        <v>2174860</v>
      </c>
      <c r="AF8" s="995">
        <f t="shared" si="0"/>
        <v>361565</v>
      </c>
    </row>
    <row r="9" spans="1:32" ht="18">
      <c r="A9" s="1042"/>
      <c r="B9" s="1125"/>
      <c r="C9" s="1114" t="s">
        <v>711</v>
      </c>
      <c r="D9" s="1022" t="s">
        <v>1701</v>
      </c>
      <c r="E9" s="1114" t="s">
        <v>1159</v>
      </c>
      <c r="F9" s="1114" t="s">
        <v>1706</v>
      </c>
      <c r="G9" s="1114">
        <v>9033953449</v>
      </c>
      <c r="H9" s="1121" t="s">
        <v>1707</v>
      </c>
      <c r="I9" s="1114" t="s">
        <v>1713</v>
      </c>
      <c r="J9" s="1130" t="s">
        <v>73</v>
      </c>
      <c r="K9" s="1130" t="s">
        <v>639</v>
      </c>
      <c r="L9" s="1116" t="s">
        <v>1709</v>
      </c>
      <c r="M9" s="1117">
        <v>45639</v>
      </c>
      <c r="N9" s="1131">
        <v>58000</v>
      </c>
      <c r="O9" s="1023" t="s">
        <v>7</v>
      </c>
      <c r="P9" s="1023" t="s">
        <v>7</v>
      </c>
      <c r="Q9" s="1024">
        <v>1</v>
      </c>
      <c r="R9" s="1039" t="s">
        <v>1710</v>
      </c>
      <c r="S9" s="1125">
        <v>45642</v>
      </c>
      <c r="T9" s="1042">
        <v>58000</v>
      </c>
      <c r="U9" s="1023" t="s">
        <v>7</v>
      </c>
      <c r="V9" s="1025">
        <f>Table62689345679[[#This Row],[Offer Value]]-Table62689345679[[#This Row],[PO Value]]</f>
        <v>0</v>
      </c>
      <c r="W9" s="1126" t="s">
        <v>1711</v>
      </c>
      <c r="X9" s="1042"/>
      <c r="Y9" s="1127" t="s">
        <v>1712</v>
      </c>
      <c r="Z9" s="1128"/>
      <c r="AA9" s="1129"/>
      <c r="AB9" s="347" t="s">
        <v>37</v>
      </c>
      <c r="AC9" s="351">
        <f>SUMIF($O$7:$O$402,"July",$N$7:$N$402)</f>
        <v>3804436</v>
      </c>
      <c r="AD9" s="343">
        <f>SUMIF($U$7:$U$402,"July",$T$7:$T$402)</f>
        <v>200800</v>
      </c>
      <c r="AE9" s="864">
        <f>SUMIF($P$7:$P$428,"July",$N$7:$N$428)</f>
        <v>129000</v>
      </c>
      <c r="AF9" s="995">
        <f t="shared" si="0"/>
        <v>-71800</v>
      </c>
    </row>
    <row r="10" spans="1:32" ht="18">
      <c r="A10" s="1042"/>
      <c r="B10" s="1125"/>
      <c r="C10" s="1120" t="s">
        <v>711</v>
      </c>
      <c r="D10" s="1022" t="s">
        <v>1701</v>
      </c>
      <c r="E10" s="1120" t="s">
        <v>1159</v>
      </c>
      <c r="F10" s="1120" t="s">
        <v>1706</v>
      </c>
      <c r="G10" s="1120">
        <v>9033953449</v>
      </c>
      <c r="H10" s="1121" t="s">
        <v>1707</v>
      </c>
      <c r="I10" s="1120" t="s">
        <v>1714</v>
      </c>
      <c r="J10" s="1122" t="s">
        <v>73</v>
      </c>
      <c r="K10" s="1122" t="s">
        <v>639</v>
      </c>
      <c r="L10" s="1123" t="s">
        <v>1709</v>
      </c>
      <c r="M10" s="1124">
        <v>45639</v>
      </c>
      <c r="N10" s="1042">
        <v>58000</v>
      </c>
      <c r="O10" s="1023" t="s">
        <v>7</v>
      </c>
      <c r="P10" s="1023" t="s">
        <v>7</v>
      </c>
      <c r="Q10" s="1024">
        <v>1</v>
      </c>
      <c r="R10" s="1039" t="s">
        <v>1710</v>
      </c>
      <c r="S10" s="1125">
        <v>45642</v>
      </c>
      <c r="T10" s="1042">
        <v>58000</v>
      </c>
      <c r="U10" s="1023" t="s">
        <v>7</v>
      </c>
      <c r="V10" s="1025">
        <f>Table62689345679[[#This Row],[Offer Value]]-Table62689345679[[#This Row],[PO Value]]</f>
        <v>0</v>
      </c>
      <c r="W10" s="1126" t="s">
        <v>1711</v>
      </c>
      <c r="X10" s="1042"/>
      <c r="Y10" s="1127" t="s">
        <v>1712</v>
      </c>
      <c r="Z10" s="1128"/>
      <c r="AA10" s="1129"/>
      <c r="AB10" s="347" t="s">
        <v>39</v>
      </c>
      <c r="AC10" s="351">
        <f>SUMIF($O$7:$O$402,"August",$N$7:$N$402)</f>
        <v>2520990</v>
      </c>
      <c r="AD10" s="343">
        <f>SUMIF($U$7:$U$402,"August",$T$7:$T$402)</f>
        <v>1965162</v>
      </c>
      <c r="AE10" s="864">
        <f>SUMIF($P$7:$P$428,"August",$N$7:$N$428)</f>
        <v>4429476</v>
      </c>
      <c r="AF10" s="995">
        <f t="shared" si="0"/>
        <v>2464314</v>
      </c>
    </row>
    <row r="11" spans="1:32" ht="18">
      <c r="A11" s="106">
        <v>3</v>
      </c>
      <c r="B11" s="481">
        <v>45901</v>
      </c>
      <c r="C11" s="108" t="s">
        <v>1715</v>
      </c>
      <c r="D11" s="482" t="s">
        <v>1701</v>
      </c>
      <c r="E11" s="108" t="s">
        <v>1716</v>
      </c>
      <c r="F11" s="108" t="s">
        <v>1717</v>
      </c>
      <c r="G11" s="113">
        <v>9377283473</v>
      </c>
      <c r="H11" s="800" t="s">
        <v>1718</v>
      </c>
      <c r="I11" s="113" t="s">
        <v>1719</v>
      </c>
      <c r="J11" s="115" t="s">
        <v>73</v>
      </c>
      <c r="K11" s="115" t="s">
        <v>138</v>
      </c>
      <c r="L11" s="366" t="s">
        <v>1720</v>
      </c>
      <c r="M11" s="116">
        <v>45575</v>
      </c>
      <c r="N11" s="106">
        <v>85500</v>
      </c>
      <c r="O11" s="483" t="s">
        <v>7</v>
      </c>
      <c r="P11" s="483"/>
      <c r="Q11" s="109">
        <v>0.5</v>
      </c>
      <c r="R11" s="521"/>
      <c r="S11" s="111"/>
      <c r="T11" s="106"/>
      <c r="U11" s="106"/>
      <c r="V11" s="284">
        <f>Table62689345679[[#This Row],[Offer Value]]-Table62689345679[[#This Row],[PO Value]]</f>
        <v>85500</v>
      </c>
      <c r="W11" s="110"/>
      <c r="X11" s="106"/>
      <c r="Y11" s="604"/>
      <c r="Z11" s="257"/>
      <c r="AA11" s="593"/>
      <c r="AB11" s="347" t="s">
        <v>44</v>
      </c>
      <c r="AC11" s="351">
        <f>SUMIF($O$7:$O$402,"September",$N$7:$N$402)</f>
        <v>1714900</v>
      </c>
      <c r="AD11" s="343">
        <f>SUMIF($U$7:$U$402,"September",$T$7:$T$402)</f>
        <v>1369223</v>
      </c>
      <c r="AE11" s="864">
        <f>SUMIF($P$7:$P$428,"September",$N$7:$N$428)</f>
        <v>2696450</v>
      </c>
      <c r="AF11" s="995">
        <f t="shared" si="0"/>
        <v>1327227</v>
      </c>
    </row>
    <row r="12" spans="1:32" ht="18">
      <c r="A12" s="1042">
        <v>4</v>
      </c>
      <c r="B12" s="1021">
        <v>45901</v>
      </c>
      <c r="C12" s="1120" t="s">
        <v>1721</v>
      </c>
      <c r="D12" s="1120" t="s">
        <v>1722</v>
      </c>
      <c r="E12" s="1114" t="s">
        <v>1723</v>
      </c>
      <c r="F12" s="1114" t="s">
        <v>1724</v>
      </c>
      <c r="G12" s="1114">
        <v>9426806524</v>
      </c>
      <c r="H12" s="1115" t="s">
        <v>1725</v>
      </c>
      <c r="I12" s="1114" t="s">
        <v>1726</v>
      </c>
      <c r="J12" s="1130" t="s">
        <v>73</v>
      </c>
      <c r="K12" s="1130" t="s">
        <v>138</v>
      </c>
      <c r="L12" s="1116" t="s">
        <v>1727</v>
      </c>
      <c r="M12" s="1117">
        <v>45575</v>
      </c>
      <c r="N12" s="1131">
        <v>86000</v>
      </c>
      <c r="O12" s="1023" t="s">
        <v>7</v>
      </c>
      <c r="P12" s="1023" t="s">
        <v>7</v>
      </c>
      <c r="Q12" s="1054">
        <v>1</v>
      </c>
      <c r="R12" s="1118" t="s">
        <v>1728</v>
      </c>
      <c r="S12" s="1119">
        <v>45362</v>
      </c>
      <c r="T12" s="1131">
        <v>86000</v>
      </c>
      <c r="U12" s="1042" t="s">
        <v>7</v>
      </c>
      <c r="V12" s="1025">
        <f>Table62689345679[[#This Row],[Offer Value]]-Table62689345679[[#This Row],[PO Value]]</f>
        <v>0</v>
      </c>
      <c r="W12" s="1042"/>
      <c r="X12" s="1042"/>
      <c r="Y12" s="1127"/>
      <c r="Z12" s="1128"/>
      <c r="AA12" s="1129"/>
      <c r="AB12" s="347" t="s">
        <v>47</v>
      </c>
      <c r="AC12" s="351">
        <f>SUMIF($O$7:$O$402,"October",$N$7:$N$402)</f>
        <v>3875820</v>
      </c>
      <c r="AD12" s="343">
        <f>SUMIF($U$7:$U$402,"October",$T$7:$T$402)</f>
        <v>3303797</v>
      </c>
      <c r="AE12" s="864">
        <f>SUMIF($P$7:$P$428,"October",$N$7:$N$428)</f>
        <v>2755540</v>
      </c>
      <c r="AF12" s="995">
        <f t="shared" si="0"/>
        <v>-548257</v>
      </c>
    </row>
    <row r="13" spans="1:32" ht="18">
      <c r="A13" s="1042">
        <v>5</v>
      </c>
      <c r="B13" s="1021">
        <v>45901</v>
      </c>
      <c r="C13" s="1120" t="s">
        <v>1729</v>
      </c>
      <c r="D13" s="1120" t="s">
        <v>1722</v>
      </c>
      <c r="E13" s="1120" t="s">
        <v>1730</v>
      </c>
      <c r="F13" s="1120" t="s">
        <v>1731</v>
      </c>
      <c r="G13" s="1120">
        <v>9924214600</v>
      </c>
      <c r="H13" s="1132" t="s">
        <v>1732</v>
      </c>
      <c r="I13" s="1120" t="s">
        <v>1733</v>
      </c>
      <c r="J13" s="1122" t="s">
        <v>73</v>
      </c>
      <c r="K13" s="1122" t="s">
        <v>138</v>
      </c>
      <c r="L13" s="1123" t="s">
        <v>1734</v>
      </c>
      <c r="M13" s="1133">
        <v>45534</v>
      </c>
      <c r="N13" s="1042">
        <v>86000</v>
      </c>
      <c r="O13" s="1023" t="s">
        <v>7</v>
      </c>
      <c r="P13" s="1023" t="s">
        <v>7</v>
      </c>
      <c r="Q13" s="1054">
        <v>1</v>
      </c>
      <c r="R13" s="1053" t="s">
        <v>1735</v>
      </c>
      <c r="S13" s="1125">
        <v>45362</v>
      </c>
      <c r="T13" s="1131">
        <v>86000</v>
      </c>
      <c r="U13" s="1042" t="s">
        <v>7</v>
      </c>
      <c r="V13" s="1025">
        <f>Table62689345679[[#This Row],[Offer Value]]-Table62689345679[[#This Row],[PO Value]]</f>
        <v>0</v>
      </c>
      <c r="W13" s="1042"/>
      <c r="X13" s="1042"/>
      <c r="Y13" s="1134">
        <v>45810</v>
      </c>
      <c r="Z13" s="1128"/>
      <c r="AA13" s="1129"/>
      <c r="AB13" s="347" t="s">
        <v>49</v>
      </c>
      <c r="AC13" s="351">
        <f>SUMIF($O$7:$O$402,"November",$N$7:$N$402)</f>
        <v>1175400</v>
      </c>
      <c r="AD13" s="343">
        <f>SUMIF($U$7:$U$402,"November",$T$7:$T$402)</f>
        <v>507710</v>
      </c>
      <c r="AE13" s="864">
        <f>SUMIF($P$7:$P$428,"November",$N$7:$N$428)</f>
        <v>1000130</v>
      </c>
      <c r="AF13" s="995">
        <f t="shared" si="0"/>
        <v>492420</v>
      </c>
    </row>
    <row r="14" spans="1:32" ht="18.600000000000001" thickBot="1">
      <c r="A14" s="1042">
        <v>6</v>
      </c>
      <c r="B14" s="1125">
        <v>45901</v>
      </c>
      <c r="C14" s="1120" t="s">
        <v>1736</v>
      </c>
      <c r="D14" s="1120" t="s">
        <v>1737</v>
      </c>
      <c r="E14" s="1135" t="s">
        <v>873</v>
      </c>
      <c r="F14" s="1135" t="s">
        <v>1738</v>
      </c>
      <c r="G14" s="1135">
        <v>8072231531</v>
      </c>
      <c r="H14" s="1136" t="s">
        <v>1739</v>
      </c>
      <c r="I14" s="1135" t="s">
        <v>1740</v>
      </c>
      <c r="J14" s="1130" t="s">
        <v>73</v>
      </c>
      <c r="K14" s="1130" t="s">
        <v>639</v>
      </c>
      <c r="L14" s="1116" t="s">
        <v>1741</v>
      </c>
      <c r="M14" s="1117">
        <v>45639</v>
      </c>
      <c r="N14" s="1042">
        <v>86000</v>
      </c>
      <c r="O14" s="1023" t="s">
        <v>7</v>
      </c>
      <c r="P14" s="1023" t="s">
        <v>7</v>
      </c>
      <c r="Q14" s="1054">
        <v>1</v>
      </c>
      <c r="R14" s="1137">
        <v>6800045052</v>
      </c>
      <c r="S14" s="1138">
        <v>45839</v>
      </c>
      <c r="T14" s="1042">
        <v>86000</v>
      </c>
      <c r="U14" s="1042" t="s">
        <v>7</v>
      </c>
      <c r="V14" s="1025">
        <f>Table62689345679[[#This Row],[Offer Value]]-Table62689345679[[#This Row],[PO Value]]</f>
        <v>0</v>
      </c>
      <c r="W14" s="1042"/>
      <c r="X14" s="1042"/>
      <c r="Y14" s="1127" t="s">
        <v>1742</v>
      </c>
      <c r="Z14" s="1128"/>
      <c r="AA14" s="1129"/>
      <c r="AB14" s="348" t="s">
        <v>62</v>
      </c>
      <c r="AC14" s="352">
        <f>SUMIF($O$7:$O$402,"December",$N$7:$N$402)</f>
        <v>1442500</v>
      </c>
      <c r="AD14" s="344">
        <f>SUMIF($U$7:$U$402,"December",$T$7:$T$402)</f>
        <v>820814</v>
      </c>
      <c r="AE14" s="864">
        <f>SUMIF($P$7:$P$428,"December",$N$7:$N$428)</f>
        <v>3204850</v>
      </c>
      <c r="AF14" s="995">
        <f t="shared" si="0"/>
        <v>2384036</v>
      </c>
    </row>
    <row r="15" spans="1:32" ht="28.8">
      <c r="A15" s="1042">
        <v>7</v>
      </c>
      <c r="B15" s="1125">
        <v>45901</v>
      </c>
      <c r="C15" s="1120" t="s">
        <v>1743</v>
      </c>
      <c r="D15" s="1120" t="s">
        <v>1737</v>
      </c>
      <c r="E15" s="1120" t="s">
        <v>1744</v>
      </c>
      <c r="F15" s="1135" t="s">
        <v>1745</v>
      </c>
      <c r="G15" s="1135">
        <v>9974002322</v>
      </c>
      <c r="H15" s="1136" t="s">
        <v>1746</v>
      </c>
      <c r="I15" s="1120" t="s">
        <v>1747</v>
      </c>
      <c r="J15" s="1122" t="s">
        <v>73</v>
      </c>
      <c r="K15" s="1122" t="s">
        <v>138</v>
      </c>
      <c r="L15" s="1123" t="s">
        <v>1748</v>
      </c>
      <c r="M15" s="1124">
        <v>45534</v>
      </c>
      <c r="N15" s="1042">
        <v>85000</v>
      </c>
      <c r="O15" s="1023" t="s">
        <v>7</v>
      </c>
      <c r="P15" s="1023" t="s">
        <v>7</v>
      </c>
      <c r="Q15" s="1054">
        <v>1</v>
      </c>
      <c r="R15" s="1053">
        <v>2710000006</v>
      </c>
      <c r="S15" s="1125">
        <v>45574</v>
      </c>
      <c r="T15" s="1042">
        <v>85000</v>
      </c>
      <c r="U15" s="1042" t="s">
        <v>7</v>
      </c>
      <c r="V15" s="1025">
        <f>Table62689345679[[#This Row],[Offer Value]]-Table62689345679[[#This Row],[PO Value]]</f>
        <v>0</v>
      </c>
      <c r="W15" s="1042"/>
      <c r="X15" s="1042"/>
      <c r="Y15" s="1127"/>
      <c r="Z15" s="1128"/>
      <c r="AA15" s="1129"/>
    </row>
    <row r="16" spans="1:32" ht="28.8">
      <c r="A16" s="1042"/>
      <c r="B16" s="1125"/>
      <c r="C16" s="1114" t="s">
        <v>1743</v>
      </c>
      <c r="D16" s="1114" t="s">
        <v>1737</v>
      </c>
      <c r="E16" s="1114" t="s">
        <v>1744</v>
      </c>
      <c r="F16" s="1135" t="s">
        <v>1745</v>
      </c>
      <c r="G16" s="1135">
        <v>9974002322</v>
      </c>
      <c r="H16" s="1136" t="s">
        <v>1746</v>
      </c>
      <c r="I16" s="1114" t="s">
        <v>1749</v>
      </c>
      <c r="J16" s="1130" t="s">
        <v>73</v>
      </c>
      <c r="K16" s="1130" t="s">
        <v>138</v>
      </c>
      <c r="L16" s="1116" t="s">
        <v>1748</v>
      </c>
      <c r="M16" s="1117">
        <v>45534</v>
      </c>
      <c r="N16" s="1042">
        <v>85000</v>
      </c>
      <c r="O16" s="1023" t="s">
        <v>7</v>
      </c>
      <c r="P16" s="1023" t="s">
        <v>7</v>
      </c>
      <c r="Q16" s="1054">
        <v>1</v>
      </c>
      <c r="R16" s="1118">
        <v>2710000006</v>
      </c>
      <c r="S16" s="1119">
        <v>45574</v>
      </c>
      <c r="T16" s="1131">
        <v>85000</v>
      </c>
      <c r="U16" s="1042" t="s">
        <v>7</v>
      </c>
      <c r="V16" s="1025">
        <f>Table62689345679[[#This Row],[Offer Value]]-Table62689345679[[#This Row],[PO Value]]</f>
        <v>0</v>
      </c>
      <c r="W16" s="1042"/>
      <c r="X16" s="1042"/>
      <c r="Y16" s="1134"/>
      <c r="Z16" s="1128"/>
      <c r="AA16" s="1129"/>
    </row>
    <row r="17" spans="1:27" ht="15.6">
      <c r="A17" s="1042">
        <v>8</v>
      </c>
      <c r="B17" s="1125">
        <v>45689</v>
      </c>
      <c r="C17" s="1041" t="s">
        <v>1750</v>
      </c>
      <c r="D17" s="1041" t="s">
        <v>1751</v>
      </c>
      <c r="E17" s="1041" t="s">
        <v>1716</v>
      </c>
      <c r="F17" s="1041" t="s">
        <v>1752</v>
      </c>
      <c r="G17" s="1120">
        <v>9824637297</v>
      </c>
      <c r="H17" s="1139" t="s">
        <v>1753</v>
      </c>
      <c r="I17" s="1120" t="s">
        <v>1754</v>
      </c>
      <c r="J17" s="1041" t="s">
        <v>77</v>
      </c>
      <c r="K17" s="1041" t="s">
        <v>138</v>
      </c>
      <c r="L17" s="1041" t="s">
        <v>1755</v>
      </c>
      <c r="M17" s="1133">
        <v>45689</v>
      </c>
      <c r="N17" s="1042">
        <v>350000</v>
      </c>
      <c r="O17" s="1023" t="s">
        <v>7</v>
      </c>
      <c r="P17" s="1023" t="s">
        <v>18</v>
      </c>
      <c r="Q17" s="1054">
        <v>1</v>
      </c>
      <c r="R17" s="1137" t="s">
        <v>1756</v>
      </c>
      <c r="S17" s="1138" t="s">
        <v>1757</v>
      </c>
      <c r="T17" s="1042">
        <v>322000</v>
      </c>
      <c r="U17" s="1042" t="s">
        <v>18</v>
      </c>
      <c r="V17" s="1025">
        <v>0</v>
      </c>
      <c r="W17" s="1042"/>
      <c r="X17" s="1042"/>
      <c r="Y17" s="1134"/>
      <c r="Z17" s="1128"/>
      <c r="AA17" s="1129"/>
    </row>
    <row r="18" spans="1:27" ht="31.2">
      <c r="A18" s="1042">
        <v>9</v>
      </c>
      <c r="B18" s="1125">
        <v>45901</v>
      </c>
      <c r="C18" s="1120" t="s">
        <v>1758</v>
      </c>
      <c r="D18" s="1120" t="s">
        <v>1751</v>
      </c>
      <c r="E18" s="1140" t="s">
        <v>873</v>
      </c>
      <c r="F18" s="1041" t="s">
        <v>1759</v>
      </c>
      <c r="G18" s="1041">
        <v>9723071561</v>
      </c>
      <c r="H18" s="1139" t="s">
        <v>1760</v>
      </c>
      <c r="I18" s="1120" t="s">
        <v>1501</v>
      </c>
      <c r="J18" s="1122" t="s">
        <v>75</v>
      </c>
      <c r="K18" s="1122" t="s">
        <v>639</v>
      </c>
      <c r="L18" s="1123" t="s">
        <v>1761</v>
      </c>
      <c r="M18" s="1124">
        <v>45639</v>
      </c>
      <c r="N18" s="1042">
        <v>45200</v>
      </c>
      <c r="O18" s="1023" t="s">
        <v>7</v>
      </c>
      <c r="P18" s="1023" t="s">
        <v>7</v>
      </c>
      <c r="Q18" s="1054">
        <v>1</v>
      </c>
      <c r="R18" s="1137" t="s">
        <v>1762</v>
      </c>
      <c r="S18" s="1138">
        <v>45652</v>
      </c>
      <c r="T18" s="1042">
        <v>43392</v>
      </c>
      <c r="U18" s="1042" t="s">
        <v>7</v>
      </c>
      <c r="V18" s="1025">
        <v>0</v>
      </c>
      <c r="W18" s="1126"/>
      <c r="X18" s="1042"/>
      <c r="Y18" s="1127" t="s">
        <v>1763</v>
      </c>
      <c r="Z18" s="1128"/>
      <c r="AA18" s="1141"/>
    </row>
    <row r="19" spans="1:27" ht="15.6">
      <c r="A19" s="1042">
        <v>10</v>
      </c>
      <c r="B19" s="1125">
        <v>45870</v>
      </c>
      <c r="C19" s="1120" t="s">
        <v>1758</v>
      </c>
      <c r="D19" s="1120" t="s">
        <v>1751</v>
      </c>
      <c r="E19" s="1041" t="s">
        <v>1730</v>
      </c>
      <c r="F19" s="1041" t="s">
        <v>1764</v>
      </c>
      <c r="G19" s="1041">
        <v>8160147583</v>
      </c>
      <c r="H19" s="1139" t="s">
        <v>1765</v>
      </c>
      <c r="I19" s="1120" t="s">
        <v>1501</v>
      </c>
      <c r="J19" s="1122" t="s">
        <v>75</v>
      </c>
      <c r="K19" s="1041" t="s">
        <v>157</v>
      </c>
      <c r="L19" s="1041" t="s">
        <v>1766</v>
      </c>
      <c r="M19" s="1133">
        <v>45870</v>
      </c>
      <c r="N19" s="1042">
        <v>83000</v>
      </c>
      <c r="O19" s="1023" t="s">
        <v>7</v>
      </c>
      <c r="P19" s="1023" t="s">
        <v>7</v>
      </c>
      <c r="Q19" s="1054">
        <v>1</v>
      </c>
      <c r="R19" s="1137" t="s">
        <v>1767</v>
      </c>
      <c r="S19" s="1133">
        <v>45870</v>
      </c>
      <c r="T19" s="1042">
        <v>83000</v>
      </c>
      <c r="U19" s="1042" t="s">
        <v>7</v>
      </c>
      <c r="V19" s="1025">
        <f>Table62689345679[[#This Row],[Offer Value]]-Table62689345679[[#This Row],[PO Value]]</f>
        <v>0</v>
      </c>
      <c r="W19" s="1126"/>
      <c r="X19" s="1042"/>
      <c r="Y19" s="1134" t="s">
        <v>1768</v>
      </c>
      <c r="Z19" s="1128"/>
      <c r="AA19" s="1141"/>
    </row>
    <row r="20" spans="1:27" ht="18">
      <c r="A20" s="1042">
        <v>11</v>
      </c>
      <c r="B20" s="1125">
        <v>45901</v>
      </c>
      <c r="C20" s="1120" t="s">
        <v>1769</v>
      </c>
      <c r="D20" s="1120" t="s">
        <v>1751</v>
      </c>
      <c r="E20" s="1120" t="s">
        <v>1744</v>
      </c>
      <c r="F20" s="1120" t="s">
        <v>1770</v>
      </c>
      <c r="G20" s="1120" t="s">
        <v>1771</v>
      </c>
      <c r="H20" s="1142" t="s">
        <v>1772</v>
      </c>
      <c r="I20" s="1120" t="s">
        <v>1773</v>
      </c>
      <c r="J20" s="1122" t="s">
        <v>75</v>
      </c>
      <c r="K20" s="1122" t="s">
        <v>157</v>
      </c>
      <c r="L20" s="1123" t="s">
        <v>1774</v>
      </c>
      <c r="M20" s="1124">
        <v>45588</v>
      </c>
      <c r="N20" s="1042">
        <v>927200</v>
      </c>
      <c r="O20" s="1023" t="s">
        <v>7</v>
      </c>
      <c r="P20" s="1023" t="s">
        <v>7</v>
      </c>
      <c r="Q20" s="1054">
        <v>1</v>
      </c>
      <c r="R20" s="1039" t="s">
        <v>1775</v>
      </c>
      <c r="S20" s="1125">
        <v>45611</v>
      </c>
      <c r="T20" s="1042">
        <v>853024</v>
      </c>
      <c r="U20" s="1042" t="s">
        <v>7</v>
      </c>
      <c r="V20" s="1025">
        <v>0</v>
      </c>
      <c r="W20" s="1126"/>
      <c r="X20" s="1042"/>
      <c r="Y20" s="1134" t="s">
        <v>1768</v>
      </c>
      <c r="Z20" s="1128" t="s">
        <v>208</v>
      </c>
      <c r="AA20" s="1141" t="s">
        <v>208</v>
      </c>
    </row>
    <row r="21" spans="1:27" ht="18">
      <c r="A21" s="1042">
        <v>12</v>
      </c>
      <c r="B21" s="1125">
        <v>45901</v>
      </c>
      <c r="C21" s="1041" t="s">
        <v>1776</v>
      </c>
      <c r="D21" s="1041" t="s">
        <v>1777</v>
      </c>
      <c r="E21" s="1041" t="s">
        <v>873</v>
      </c>
      <c r="F21" s="1041" t="s">
        <v>1778</v>
      </c>
      <c r="G21" s="1041">
        <v>9898646272</v>
      </c>
      <c r="H21" s="1139" t="s">
        <v>1779</v>
      </c>
      <c r="I21" s="1041" t="s">
        <v>1780</v>
      </c>
      <c r="J21" s="1122" t="s">
        <v>73</v>
      </c>
      <c r="K21" s="1122" t="s">
        <v>639</v>
      </c>
      <c r="L21" s="1123" t="s">
        <v>1781</v>
      </c>
      <c r="M21" s="1124">
        <v>45639</v>
      </c>
      <c r="N21" s="1042">
        <v>52500</v>
      </c>
      <c r="O21" s="1023" t="s">
        <v>7</v>
      </c>
      <c r="P21" s="1023" t="s">
        <v>7</v>
      </c>
      <c r="Q21" s="1054">
        <v>1</v>
      </c>
      <c r="R21" s="1039" t="s">
        <v>1782</v>
      </c>
      <c r="S21" s="1125">
        <v>45640</v>
      </c>
      <c r="T21" s="1042">
        <v>52500</v>
      </c>
      <c r="U21" s="1042" t="s">
        <v>7</v>
      </c>
      <c r="V21" s="1025">
        <f>Table62689345679[[#This Row],[Offer Value]]-Table62689345679[[#This Row],[PO Value]]</f>
        <v>0</v>
      </c>
      <c r="W21" s="1126" t="s">
        <v>1711</v>
      </c>
      <c r="X21" s="1042"/>
      <c r="Y21" s="1127" t="s">
        <v>1278</v>
      </c>
      <c r="Z21" s="1128"/>
      <c r="AA21" s="1141"/>
    </row>
    <row r="22" spans="1:27" ht="18">
      <c r="A22" s="1042"/>
      <c r="B22" s="1125"/>
      <c r="C22" s="1135" t="s">
        <v>1776</v>
      </c>
      <c r="D22" s="1135" t="s">
        <v>1777</v>
      </c>
      <c r="E22" s="1135" t="s">
        <v>873</v>
      </c>
      <c r="F22" s="1135" t="s">
        <v>1778</v>
      </c>
      <c r="G22" s="1135">
        <v>9898646272</v>
      </c>
      <c r="H22" s="1136" t="s">
        <v>1779</v>
      </c>
      <c r="I22" s="1135" t="s">
        <v>1783</v>
      </c>
      <c r="J22" s="1130" t="s">
        <v>73</v>
      </c>
      <c r="K22" s="1130" t="s">
        <v>639</v>
      </c>
      <c r="L22" s="1116" t="s">
        <v>1781</v>
      </c>
      <c r="M22" s="1117">
        <v>45639</v>
      </c>
      <c r="N22" s="1131">
        <v>52500</v>
      </c>
      <c r="O22" s="1023" t="s">
        <v>7</v>
      </c>
      <c r="P22" s="1023" t="s">
        <v>7</v>
      </c>
      <c r="Q22" s="1054">
        <v>1</v>
      </c>
      <c r="R22" s="1039" t="s">
        <v>1782</v>
      </c>
      <c r="S22" s="1125">
        <v>45640</v>
      </c>
      <c r="T22" s="1042">
        <v>52500</v>
      </c>
      <c r="U22" s="1042" t="s">
        <v>7</v>
      </c>
      <c r="V22" s="1025">
        <f>Table62689345679[[#This Row],[Offer Value]]-Table62689345679[[#This Row],[PO Value]]</f>
        <v>0</v>
      </c>
      <c r="W22" s="1126" t="s">
        <v>1711</v>
      </c>
      <c r="X22" s="1042"/>
      <c r="Y22" s="1127" t="s">
        <v>1278</v>
      </c>
      <c r="Z22" s="1128"/>
      <c r="AA22" s="1141"/>
    </row>
    <row r="23" spans="1:27" ht="18">
      <c r="A23" s="1042"/>
      <c r="B23" s="1125"/>
      <c r="C23" s="1041" t="s">
        <v>1776</v>
      </c>
      <c r="D23" s="1041" t="s">
        <v>1777</v>
      </c>
      <c r="E23" s="1041" t="s">
        <v>873</v>
      </c>
      <c r="F23" s="1041" t="s">
        <v>1778</v>
      </c>
      <c r="G23" s="1041">
        <v>9898646272</v>
      </c>
      <c r="H23" s="1139" t="s">
        <v>1779</v>
      </c>
      <c r="I23" s="1120" t="s">
        <v>1784</v>
      </c>
      <c r="J23" s="1122" t="s">
        <v>73</v>
      </c>
      <c r="K23" s="1122" t="s">
        <v>639</v>
      </c>
      <c r="L23" s="1123" t="s">
        <v>1781</v>
      </c>
      <c r="M23" s="1124">
        <v>45639</v>
      </c>
      <c r="N23" s="1042">
        <v>52500</v>
      </c>
      <c r="O23" s="1023" t="s">
        <v>7</v>
      </c>
      <c r="P23" s="1023" t="s">
        <v>7</v>
      </c>
      <c r="Q23" s="1054">
        <v>1</v>
      </c>
      <c r="R23" s="1039" t="s">
        <v>1782</v>
      </c>
      <c r="S23" s="1125">
        <v>45640</v>
      </c>
      <c r="T23" s="1042">
        <v>52500</v>
      </c>
      <c r="U23" s="1042" t="s">
        <v>7</v>
      </c>
      <c r="V23" s="1025">
        <f>Table62689345679[[#This Row],[Offer Value]]-Table62689345679[[#This Row],[PO Value]]</f>
        <v>0</v>
      </c>
      <c r="W23" s="1126" t="s">
        <v>1711</v>
      </c>
      <c r="X23" s="1042"/>
      <c r="Y23" s="1127" t="s">
        <v>1278</v>
      </c>
      <c r="Z23" s="1128"/>
      <c r="AA23" s="1129"/>
    </row>
    <row r="24" spans="1:27" ht="18">
      <c r="A24" s="1042"/>
      <c r="B24" s="1125"/>
      <c r="C24" s="1135" t="s">
        <v>1776</v>
      </c>
      <c r="D24" s="1135" t="s">
        <v>1777</v>
      </c>
      <c r="E24" s="1135" t="s">
        <v>873</v>
      </c>
      <c r="F24" s="1135" t="s">
        <v>1778</v>
      </c>
      <c r="G24" s="1135">
        <v>9898646272</v>
      </c>
      <c r="H24" s="1136" t="s">
        <v>1779</v>
      </c>
      <c r="I24" s="1114" t="s">
        <v>1785</v>
      </c>
      <c r="J24" s="1130" t="s">
        <v>73</v>
      </c>
      <c r="K24" s="1130" t="s">
        <v>639</v>
      </c>
      <c r="L24" s="1116" t="s">
        <v>1781</v>
      </c>
      <c r="M24" s="1117">
        <v>45639</v>
      </c>
      <c r="N24" s="1131">
        <v>52500</v>
      </c>
      <c r="O24" s="1023" t="s">
        <v>7</v>
      </c>
      <c r="P24" s="1023" t="s">
        <v>7</v>
      </c>
      <c r="Q24" s="1054">
        <v>1</v>
      </c>
      <c r="R24" s="1039" t="s">
        <v>1782</v>
      </c>
      <c r="S24" s="1125">
        <v>45640</v>
      </c>
      <c r="T24" s="1042">
        <v>52500</v>
      </c>
      <c r="U24" s="1042" t="s">
        <v>7</v>
      </c>
      <c r="V24" s="1025">
        <f>Table62689345679[[#This Row],[Offer Value]]-Table62689345679[[#This Row],[PO Value]]</f>
        <v>0</v>
      </c>
      <c r="W24" s="1126" t="s">
        <v>1711</v>
      </c>
      <c r="X24" s="1042"/>
      <c r="Y24" s="1127" t="s">
        <v>1278</v>
      </c>
      <c r="Z24" s="1128"/>
      <c r="AA24" s="1129"/>
    </row>
    <row r="25" spans="1:27" ht="18">
      <c r="A25" s="1042"/>
      <c r="B25" s="1125"/>
      <c r="C25" s="1041" t="s">
        <v>1776</v>
      </c>
      <c r="D25" s="1041" t="s">
        <v>1777</v>
      </c>
      <c r="E25" s="1041" t="s">
        <v>873</v>
      </c>
      <c r="F25" s="1041" t="s">
        <v>1778</v>
      </c>
      <c r="G25" s="1041">
        <v>9898646272</v>
      </c>
      <c r="H25" s="1139" t="s">
        <v>1779</v>
      </c>
      <c r="I25" s="1120" t="s">
        <v>1786</v>
      </c>
      <c r="J25" s="1122" t="s">
        <v>73</v>
      </c>
      <c r="K25" s="1122" t="s">
        <v>639</v>
      </c>
      <c r="L25" s="1123" t="s">
        <v>1781</v>
      </c>
      <c r="M25" s="1124">
        <v>45639</v>
      </c>
      <c r="N25" s="1042">
        <v>52500</v>
      </c>
      <c r="O25" s="1023" t="s">
        <v>7</v>
      </c>
      <c r="P25" s="1023" t="s">
        <v>7</v>
      </c>
      <c r="Q25" s="1054">
        <v>1</v>
      </c>
      <c r="R25" s="1039" t="s">
        <v>1782</v>
      </c>
      <c r="S25" s="1125">
        <v>45640</v>
      </c>
      <c r="T25" s="1042">
        <v>52500</v>
      </c>
      <c r="U25" s="1042" t="s">
        <v>7</v>
      </c>
      <c r="V25" s="1025">
        <f>Table62689345679[[#This Row],[Offer Value]]-Table62689345679[[#This Row],[PO Value]]</f>
        <v>0</v>
      </c>
      <c r="W25" s="1126" t="s">
        <v>1711</v>
      </c>
      <c r="X25" s="1042"/>
      <c r="Y25" s="1127" t="s">
        <v>1278</v>
      </c>
      <c r="Z25" s="1128"/>
      <c r="AA25" s="1141"/>
    </row>
    <row r="26" spans="1:27" ht="18">
      <c r="A26" s="1042">
        <v>13</v>
      </c>
      <c r="B26" s="1125">
        <v>45901</v>
      </c>
      <c r="C26" s="1120" t="s">
        <v>1787</v>
      </c>
      <c r="D26" s="1120" t="s">
        <v>1777</v>
      </c>
      <c r="E26" s="1135" t="s">
        <v>873</v>
      </c>
      <c r="F26" s="1114" t="s">
        <v>1788</v>
      </c>
      <c r="G26" s="1114">
        <v>9722013361</v>
      </c>
      <c r="H26" s="1115" t="s">
        <v>1789</v>
      </c>
      <c r="I26" s="1120" t="s">
        <v>1790</v>
      </c>
      <c r="J26" s="1122" t="s">
        <v>73</v>
      </c>
      <c r="K26" s="1122" t="s">
        <v>138</v>
      </c>
      <c r="L26" s="1123" t="s">
        <v>1791</v>
      </c>
      <c r="M26" s="1124">
        <v>45681</v>
      </c>
      <c r="N26" s="1042">
        <v>53000</v>
      </c>
      <c r="O26" s="1023" t="s">
        <v>7</v>
      </c>
      <c r="P26" s="1023" t="s">
        <v>7</v>
      </c>
      <c r="Q26" s="1054">
        <v>1</v>
      </c>
      <c r="R26" s="1137" t="s">
        <v>1792</v>
      </c>
      <c r="S26" s="1138">
        <v>45686</v>
      </c>
      <c r="T26" s="1042">
        <v>53000</v>
      </c>
      <c r="U26" s="1042" t="s">
        <v>7</v>
      </c>
      <c r="V26" s="1025">
        <f>Table62689345679[[#This Row],[Offer Value]]-Table62689345679[[#This Row],[PO Value]]</f>
        <v>0</v>
      </c>
      <c r="W26" s="1042"/>
      <c r="X26" s="1042"/>
      <c r="Y26" s="1134"/>
      <c r="Z26" s="1128"/>
      <c r="AA26" s="1129"/>
    </row>
    <row r="27" spans="1:27" ht="18">
      <c r="A27" s="1042"/>
      <c r="B27" s="1125"/>
      <c r="C27" s="1114" t="s">
        <v>1787</v>
      </c>
      <c r="D27" s="1114" t="s">
        <v>1777</v>
      </c>
      <c r="E27" s="1135" t="s">
        <v>873</v>
      </c>
      <c r="F27" s="1114" t="s">
        <v>1788</v>
      </c>
      <c r="G27" s="1114">
        <v>9722013361</v>
      </c>
      <c r="H27" s="1115" t="s">
        <v>1789</v>
      </c>
      <c r="I27" s="1114" t="s">
        <v>1793</v>
      </c>
      <c r="J27" s="1130" t="s">
        <v>73</v>
      </c>
      <c r="K27" s="1130" t="s">
        <v>138</v>
      </c>
      <c r="L27" s="1123" t="s">
        <v>1791</v>
      </c>
      <c r="M27" s="1124">
        <v>45681</v>
      </c>
      <c r="N27" s="1042">
        <v>53000</v>
      </c>
      <c r="O27" s="1023" t="s">
        <v>7</v>
      </c>
      <c r="P27" s="1023" t="s">
        <v>7</v>
      </c>
      <c r="Q27" s="1054">
        <v>1</v>
      </c>
      <c r="R27" s="1137" t="s">
        <v>1792</v>
      </c>
      <c r="S27" s="1138">
        <v>45686</v>
      </c>
      <c r="T27" s="1042">
        <v>53000</v>
      </c>
      <c r="U27" s="1042" t="s">
        <v>7</v>
      </c>
      <c r="V27" s="1025">
        <f>Table62689345679[[#This Row],[Offer Value]]-Table62689345679[[#This Row],[PO Value]]</f>
        <v>0</v>
      </c>
      <c r="W27" s="1042"/>
      <c r="X27" s="1042"/>
      <c r="Y27" s="1127"/>
      <c r="Z27" s="1128"/>
      <c r="AA27" s="1129"/>
    </row>
    <row r="28" spans="1:27" ht="18">
      <c r="A28" s="1042"/>
      <c r="B28" s="1125"/>
      <c r="C28" s="1120" t="s">
        <v>1787</v>
      </c>
      <c r="D28" s="1120" t="s">
        <v>1777</v>
      </c>
      <c r="E28" s="1135" t="s">
        <v>873</v>
      </c>
      <c r="F28" s="1114" t="s">
        <v>1788</v>
      </c>
      <c r="G28" s="1114">
        <v>9722013361</v>
      </c>
      <c r="H28" s="1115" t="s">
        <v>1789</v>
      </c>
      <c r="I28" s="1120" t="s">
        <v>1794</v>
      </c>
      <c r="J28" s="1122" t="s">
        <v>73</v>
      </c>
      <c r="K28" s="1122" t="s">
        <v>138</v>
      </c>
      <c r="L28" s="1123" t="s">
        <v>1791</v>
      </c>
      <c r="M28" s="1124">
        <v>45681</v>
      </c>
      <c r="N28" s="1042">
        <v>53000</v>
      </c>
      <c r="O28" s="1023" t="s">
        <v>7</v>
      </c>
      <c r="P28" s="1023" t="s">
        <v>7</v>
      </c>
      <c r="Q28" s="1054">
        <v>1</v>
      </c>
      <c r="R28" s="1137" t="s">
        <v>1792</v>
      </c>
      <c r="S28" s="1138">
        <v>45686</v>
      </c>
      <c r="T28" s="1042">
        <v>53000</v>
      </c>
      <c r="U28" s="1042" t="s">
        <v>7</v>
      </c>
      <c r="V28" s="1025">
        <f>Table62689345679[[#This Row],[Offer Value]]-Table62689345679[[#This Row],[PO Value]]</f>
        <v>0</v>
      </c>
      <c r="W28" s="1126"/>
      <c r="X28" s="1042"/>
      <c r="Y28" s="1127"/>
      <c r="Z28" s="1128"/>
      <c r="AA28" s="1129"/>
    </row>
    <row r="29" spans="1:27" ht="46.8">
      <c r="A29" s="1042">
        <v>14</v>
      </c>
      <c r="B29" s="1125">
        <v>45901</v>
      </c>
      <c r="C29" s="1041" t="s">
        <v>1795</v>
      </c>
      <c r="D29" s="1120" t="s">
        <v>1777</v>
      </c>
      <c r="E29" s="1120" t="s">
        <v>1730</v>
      </c>
      <c r="F29" s="1041" t="s">
        <v>1796</v>
      </c>
      <c r="G29" s="1120">
        <v>7874699823</v>
      </c>
      <c r="H29" s="1132" t="s">
        <v>1797</v>
      </c>
      <c r="I29" s="1120" t="s">
        <v>1798</v>
      </c>
      <c r="J29" s="1122" t="s">
        <v>73</v>
      </c>
      <c r="K29" s="1122" t="s">
        <v>639</v>
      </c>
      <c r="L29" s="1123" t="s">
        <v>1799</v>
      </c>
      <c r="M29" s="1124">
        <v>45575</v>
      </c>
      <c r="N29" s="1042">
        <v>52800</v>
      </c>
      <c r="O29" s="1023" t="s">
        <v>7</v>
      </c>
      <c r="P29" s="1023" t="s">
        <v>7</v>
      </c>
      <c r="Q29" s="1054">
        <v>1</v>
      </c>
      <c r="R29" s="1053" t="s">
        <v>1800</v>
      </c>
      <c r="S29" s="1125">
        <v>45394</v>
      </c>
      <c r="T29" s="1042">
        <v>52800</v>
      </c>
      <c r="U29" s="1042" t="s">
        <v>7</v>
      </c>
      <c r="V29" s="1025">
        <f>Table62689345679[[#This Row],[Offer Value]]-Table62689345679[[#This Row],[PO Value]]</f>
        <v>0</v>
      </c>
      <c r="W29" s="1126"/>
      <c r="X29" s="1042"/>
      <c r="Y29" s="1134">
        <v>45840</v>
      </c>
      <c r="Z29" s="1128"/>
      <c r="AA29" s="1129"/>
    </row>
    <row r="30" spans="1:27" ht="18">
      <c r="A30" s="106">
        <v>15</v>
      </c>
      <c r="B30" s="107">
        <v>45901</v>
      </c>
      <c r="C30" s="799" t="s">
        <v>1801</v>
      </c>
      <c r="D30" s="105" t="s">
        <v>1777</v>
      </c>
      <c r="E30" s="105" t="s">
        <v>873</v>
      </c>
      <c r="F30" s="105" t="s">
        <v>1802</v>
      </c>
      <c r="G30" s="105">
        <v>7046372509</v>
      </c>
      <c r="H30" s="800" t="s">
        <v>1803</v>
      </c>
      <c r="I30" s="105" t="s">
        <v>1804</v>
      </c>
      <c r="J30" s="115" t="s">
        <v>73</v>
      </c>
      <c r="K30" s="115" t="s">
        <v>138</v>
      </c>
      <c r="L30" s="366" t="s">
        <v>1805</v>
      </c>
      <c r="M30" s="116">
        <v>45623</v>
      </c>
      <c r="N30" s="106"/>
      <c r="O30" s="483"/>
      <c r="P30" s="106"/>
      <c r="Q30" s="109"/>
      <c r="R30" s="522"/>
      <c r="S30" s="111"/>
      <c r="T30" s="106"/>
      <c r="U30" s="106"/>
      <c r="V30" s="284">
        <f>Table62689345679[[#This Row],[Offer Value]]-Table62689345679[[#This Row],[PO Value]]</f>
        <v>0</v>
      </c>
      <c r="W30" s="110"/>
      <c r="X30" s="453"/>
      <c r="Y30" s="605"/>
      <c r="Z30" s="257"/>
      <c r="AA30" s="593"/>
    </row>
    <row r="31" spans="1:27" ht="15.6">
      <c r="A31" s="1042">
        <v>16</v>
      </c>
      <c r="B31" s="1125">
        <v>45901</v>
      </c>
      <c r="C31" s="1114" t="s">
        <v>1801</v>
      </c>
      <c r="D31" s="1114" t="s">
        <v>1777</v>
      </c>
      <c r="E31" s="1114" t="s">
        <v>873</v>
      </c>
      <c r="F31" s="1114" t="s">
        <v>1802</v>
      </c>
      <c r="G31" s="1114">
        <v>7046372509</v>
      </c>
      <c r="H31" s="1115" t="s">
        <v>1803</v>
      </c>
      <c r="I31" s="1114" t="s">
        <v>1806</v>
      </c>
      <c r="J31" s="1130" t="s">
        <v>77</v>
      </c>
      <c r="K31" s="1130" t="s">
        <v>138</v>
      </c>
      <c r="L31" s="1140" t="s">
        <v>1807</v>
      </c>
      <c r="M31" s="1124">
        <v>45640</v>
      </c>
      <c r="N31" s="1042">
        <v>370000</v>
      </c>
      <c r="O31" s="1042" t="s">
        <v>7</v>
      </c>
      <c r="P31" s="1042" t="s">
        <v>7</v>
      </c>
      <c r="Q31" s="1054">
        <v>1</v>
      </c>
      <c r="R31" s="1137" t="s">
        <v>1808</v>
      </c>
      <c r="S31" s="1138">
        <v>45651</v>
      </c>
      <c r="T31" s="1042">
        <v>370000</v>
      </c>
      <c r="U31" s="1042" t="s">
        <v>7</v>
      </c>
      <c r="V31" s="1025">
        <f>Table62689345679[[#This Row],[Offer Value]]-Table62689345679[[#This Row],[PO Value]]</f>
        <v>0</v>
      </c>
      <c r="W31" s="1126"/>
      <c r="X31" s="1042"/>
      <c r="Y31" s="1127" t="s">
        <v>1763</v>
      </c>
      <c r="Z31" s="1128"/>
      <c r="AA31" s="1129"/>
    </row>
    <row r="32" spans="1:27" ht="15.6">
      <c r="A32" s="1042"/>
      <c r="B32" s="1125"/>
      <c r="C32" s="1120" t="s">
        <v>1801</v>
      </c>
      <c r="D32" s="1120" t="s">
        <v>1777</v>
      </c>
      <c r="E32" s="1120" t="s">
        <v>873</v>
      </c>
      <c r="F32" s="1120" t="s">
        <v>1802</v>
      </c>
      <c r="G32" s="1120">
        <v>7046372509</v>
      </c>
      <c r="H32" s="1132" t="s">
        <v>1803</v>
      </c>
      <c r="I32" s="1120" t="s">
        <v>1809</v>
      </c>
      <c r="J32" s="1122" t="s">
        <v>77</v>
      </c>
      <c r="K32" s="1122" t="s">
        <v>138</v>
      </c>
      <c r="L32" s="1140" t="s">
        <v>1807</v>
      </c>
      <c r="M32" s="1124">
        <v>45640</v>
      </c>
      <c r="N32" s="1042">
        <v>370000</v>
      </c>
      <c r="O32" s="1042" t="s">
        <v>7</v>
      </c>
      <c r="P32" s="1042" t="s">
        <v>7</v>
      </c>
      <c r="Q32" s="1054">
        <v>1</v>
      </c>
      <c r="R32" s="1143" t="s">
        <v>1808</v>
      </c>
      <c r="S32" s="1138">
        <v>45651</v>
      </c>
      <c r="T32" s="1042">
        <v>370000</v>
      </c>
      <c r="U32" s="1042" t="s">
        <v>7</v>
      </c>
      <c r="V32" s="1025">
        <f>Table62689345679[[#This Row],[Offer Value]]-Table62689345679[[#This Row],[PO Value]]</f>
        <v>0</v>
      </c>
      <c r="W32" s="1126"/>
      <c r="X32" s="1042"/>
      <c r="Y32" s="1127" t="s">
        <v>1763</v>
      </c>
      <c r="Z32" s="1128"/>
      <c r="AA32" s="1129"/>
    </row>
    <row r="33" spans="1:27" ht="15.6">
      <c r="A33" s="1042"/>
      <c r="B33" s="1125"/>
      <c r="C33" s="1114" t="s">
        <v>1801</v>
      </c>
      <c r="D33" s="1114" t="s">
        <v>1777</v>
      </c>
      <c r="E33" s="1114" t="s">
        <v>873</v>
      </c>
      <c r="F33" s="1114" t="s">
        <v>1802</v>
      </c>
      <c r="G33" s="1114">
        <v>7046372509</v>
      </c>
      <c r="H33" s="1115" t="s">
        <v>1803</v>
      </c>
      <c r="I33" s="1114" t="s">
        <v>1804</v>
      </c>
      <c r="J33" s="1130" t="s">
        <v>77</v>
      </c>
      <c r="K33" s="1130" t="s">
        <v>138</v>
      </c>
      <c r="L33" s="1140" t="s">
        <v>1807</v>
      </c>
      <c r="M33" s="1124">
        <v>45640</v>
      </c>
      <c r="N33" s="1042">
        <v>370000</v>
      </c>
      <c r="O33" s="1042" t="s">
        <v>7</v>
      </c>
      <c r="P33" s="1042" t="s">
        <v>7</v>
      </c>
      <c r="Q33" s="1054">
        <v>1</v>
      </c>
      <c r="R33" s="1137" t="s">
        <v>1808</v>
      </c>
      <c r="S33" s="1138">
        <v>45651</v>
      </c>
      <c r="T33" s="1042">
        <v>370000</v>
      </c>
      <c r="U33" s="1042" t="s">
        <v>7</v>
      </c>
      <c r="V33" s="1025">
        <f>Table62689345679[[#This Row],[Offer Value]]-Table62689345679[[#This Row],[PO Value]]</f>
        <v>0</v>
      </c>
      <c r="W33" s="1126"/>
      <c r="X33" s="1042"/>
      <c r="Y33" s="1127" t="s">
        <v>1763</v>
      </c>
      <c r="Z33" s="1128"/>
      <c r="AA33" s="1141"/>
    </row>
    <row r="34" spans="1:27" ht="15.6">
      <c r="A34" s="1042">
        <v>17</v>
      </c>
      <c r="B34" s="1125">
        <v>45901</v>
      </c>
      <c r="C34" s="1114" t="s">
        <v>1687</v>
      </c>
      <c r="D34" s="1114" t="s">
        <v>1777</v>
      </c>
      <c r="E34" s="1114" t="s">
        <v>1716</v>
      </c>
      <c r="F34" s="1114" t="s">
        <v>1810</v>
      </c>
      <c r="G34" s="1114">
        <v>8939560604</v>
      </c>
      <c r="H34" s="1115" t="s">
        <v>1811</v>
      </c>
      <c r="I34" s="1114" t="s">
        <v>1812</v>
      </c>
      <c r="J34" s="1130" t="s">
        <v>73</v>
      </c>
      <c r="K34" s="1130" t="s">
        <v>157</v>
      </c>
      <c r="L34" s="1140" t="s">
        <v>1813</v>
      </c>
      <c r="M34" s="1124">
        <v>45556</v>
      </c>
      <c r="N34" s="1042">
        <v>90000</v>
      </c>
      <c r="O34" s="1042" t="s">
        <v>7</v>
      </c>
      <c r="P34" s="1042" t="s">
        <v>34</v>
      </c>
      <c r="Q34" s="1054">
        <v>1</v>
      </c>
      <c r="R34" s="1137" t="s">
        <v>1814</v>
      </c>
      <c r="S34" s="1138" t="s">
        <v>1815</v>
      </c>
      <c r="T34" s="1042">
        <v>90000</v>
      </c>
      <c r="U34" s="1042" t="s">
        <v>30</v>
      </c>
      <c r="V34" s="1025">
        <f>Table62689345679[[#This Row],[Offer Value]]-Table62689345679[[#This Row],[PO Value]]</f>
        <v>0</v>
      </c>
      <c r="W34" s="1126"/>
      <c r="X34" s="1042"/>
      <c r="Y34" s="1127"/>
      <c r="Z34" s="1128"/>
      <c r="AA34" s="1141"/>
    </row>
    <row r="35" spans="1:27" ht="18">
      <c r="A35" s="1042">
        <v>18</v>
      </c>
      <c r="B35" s="1125">
        <v>45901</v>
      </c>
      <c r="C35" s="1120" t="s">
        <v>984</v>
      </c>
      <c r="D35" s="1120" t="s">
        <v>1816</v>
      </c>
      <c r="E35" s="1041" t="s">
        <v>1744</v>
      </c>
      <c r="F35" s="1144" t="s">
        <v>1817</v>
      </c>
      <c r="G35" s="1145">
        <v>7624008077</v>
      </c>
      <c r="H35" s="1146" t="s">
        <v>1818</v>
      </c>
      <c r="I35" s="1114" t="s">
        <v>1819</v>
      </c>
      <c r="J35" s="1130" t="s">
        <v>73</v>
      </c>
      <c r="K35" s="1130" t="s">
        <v>157</v>
      </c>
      <c r="L35" s="1116" t="s">
        <v>1820</v>
      </c>
      <c r="M35" s="1117">
        <v>45534</v>
      </c>
      <c r="N35" s="1042">
        <v>71250</v>
      </c>
      <c r="O35" s="1042" t="s">
        <v>7</v>
      </c>
      <c r="P35" s="1042" t="s">
        <v>7</v>
      </c>
      <c r="Q35" s="1054">
        <v>1</v>
      </c>
      <c r="R35" s="1147" t="s">
        <v>1821</v>
      </c>
      <c r="S35" s="1119">
        <v>45580</v>
      </c>
      <c r="T35" s="1131">
        <v>71250</v>
      </c>
      <c r="U35" s="1042" t="s">
        <v>7</v>
      </c>
      <c r="V35" s="1025">
        <f>Table62689345679[[#This Row],[Offer Value]]-Table62689345679[[#This Row],[PO Value]]</f>
        <v>0</v>
      </c>
      <c r="W35" s="1126"/>
      <c r="X35" s="1042"/>
      <c r="Y35" s="1134" t="s">
        <v>1349</v>
      </c>
      <c r="Z35" s="1128"/>
      <c r="AA35" s="1141"/>
    </row>
    <row r="36" spans="1:27" ht="31.2">
      <c r="A36" s="1042">
        <v>19</v>
      </c>
      <c r="B36" s="1125">
        <v>45901</v>
      </c>
      <c r="C36" s="1114" t="s">
        <v>1822</v>
      </c>
      <c r="D36" s="1114" t="s">
        <v>1823</v>
      </c>
      <c r="E36" s="1114" t="s">
        <v>1824</v>
      </c>
      <c r="F36" s="1114" t="s">
        <v>1825</v>
      </c>
      <c r="G36" s="1144">
        <v>9825207929</v>
      </c>
      <c r="H36" s="1148" t="s">
        <v>1826</v>
      </c>
      <c r="I36" s="1114" t="s">
        <v>1827</v>
      </c>
      <c r="J36" s="1130" t="s">
        <v>73</v>
      </c>
      <c r="K36" s="1130" t="s">
        <v>138</v>
      </c>
      <c r="L36" s="1144" t="s">
        <v>1828</v>
      </c>
      <c r="M36" s="1117">
        <v>45357</v>
      </c>
      <c r="N36" s="1042">
        <v>98000</v>
      </c>
      <c r="O36" s="1042" t="s">
        <v>7</v>
      </c>
      <c r="P36" s="1042" t="s">
        <v>7</v>
      </c>
      <c r="Q36" s="1054">
        <v>1</v>
      </c>
      <c r="R36" s="1118">
        <v>5300005783</v>
      </c>
      <c r="S36" s="1119">
        <v>45467</v>
      </c>
      <c r="T36" s="1131">
        <v>98000</v>
      </c>
      <c r="U36" s="1042" t="s">
        <v>7</v>
      </c>
      <c r="V36" s="1025">
        <f>Table62689345679[[#This Row],[Offer Value]]-Table62689345679[[#This Row],[PO Value]]</f>
        <v>0</v>
      </c>
      <c r="W36" s="1126" t="s">
        <v>1829</v>
      </c>
      <c r="X36" s="1042"/>
      <c r="Y36" s="1134"/>
      <c r="Z36" s="1128"/>
      <c r="AA36" s="1141"/>
    </row>
    <row r="37" spans="1:27" ht="31.2">
      <c r="A37" s="1042"/>
      <c r="B37" s="1125"/>
      <c r="C37" s="1120" t="s">
        <v>1822</v>
      </c>
      <c r="D37" s="1120" t="s">
        <v>1823</v>
      </c>
      <c r="E37" s="1120" t="s">
        <v>1824</v>
      </c>
      <c r="F37" s="1120" t="s">
        <v>1825</v>
      </c>
      <c r="G37" s="1140">
        <v>9825207929</v>
      </c>
      <c r="H37" s="1121" t="s">
        <v>1826</v>
      </c>
      <c r="I37" s="1120" t="s">
        <v>1830</v>
      </c>
      <c r="J37" s="1122" t="s">
        <v>73</v>
      </c>
      <c r="K37" s="1122" t="s">
        <v>138</v>
      </c>
      <c r="L37" s="1140" t="s">
        <v>1828</v>
      </c>
      <c r="M37" s="1124">
        <v>45357</v>
      </c>
      <c r="N37" s="1042">
        <v>98000</v>
      </c>
      <c r="O37" s="1042" t="s">
        <v>7</v>
      </c>
      <c r="P37" s="1042" t="s">
        <v>7</v>
      </c>
      <c r="Q37" s="1054">
        <v>1</v>
      </c>
      <c r="R37" s="1053">
        <v>5300005783</v>
      </c>
      <c r="S37" s="1125">
        <v>45467</v>
      </c>
      <c r="T37" s="1042">
        <v>98000</v>
      </c>
      <c r="U37" s="1042" t="s">
        <v>7</v>
      </c>
      <c r="V37" s="1025">
        <f>Table62689345679[[#This Row],[Offer Value]]-Table62689345679[[#This Row],[PO Value]]</f>
        <v>0</v>
      </c>
      <c r="W37" s="1126" t="s">
        <v>1829</v>
      </c>
      <c r="X37" s="1042"/>
      <c r="Y37" s="1127"/>
      <c r="Z37" s="1128"/>
      <c r="AA37" s="1129"/>
    </row>
    <row r="38" spans="1:27" ht="31.2">
      <c r="A38" s="1042"/>
      <c r="B38" s="1125"/>
      <c r="C38" s="1114" t="s">
        <v>1822</v>
      </c>
      <c r="D38" s="1114" t="s">
        <v>1823</v>
      </c>
      <c r="E38" s="1114" t="s">
        <v>1824</v>
      </c>
      <c r="F38" s="1114" t="s">
        <v>1825</v>
      </c>
      <c r="G38" s="1144">
        <v>9825207929</v>
      </c>
      <c r="H38" s="1148" t="s">
        <v>1826</v>
      </c>
      <c r="I38" s="1144" t="s">
        <v>1831</v>
      </c>
      <c r="J38" s="1130" t="s">
        <v>73</v>
      </c>
      <c r="K38" s="1130" t="s">
        <v>138</v>
      </c>
      <c r="L38" s="1144" t="s">
        <v>1828</v>
      </c>
      <c r="M38" s="1117">
        <v>45357</v>
      </c>
      <c r="N38" s="1042">
        <v>98000</v>
      </c>
      <c r="O38" s="1042" t="s">
        <v>7</v>
      </c>
      <c r="P38" s="1042" t="s">
        <v>7</v>
      </c>
      <c r="Q38" s="1054">
        <v>1</v>
      </c>
      <c r="R38" s="1118">
        <v>5300005783</v>
      </c>
      <c r="S38" s="1119">
        <v>45467</v>
      </c>
      <c r="T38" s="1131">
        <v>98000</v>
      </c>
      <c r="U38" s="1042" t="s">
        <v>7</v>
      </c>
      <c r="V38" s="1025">
        <f>Table62689345679[[#This Row],[Offer Value]]-Table62689345679[[#This Row],[PO Value]]</f>
        <v>0</v>
      </c>
      <c r="W38" s="1126" t="s">
        <v>1829</v>
      </c>
      <c r="X38" s="1042"/>
      <c r="Y38" s="1127"/>
      <c r="Z38" s="1128"/>
      <c r="AA38" s="1129"/>
    </row>
    <row r="39" spans="1:27" ht="31.2">
      <c r="A39" s="1042">
        <v>20</v>
      </c>
      <c r="B39" s="1125">
        <v>45901</v>
      </c>
      <c r="C39" s="1114" t="s">
        <v>1832</v>
      </c>
      <c r="D39" s="1135" t="s">
        <v>1777</v>
      </c>
      <c r="E39" s="1135" t="s">
        <v>873</v>
      </c>
      <c r="F39" s="1135" t="s">
        <v>1833</v>
      </c>
      <c r="G39" s="1135">
        <v>8469867330</v>
      </c>
      <c r="H39" s="1136" t="s">
        <v>1834</v>
      </c>
      <c r="I39" s="1114" t="s">
        <v>1835</v>
      </c>
      <c r="J39" s="1122" t="s">
        <v>73</v>
      </c>
      <c r="K39" s="1123" t="s">
        <v>138</v>
      </c>
      <c r="L39" s="1123" t="s">
        <v>1836</v>
      </c>
      <c r="M39" s="1124">
        <v>45641</v>
      </c>
      <c r="N39" s="1042">
        <v>77200</v>
      </c>
      <c r="O39" s="1042" t="s">
        <v>7</v>
      </c>
      <c r="P39" s="1042" t="s">
        <v>7</v>
      </c>
      <c r="Q39" s="1054">
        <v>1</v>
      </c>
      <c r="R39" s="1137">
        <v>4516924874</v>
      </c>
      <c r="S39" s="1138">
        <v>45717</v>
      </c>
      <c r="T39" s="1042">
        <v>77200</v>
      </c>
      <c r="U39" s="1042" t="s">
        <v>7</v>
      </c>
      <c r="V39" s="1025">
        <f>Table62689345679[[#This Row],[Offer Value]]-Table62689345679[[#This Row],[PO Value]]</f>
        <v>0</v>
      </c>
      <c r="W39" s="1126" t="s">
        <v>1837</v>
      </c>
      <c r="X39" s="1042"/>
      <c r="Y39" s="1134"/>
      <c r="Z39" s="1128"/>
      <c r="AA39" s="1141"/>
    </row>
    <row r="40" spans="1:27" ht="31.2">
      <c r="A40" s="1042"/>
      <c r="B40" s="1125"/>
      <c r="C40" s="1114" t="s">
        <v>1832</v>
      </c>
      <c r="D40" s="1135" t="s">
        <v>1777</v>
      </c>
      <c r="E40" s="1135" t="s">
        <v>873</v>
      </c>
      <c r="F40" s="1135" t="s">
        <v>1833</v>
      </c>
      <c r="G40" s="1135">
        <v>8469867330</v>
      </c>
      <c r="H40" s="1136" t="s">
        <v>1834</v>
      </c>
      <c r="I40" s="1114" t="s">
        <v>1838</v>
      </c>
      <c r="J40" s="1130" t="s">
        <v>73</v>
      </c>
      <c r="K40" s="1130" t="s">
        <v>138</v>
      </c>
      <c r="L40" s="1116" t="s">
        <v>1836</v>
      </c>
      <c r="M40" s="1117">
        <v>45641</v>
      </c>
      <c r="N40" s="1131">
        <v>77200</v>
      </c>
      <c r="O40" s="1042" t="s">
        <v>7</v>
      </c>
      <c r="P40" s="1042" t="s">
        <v>7</v>
      </c>
      <c r="Q40" s="1054">
        <v>1</v>
      </c>
      <c r="R40" s="1137">
        <v>4516924874</v>
      </c>
      <c r="S40" s="1138">
        <v>45717</v>
      </c>
      <c r="T40" s="1042">
        <v>77200</v>
      </c>
      <c r="U40" s="1042" t="s">
        <v>7</v>
      </c>
      <c r="V40" s="1025">
        <f>Table62689345679[[#This Row],[Offer Value]]-Table62689345679[[#This Row],[PO Value]]</f>
        <v>0</v>
      </c>
      <c r="W40" s="1126" t="s">
        <v>1837</v>
      </c>
      <c r="X40" s="1042"/>
      <c r="Y40" s="1134"/>
      <c r="Z40" s="1128"/>
      <c r="AA40" s="1129"/>
    </row>
    <row r="41" spans="1:27" ht="31.2">
      <c r="A41" s="1042"/>
      <c r="B41" s="1125"/>
      <c r="C41" s="1114" t="s">
        <v>1832</v>
      </c>
      <c r="D41" s="1135" t="s">
        <v>1777</v>
      </c>
      <c r="E41" s="1135" t="s">
        <v>873</v>
      </c>
      <c r="F41" s="1135" t="s">
        <v>1833</v>
      </c>
      <c r="G41" s="1135">
        <v>8469867330</v>
      </c>
      <c r="H41" s="1136" t="s">
        <v>1834</v>
      </c>
      <c r="I41" s="1114">
        <v>102006293</v>
      </c>
      <c r="J41" s="1122" t="s">
        <v>73</v>
      </c>
      <c r="K41" s="1122" t="s">
        <v>138</v>
      </c>
      <c r="L41" s="1123" t="s">
        <v>1836</v>
      </c>
      <c r="M41" s="1124">
        <v>45641</v>
      </c>
      <c r="N41" s="1042">
        <v>65100</v>
      </c>
      <c r="O41" s="1042" t="s">
        <v>7</v>
      </c>
      <c r="P41" s="1042" t="s">
        <v>7</v>
      </c>
      <c r="Q41" s="1054">
        <v>1</v>
      </c>
      <c r="R41" s="1137">
        <v>4516924874</v>
      </c>
      <c r="S41" s="1138">
        <v>45717</v>
      </c>
      <c r="T41" s="1042">
        <v>65100</v>
      </c>
      <c r="U41" s="1042" t="s">
        <v>7</v>
      </c>
      <c r="V41" s="1025">
        <f>Table62689345679[[#This Row],[Offer Value]]-Table62689345679[[#This Row],[PO Value]]</f>
        <v>0</v>
      </c>
      <c r="W41" s="1126" t="s">
        <v>1839</v>
      </c>
      <c r="X41" s="1149"/>
      <c r="Y41" s="1134"/>
      <c r="Z41" s="1128"/>
      <c r="AA41" s="1129"/>
    </row>
    <row r="42" spans="1:27" ht="31.2">
      <c r="A42" s="1042">
        <v>21</v>
      </c>
      <c r="B42" s="1125">
        <v>45901</v>
      </c>
      <c r="C42" s="1150" t="s">
        <v>1157</v>
      </c>
      <c r="D42" s="1151" t="s">
        <v>1840</v>
      </c>
      <c r="E42" s="1150" t="s">
        <v>873</v>
      </c>
      <c r="F42" s="1150" t="s">
        <v>1841</v>
      </c>
      <c r="G42" s="1150">
        <v>9575802320</v>
      </c>
      <c r="H42" s="1152" t="s">
        <v>1842</v>
      </c>
      <c r="I42" s="1150" t="s">
        <v>1843</v>
      </c>
      <c r="J42" s="1130" t="s">
        <v>73</v>
      </c>
      <c r="K42" s="1130" t="s">
        <v>138</v>
      </c>
      <c r="L42" s="1116" t="s">
        <v>1844</v>
      </c>
      <c r="M42" s="1117">
        <v>45640</v>
      </c>
      <c r="N42" s="1131">
        <v>118335</v>
      </c>
      <c r="O42" s="1042" t="s">
        <v>7</v>
      </c>
      <c r="P42" s="1042" t="s">
        <v>18</v>
      </c>
      <c r="Q42" s="1054">
        <v>1</v>
      </c>
      <c r="R42" s="1137">
        <v>5700171274</v>
      </c>
      <c r="S42" s="1138" t="s">
        <v>352</v>
      </c>
      <c r="T42" s="1042">
        <v>118335</v>
      </c>
      <c r="U42" s="1042" t="s">
        <v>18</v>
      </c>
      <c r="V42" s="1025">
        <f>Table62689345679[[#This Row],[Offer Value]]-Table62689345679[[#This Row],[PO Value]]</f>
        <v>0</v>
      </c>
      <c r="W42" s="1126" t="s">
        <v>1845</v>
      </c>
      <c r="X42" s="1149"/>
      <c r="Y42" s="1127"/>
      <c r="Z42" s="1128"/>
      <c r="AA42" s="1129"/>
    </row>
    <row r="43" spans="1:27" ht="31.2">
      <c r="A43" s="1042"/>
      <c r="B43" s="1125"/>
      <c r="C43" s="1145" t="s">
        <v>1157</v>
      </c>
      <c r="D43" s="1153" t="s">
        <v>1840</v>
      </c>
      <c r="E43" s="1145" t="s">
        <v>873</v>
      </c>
      <c r="F43" s="1145" t="s">
        <v>1841</v>
      </c>
      <c r="G43" s="1145">
        <v>9575802320</v>
      </c>
      <c r="H43" s="1146" t="s">
        <v>1842</v>
      </c>
      <c r="I43" s="1145" t="s">
        <v>1846</v>
      </c>
      <c r="J43" s="1122" t="s">
        <v>73</v>
      </c>
      <c r="K43" s="1122" t="s">
        <v>138</v>
      </c>
      <c r="L43" s="1123" t="s">
        <v>1844</v>
      </c>
      <c r="M43" s="1124">
        <v>45640</v>
      </c>
      <c r="N43" s="1042">
        <v>118335</v>
      </c>
      <c r="O43" s="1042" t="s">
        <v>7</v>
      </c>
      <c r="P43" s="1042" t="s">
        <v>18</v>
      </c>
      <c r="Q43" s="1054">
        <v>1</v>
      </c>
      <c r="R43" s="1137">
        <v>5700171274</v>
      </c>
      <c r="S43" s="1138" t="s">
        <v>352</v>
      </c>
      <c r="T43" s="1042">
        <v>118335</v>
      </c>
      <c r="U43" s="1042" t="s">
        <v>18</v>
      </c>
      <c r="V43" s="1025">
        <f>Table62689345679[[#This Row],[Offer Value]]-Table62689345679[[#This Row],[PO Value]]</f>
        <v>0</v>
      </c>
      <c r="W43" s="1126" t="s">
        <v>1845</v>
      </c>
      <c r="X43" s="1042"/>
      <c r="Y43" s="1127"/>
      <c r="Z43" s="1128"/>
      <c r="AA43" s="1129"/>
    </row>
    <row r="44" spans="1:27" ht="31.2">
      <c r="A44" s="1042"/>
      <c r="B44" s="1125"/>
      <c r="C44" s="1150" t="s">
        <v>1157</v>
      </c>
      <c r="D44" s="1151" t="s">
        <v>1840</v>
      </c>
      <c r="E44" s="1150" t="s">
        <v>873</v>
      </c>
      <c r="F44" s="1150" t="s">
        <v>1841</v>
      </c>
      <c r="G44" s="1150">
        <v>9575802320</v>
      </c>
      <c r="H44" s="1152" t="s">
        <v>1842</v>
      </c>
      <c r="I44" s="1150" t="s">
        <v>1847</v>
      </c>
      <c r="J44" s="1130" t="s">
        <v>73</v>
      </c>
      <c r="K44" s="1130" t="s">
        <v>138</v>
      </c>
      <c r="L44" s="1116" t="s">
        <v>1844</v>
      </c>
      <c r="M44" s="1117">
        <v>45640</v>
      </c>
      <c r="N44" s="1131">
        <v>118335</v>
      </c>
      <c r="O44" s="1042" t="s">
        <v>7</v>
      </c>
      <c r="P44" s="1042" t="s">
        <v>18</v>
      </c>
      <c r="Q44" s="1054">
        <v>1</v>
      </c>
      <c r="R44" s="1137">
        <v>5700171274</v>
      </c>
      <c r="S44" s="1138" t="s">
        <v>352</v>
      </c>
      <c r="T44" s="1042">
        <v>118335</v>
      </c>
      <c r="U44" s="1042" t="s">
        <v>18</v>
      </c>
      <c r="V44" s="1025">
        <f>Table62689345679[[#This Row],[Offer Value]]-Table62689345679[[#This Row],[PO Value]]</f>
        <v>0</v>
      </c>
      <c r="W44" s="1126" t="s">
        <v>1845</v>
      </c>
      <c r="X44" s="1042"/>
      <c r="Y44" s="1134"/>
      <c r="Z44" s="1128"/>
      <c r="AA44" s="1141"/>
    </row>
    <row r="45" spans="1:27" ht="31.2">
      <c r="A45" s="1042"/>
      <c r="B45" s="1125"/>
      <c r="C45" s="1145" t="s">
        <v>1157</v>
      </c>
      <c r="D45" s="1153" t="s">
        <v>1840</v>
      </c>
      <c r="E45" s="1145" t="s">
        <v>873</v>
      </c>
      <c r="F45" s="1145" t="s">
        <v>1841</v>
      </c>
      <c r="G45" s="1145">
        <v>9575802320</v>
      </c>
      <c r="H45" s="1146" t="s">
        <v>1842</v>
      </c>
      <c r="I45" s="1145" t="s">
        <v>1848</v>
      </c>
      <c r="J45" s="1122" t="s">
        <v>73</v>
      </c>
      <c r="K45" s="1122" t="s">
        <v>138</v>
      </c>
      <c r="L45" s="1123" t="s">
        <v>1844</v>
      </c>
      <c r="M45" s="1124">
        <v>45640</v>
      </c>
      <c r="N45" s="1042">
        <v>118335</v>
      </c>
      <c r="O45" s="1042" t="s">
        <v>7</v>
      </c>
      <c r="P45" s="1042" t="s">
        <v>18</v>
      </c>
      <c r="Q45" s="1054">
        <v>1</v>
      </c>
      <c r="R45" s="1137">
        <v>5700171274</v>
      </c>
      <c r="S45" s="1138" t="s">
        <v>352</v>
      </c>
      <c r="T45" s="1042">
        <v>118335</v>
      </c>
      <c r="U45" s="1042" t="s">
        <v>18</v>
      </c>
      <c r="V45" s="1025">
        <f>Table62689345679[[#This Row],[Offer Value]]-Table62689345679[[#This Row],[PO Value]]</f>
        <v>0</v>
      </c>
      <c r="W45" s="1126" t="s">
        <v>1845</v>
      </c>
      <c r="X45" s="1042"/>
      <c r="Y45" s="1127"/>
      <c r="Z45" s="1128"/>
      <c r="AA45" s="1141"/>
    </row>
    <row r="46" spans="1:27" ht="31.2">
      <c r="A46" s="1042"/>
      <c r="B46" s="1125"/>
      <c r="C46" s="1150" t="s">
        <v>1157</v>
      </c>
      <c r="D46" s="1151" t="s">
        <v>1840</v>
      </c>
      <c r="E46" s="1150" t="s">
        <v>873</v>
      </c>
      <c r="F46" s="1150" t="s">
        <v>1841</v>
      </c>
      <c r="G46" s="1150">
        <v>9575802320</v>
      </c>
      <c r="H46" s="1152" t="s">
        <v>1842</v>
      </c>
      <c r="I46" s="1150" t="s">
        <v>1849</v>
      </c>
      <c r="J46" s="1130" t="s">
        <v>73</v>
      </c>
      <c r="K46" s="1130" t="s">
        <v>138</v>
      </c>
      <c r="L46" s="1116" t="s">
        <v>1844</v>
      </c>
      <c r="M46" s="1117">
        <v>45640</v>
      </c>
      <c r="N46" s="1131">
        <v>118335</v>
      </c>
      <c r="O46" s="1042" t="s">
        <v>7</v>
      </c>
      <c r="P46" s="1042" t="s">
        <v>18</v>
      </c>
      <c r="Q46" s="1054">
        <v>1</v>
      </c>
      <c r="R46" s="1137">
        <v>5700171274</v>
      </c>
      <c r="S46" s="1138" t="s">
        <v>352</v>
      </c>
      <c r="T46" s="1042">
        <v>118335</v>
      </c>
      <c r="U46" s="1042" t="s">
        <v>18</v>
      </c>
      <c r="V46" s="1025">
        <f>Table62689345679[[#This Row],[Offer Value]]-Table62689345679[[#This Row],[PO Value]]</f>
        <v>0</v>
      </c>
      <c r="W46" s="1126" t="s">
        <v>1845</v>
      </c>
      <c r="X46" s="1042"/>
      <c r="Y46" s="1127"/>
      <c r="Z46" s="1128"/>
      <c r="AA46" s="1129"/>
    </row>
    <row r="47" spans="1:27" ht="18">
      <c r="A47" s="1042">
        <v>22</v>
      </c>
      <c r="B47" s="1125">
        <v>45901</v>
      </c>
      <c r="C47" s="1140" t="s">
        <v>1850</v>
      </c>
      <c r="D47" s="1151" t="s">
        <v>1840</v>
      </c>
      <c r="E47" s="1135" t="s">
        <v>873</v>
      </c>
      <c r="F47" s="1135" t="s">
        <v>1851</v>
      </c>
      <c r="G47" s="1135">
        <v>9575300235</v>
      </c>
      <c r="H47" s="1136" t="s">
        <v>1852</v>
      </c>
      <c r="I47" s="1135" t="s">
        <v>1853</v>
      </c>
      <c r="J47" s="1130" t="s">
        <v>73</v>
      </c>
      <c r="K47" s="1130" t="s">
        <v>157</v>
      </c>
      <c r="L47" s="1116" t="s">
        <v>1854</v>
      </c>
      <c r="M47" s="1117">
        <v>45615</v>
      </c>
      <c r="N47" s="1131">
        <v>62500</v>
      </c>
      <c r="O47" s="1042" t="s">
        <v>7</v>
      </c>
      <c r="P47" s="1042" t="s">
        <v>7</v>
      </c>
      <c r="Q47" s="1054">
        <v>1</v>
      </c>
      <c r="R47" s="1053">
        <v>6460007868</v>
      </c>
      <c r="S47" s="1125">
        <v>45652</v>
      </c>
      <c r="T47" s="1042">
        <v>60000</v>
      </c>
      <c r="U47" s="1042" t="s">
        <v>7</v>
      </c>
      <c r="V47" s="1025">
        <v>0</v>
      </c>
      <c r="W47" s="1042"/>
      <c r="X47" s="1149"/>
      <c r="Y47" s="1127"/>
      <c r="Z47" s="1128"/>
      <c r="AA47" s="1141"/>
    </row>
    <row r="48" spans="1:27" ht="31.2">
      <c r="A48" s="1042">
        <v>23</v>
      </c>
      <c r="B48" s="1125">
        <v>45901</v>
      </c>
      <c r="C48" s="1140" t="s">
        <v>1855</v>
      </c>
      <c r="D48" s="1151" t="s">
        <v>1737</v>
      </c>
      <c r="E48" s="1135" t="s">
        <v>873</v>
      </c>
      <c r="F48" s="1135" t="s">
        <v>1856</v>
      </c>
      <c r="G48" s="1135">
        <v>9909972542</v>
      </c>
      <c r="H48" s="1136" t="s">
        <v>1857</v>
      </c>
      <c r="I48" s="1135" t="s">
        <v>1858</v>
      </c>
      <c r="J48" s="1130" t="s">
        <v>83</v>
      </c>
      <c r="K48" s="1130" t="s">
        <v>157</v>
      </c>
      <c r="L48" s="1116" t="s">
        <v>1859</v>
      </c>
      <c r="M48" s="1117">
        <v>45551</v>
      </c>
      <c r="N48" s="1131">
        <v>694970</v>
      </c>
      <c r="O48" s="1042" t="s">
        <v>7</v>
      </c>
      <c r="P48" s="1042" t="s">
        <v>30</v>
      </c>
      <c r="Q48" s="1054">
        <v>1</v>
      </c>
      <c r="R48" s="1053">
        <v>7000147895</v>
      </c>
      <c r="S48" s="1125">
        <v>45662</v>
      </c>
      <c r="T48" s="1042">
        <v>660221</v>
      </c>
      <c r="U48" s="1042" t="s">
        <v>30</v>
      </c>
      <c r="V48" s="1025">
        <v>0</v>
      </c>
      <c r="W48" s="1042"/>
      <c r="X48" s="1149"/>
      <c r="Y48" s="1127"/>
      <c r="Z48" s="1128" t="s">
        <v>208</v>
      </c>
      <c r="AA48" s="1141" t="s">
        <v>208</v>
      </c>
    </row>
    <row r="49" spans="1:27" ht="15.6">
      <c r="A49" s="1042">
        <v>24</v>
      </c>
      <c r="B49" s="1125">
        <v>45670</v>
      </c>
      <c r="C49" s="1140" t="s">
        <v>1190</v>
      </c>
      <c r="D49" s="1140" t="s">
        <v>1860</v>
      </c>
      <c r="E49" s="1140" t="s">
        <v>1730</v>
      </c>
      <c r="F49" s="1135" t="s">
        <v>1861</v>
      </c>
      <c r="G49" s="1140"/>
      <c r="H49" s="1121" t="s">
        <v>1862</v>
      </c>
      <c r="I49" s="1140" t="s">
        <v>1863</v>
      </c>
      <c r="J49" s="1041" t="s">
        <v>73</v>
      </c>
      <c r="K49" s="1041" t="s">
        <v>157</v>
      </c>
      <c r="L49" s="1140" t="s">
        <v>1864</v>
      </c>
      <c r="M49" s="1154">
        <v>45459</v>
      </c>
      <c r="N49" s="1042">
        <v>142000</v>
      </c>
      <c r="O49" s="1042" t="s">
        <v>7</v>
      </c>
      <c r="P49" s="1042" t="s">
        <v>7</v>
      </c>
      <c r="Q49" s="1054">
        <v>1</v>
      </c>
      <c r="R49" s="1053">
        <v>16882528</v>
      </c>
      <c r="S49" s="1125">
        <v>45670</v>
      </c>
      <c r="T49" s="1042">
        <v>142000</v>
      </c>
      <c r="U49" s="1042" t="s">
        <v>7</v>
      </c>
      <c r="V49" s="1025">
        <f>Table62689345679[[#This Row],[Offer Value]]-Table62689345679[[#This Row],[PO Value]]</f>
        <v>0</v>
      </c>
      <c r="W49" s="1042"/>
      <c r="X49" s="1042"/>
      <c r="Y49" s="1127"/>
      <c r="Z49" s="1128"/>
      <c r="AA49" s="1141"/>
    </row>
    <row r="50" spans="1:27" ht="15.6">
      <c r="A50" s="1042">
        <v>25</v>
      </c>
      <c r="B50" s="1125">
        <v>45674</v>
      </c>
      <c r="C50" s="1140" t="s">
        <v>1865</v>
      </c>
      <c r="D50" s="1140" t="s">
        <v>1737</v>
      </c>
      <c r="E50" s="1140" t="s">
        <v>1730</v>
      </c>
      <c r="F50" s="1135" t="s">
        <v>1866</v>
      </c>
      <c r="G50" s="1140">
        <v>9409775475</v>
      </c>
      <c r="H50" s="1121" t="s">
        <v>1867</v>
      </c>
      <c r="I50" s="1140" t="s">
        <v>1868</v>
      </c>
      <c r="J50" s="1041" t="s">
        <v>75</v>
      </c>
      <c r="K50" s="1041" t="s">
        <v>138</v>
      </c>
      <c r="L50" s="1140" t="s">
        <v>1869</v>
      </c>
      <c r="M50" s="1154">
        <v>45589</v>
      </c>
      <c r="N50" s="1042">
        <v>242600</v>
      </c>
      <c r="O50" s="1042" t="s">
        <v>7</v>
      </c>
      <c r="P50" s="1042" t="s">
        <v>7</v>
      </c>
      <c r="Q50" s="1054">
        <v>1</v>
      </c>
      <c r="R50" s="1053">
        <v>10169675</v>
      </c>
      <c r="S50" s="1125">
        <v>45673</v>
      </c>
      <c r="T50" s="1042">
        <v>223192</v>
      </c>
      <c r="U50" s="1042" t="s">
        <v>7</v>
      </c>
      <c r="V50" s="1025">
        <v>0</v>
      </c>
      <c r="W50" s="1042"/>
      <c r="X50" s="1042"/>
      <c r="Y50" s="1127" t="s">
        <v>1349</v>
      </c>
      <c r="Z50" s="1128"/>
      <c r="AA50" s="1141"/>
    </row>
    <row r="51" spans="1:27" ht="15.6">
      <c r="A51" s="1042">
        <v>26</v>
      </c>
      <c r="B51" s="1125">
        <v>45680</v>
      </c>
      <c r="C51" s="1140" t="s">
        <v>1870</v>
      </c>
      <c r="D51" s="1140" t="s">
        <v>1777</v>
      </c>
      <c r="E51" s="1140" t="s">
        <v>1730</v>
      </c>
      <c r="F51" s="1140" t="s">
        <v>1871</v>
      </c>
      <c r="G51" s="1140">
        <v>9099031719</v>
      </c>
      <c r="H51" s="1132" t="s">
        <v>1872</v>
      </c>
      <c r="I51" s="1140" t="s">
        <v>1873</v>
      </c>
      <c r="J51" s="1041" t="s">
        <v>79</v>
      </c>
      <c r="K51" s="1041" t="s">
        <v>138</v>
      </c>
      <c r="L51" s="1140" t="s">
        <v>1874</v>
      </c>
      <c r="M51" s="1154">
        <v>45680</v>
      </c>
      <c r="N51" s="1042">
        <v>106000</v>
      </c>
      <c r="O51" s="1042" t="s">
        <v>7</v>
      </c>
      <c r="P51" s="1042" t="s">
        <v>7</v>
      </c>
      <c r="Q51" s="1054">
        <v>1</v>
      </c>
      <c r="R51" s="1053" t="s">
        <v>1875</v>
      </c>
      <c r="S51" s="1125">
        <v>45685</v>
      </c>
      <c r="T51" s="1042">
        <v>100700</v>
      </c>
      <c r="U51" s="1042" t="s">
        <v>7</v>
      </c>
      <c r="V51" s="1025">
        <v>0</v>
      </c>
      <c r="W51" s="1042"/>
      <c r="X51" s="1042"/>
      <c r="Y51" s="1127"/>
      <c r="Z51" s="1128"/>
      <c r="AA51" s="1141"/>
    </row>
    <row r="52" spans="1:27" ht="15.6">
      <c r="A52" s="1042">
        <v>27</v>
      </c>
      <c r="B52" s="1125">
        <v>45688</v>
      </c>
      <c r="C52" s="1140" t="s">
        <v>1870</v>
      </c>
      <c r="D52" s="1140" t="s">
        <v>1777</v>
      </c>
      <c r="E52" s="1140" t="s">
        <v>1730</v>
      </c>
      <c r="F52" s="1140" t="s">
        <v>1871</v>
      </c>
      <c r="G52" s="1140">
        <v>9099031719</v>
      </c>
      <c r="H52" s="1132" t="s">
        <v>1872</v>
      </c>
      <c r="I52" s="1140" t="s">
        <v>1873</v>
      </c>
      <c r="J52" s="1041" t="s">
        <v>75</v>
      </c>
      <c r="K52" s="1041" t="s">
        <v>157</v>
      </c>
      <c r="L52" s="1140" t="s">
        <v>1876</v>
      </c>
      <c r="M52" s="1154">
        <v>45688</v>
      </c>
      <c r="N52" s="1042">
        <v>302490</v>
      </c>
      <c r="O52" s="1042" t="s">
        <v>7</v>
      </c>
      <c r="P52" s="1042" t="s">
        <v>18</v>
      </c>
      <c r="Q52" s="1054">
        <v>1</v>
      </c>
      <c r="R52" s="1053" t="s">
        <v>1877</v>
      </c>
      <c r="S52" s="1125">
        <v>45749</v>
      </c>
      <c r="T52" s="1042">
        <v>287365</v>
      </c>
      <c r="U52" s="1042" t="s">
        <v>18</v>
      </c>
      <c r="V52" s="1025">
        <v>0</v>
      </c>
      <c r="W52" s="1042"/>
      <c r="X52" s="1042"/>
      <c r="Y52" s="1134">
        <v>45993</v>
      </c>
      <c r="Z52" s="1128"/>
      <c r="AA52" s="1141"/>
    </row>
    <row r="53" spans="1:27" ht="15.6">
      <c r="A53" s="1042">
        <v>28</v>
      </c>
      <c r="B53" s="1125">
        <v>45932</v>
      </c>
      <c r="C53" s="1140" t="s">
        <v>1878</v>
      </c>
      <c r="D53" s="1140" t="s">
        <v>1879</v>
      </c>
      <c r="E53" s="1140" t="s">
        <v>277</v>
      </c>
      <c r="F53" s="1140" t="s">
        <v>1880</v>
      </c>
      <c r="G53" s="1140">
        <v>9414738104</v>
      </c>
      <c r="H53" s="1132" t="s">
        <v>1881</v>
      </c>
      <c r="I53" s="1140" t="s">
        <v>1882</v>
      </c>
      <c r="J53" s="1041" t="s">
        <v>73</v>
      </c>
      <c r="K53" s="1041" t="s">
        <v>138</v>
      </c>
      <c r="L53" s="1140" t="s">
        <v>1883</v>
      </c>
      <c r="M53" s="1154" t="s">
        <v>1884</v>
      </c>
      <c r="N53" s="1042">
        <v>83200</v>
      </c>
      <c r="O53" s="1042" t="s">
        <v>28</v>
      </c>
      <c r="P53" s="1042" t="s">
        <v>28</v>
      </c>
      <c r="Q53" s="1054">
        <v>1</v>
      </c>
      <c r="R53" s="1053">
        <v>2102500018</v>
      </c>
      <c r="S53" s="1125">
        <v>45692</v>
      </c>
      <c r="T53" s="1042">
        <v>83200</v>
      </c>
      <c r="U53" s="1042" t="s">
        <v>28</v>
      </c>
      <c r="V53" s="1025">
        <f>Table62689345679[[#This Row],[Offer Value]]-Table62689345679[[#This Row],[PO Value]]</f>
        <v>0</v>
      </c>
      <c r="W53" s="1042"/>
      <c r="X53" s="1042"/>
      <c r="Y53" s="1134"/>
      <c r="Z53" s="1128"/>
      <c r="AA53" s="1141"/>
    </row>
    <row r="54" spans="1:27" ht="15.6">
      <c r="A54" s="1042"/>
      <c r="B54" s="1125"/>
      <c r="C54" s="1140" t="s">
        <v>1878</v>
      </c>
      <c r="D54" s="1140" t="s">
        <v>1879</v>
      </c>
      <c r="E54" s="1140" t="s">
        <v>277</v>
      </c>
      <c r="F54" s="1140" t="s">
        <v>1880</v>
      </c>
      <c r="G54" s="1140">
        <v>9414738104</v>
      </c>
      <c r="H54" s="1132" t="s">
        <v>1881</v>
      </c>
      <c r="I54" s="1140" t="s">
        <v>1885</v>
      </c>
      <c r="J54" s="1041" t="s">
        <v>73</v>
      </c>
      <c r="K54" s="1041" t="s">
        <v>138</v>
      </c>
      <c r="L54" s="1140" t="s">
        <v>1883</v>
      </c>
      <c r="M54" s="1154" t="s">
        <v>1884</v>
      </c>
      <c r="N54" s="1042">
        <v>83200</v>
      </c>
      <c r="O54" s="1042" t="s">
        <v>28</v>
      </c>
      <c r="P54" s="1042" t="s">
        <v>28</v>
      </c>
      <c r="Q54" s="1054">
        <v>1</v>
      </c>
      <c r="R54" s="1053">
        <v>2102500018</v>
      </c>
      <c r="S54" s="1125">
        <v>45692</v>
      </c>
      <c r="T54" s="1042">
        <v>83200</v>
      </c>
      <c r="U54" s="1042" t="s">
        <v>28</v>
      </c>
      <c r="V54" s="1025">
        <f>Table62689345679[[#This Row],[Offer Value]]-Table62689345679[[#This Row],[PO Value]]</f>
        <v>0</v>
      </c>
      <c r="W54" s="1042"/>
      <c r="X54" s="1042"/>
      <c r="Y54" s="1134"/>
      <c r="Z54" s="1128"/>
      <c r="AA54" s="1141"/>
    </row>
    <row r="55" spans="1:27" ht="15.6">
      <c r="A55" s="1042"/>
      <c r="B55" s="1125"/>
      <c r="C55" s="1140" t="s">
        <v>1878</v>
      </c>
      <c r="D55" s="1140" t="s">
        <v>1879</v>
      </c>
      <c r="E55" s="1140" t="s">
        <v>277</v>
      </c>
      <c r="F55" s="1140" t="s">
        <v>1880</v>
      </c>
      <c r="G55" s="1140">
        <v>9414738104</v>
      </c>
      <c r="H55" s="1132" t="s">
        <v>1881</v>
      </c>
      <c r="I55" s="1140" t="s">
        <v>1886</v>
      </c>
      <c r="J55" s="1041" t="s">
        <v>73</v>
      </c>
      <c r="K55" s="1041" t="s">
        <v>138</v>
      </c>
      <c r="L55" s="1140" t="s">
        <v>1883</v>
      </c>
      <c r="M55" s="1154" t="s">
        <v>1884</v>
      </c>
      <c r="N55" s="1042">
        <v>83200</v>
      </c>
      <c r="O55" s="1042" t="s">
        <v>28</v>
      </c>
      <c r="P55" s="1042" t="s">
        <v>28</v>
      </c>
      <c r="Q55" s="1054">
        <v>1</v>
      </c>
      <c r="R55" s="1053">
        <v>2102500018</v>
      </c>
      <c r="S55" s="1125">
        <v>45692</v>
      </c>
      <c r="T55" s="1042">
        <v>83200</v>
      </c>
      <c r="U55" s="1042" t="s">
        <v>28</v>
      </c>
      <c r="V55" s="1025">
        <f>Table62689345679[[#This Row],[Offer Value]]-Table62689345679[[#This Row],[PO Value]]</f>
        <v>0</v>
      </c>
      <c r="W55" s="1042"/>
      <c r="X55" s="1042"/>
      <c r="Y55" s="1134"/>
      <c r="Z55" s="1128"/>
      <c r="AA55" s="1141"/>
    </row>
    <row r="56" spans="1:27" ht="15.6">
      <c r="A56" s="1042"/>
      <c r="B56" s="1125"/>
      <c r="C56" s="1140" t="s">
        <v>1878</v>
      </c>
      <c r="D56" s="1140" t="s">
        <v>1879</v>
      </c>
      <c r="E56" s="1140" t="s">
        <v>277</v>
      </c>
      <c r="F56" s="1140" t="s">
        <v>1880</v>
      </c>
      <c r="G56" s="1140">
        <v>9414738104</v>
      </c>
      <c r="H56" s="1132" t="s">
        <v>1881</v>
      </c>
      <c r="I56" s="1140" t="s">
        <v>1887</v>
      </c>
      <c r="J56" s="1041" t="s">
        <v>73</v>
      </c>
      <c r="K56" s="1041" t="s">
        <v>138</v>
      </c>
      <c r="L56" s="1140" t="s">
        <v>1883</v>
      </c>
      <c r="M56" s="1154" t="s">
        <v>1884</v>
      </c>
      <c r="N56" s="1042">
        <v>83200</v>
      </c>
      <c r="O56" s="1042" t="s">
        <v>28</v>
      </c>
      <c r="P56" s="1042" t="s">
        <v>28</v>
      </c>
      <c r="Q56" s="1054">
        <v>1</v>
      </c>
      <c r="R56" s="1053">
        <v>2102500018</v>
      </c>
      <c r="S56" s="1125">
        <v>45692</v>
      </c>
      <c r="T56" s="1042">
        <v>83200</v>
      </c>
      <c r="U56" s="1042" t="s">
        <v>28</v>
      </c>
      <c r="V56" s="1025">
        <f>Table62689345679[[#This Row],[Offer Value]]-Table62689345679[[#This Row],[PO Value]]</f>
        <v>0</v>
      </c>
      <c r="W56" s="1042"/>
      <c r="X56" s="1042"/>
      <c r="Y56" s="1134"/>
      <c r="Z56" s="1128"/>
      <c r="AA56" s="1141"/>
    </row>
    <row r="57" spans="1:27" ht="15.6">
      <c r="A57" s="1042">
        <v>29</v>
      </c>
      <c r="B57" s="1125">
        <v>45932</v>
      </c>
      <c r="C57" s="1120" t="s">
        <v>711</v>
      </c>
      <c r="D57" s="1120" t="s">
        <v>1888</v>
      </c>
      <c r="E57" s="1120" t="s">
        <v>1889</v>
      </c>
      <c r="F57" s="1120" t="s">
        <v>1890</v>
      </c>
      <c r="G57" s="1120">
        <v>9099974577</v>
      </c>
      <c r="H57" s="1132" t="s">
        <v>1891</v>
      </c>
      <c r="I57" s="1120" t="s">
        <v>1892</v>
      </c>
      <c r="J57" s="1041" t="s">
        <v>73</v>
      </c>
      <c r="K57" s="1041" t="s">
        <v>138</v>
      </c>
      <c r="L57" s="1140" t="s">
        <v>1893</v>
      </c>
      <c r="M57" s="1154">
        <v>45932</v>
      </c>
      <c r="N57" s="1042">
        <v>58000</v>
      </c>
      <c r="O57" s="1042" t="s">
        <v>18</v>
      </c>
      <c r="P57" s="1042" t="s">
        <v>18</v>
      </c>
      <c r="Q57" s="1054">
        <v>1</v>
      </c>
      <c r="R57" s="1053">
        <v>3001027074</v>
      </c>
      <c r="S57" s="1125" t="s">
        <v>1894</v>
      </c>
      <c r="T57" s="1042">
        <v>58000</v>
      </c>
      <c r="U57" s="1042" t="s">
        <v>18</v>
      </c>
      <c r="V57" s="1025">
        <f>Table62689345679[[#This Row],[Offer Value]]-Table62689345679[[#This Row],[PO Value]]</f>
        <v>0</v>
      </c>
      <c r="W57" s="1042"/>
      <c r="X57" s="1042"/>
      <c r="Y57" s="1127"/>
      <c r="Z57" s="1128"/>
      <c r="AA57" s="1129"/>
    </row>
    <row r="58" spans="1:27" ht="15.6">
      <c r="A58" s="1042"/>
      <c r="B58" s="1125"/>
      <c r="C58" s="1120" t="s">
        <v>711</v>
      </c>
      <c r="D58" s="1120" t="s">
        <v>1888</v>
      </c>
      <c r="E58" s="1120" t="s">
        <v>1889</v>
      </c>
      <c r="F58" s="1120" t="s">
        <v>1890</v>
      </c>
      <c r="G58" s="1120">
        <v>9099974577</v>
      </c>
      <c r="H58" s="1132" t="s">
        <v>1891</v>
      </c>
      <c r="I58" s="1120" t="s">
        <v>1895</v>
      </c>
      <c r="J58" s="1041" t="s">
        <v>73</v>
      </c>
      <c r="K58" s="1041" t="s">
        <v>138</v>
      </c>
      <c r="L58" s="1140" t="s">
        <v>1893</v>
      </c>
      <c r="M58" s="1154">
        <v>45932</v>
      </c>
      <c r="N58" s="1042">
        <v>58000</v>
      </c>
      <c r="O58" s="1042" t="s">
        <v>18</v>
      </c>
      <c r="P58" s="1042" t="s">
        <v>18</v>
      </c>
      <c r="Q58" s="1054">
        <v>1</v>
      </c>
      <c r="R58" s="1053">
        <v>3001027074</v>
      </c>
      <c r="S58" s="1125" t="s">
        <v>1894</v>
      </c>
      <c r="T58" s="1042">
        <v>58000</v>
      </c>
      <c r="U58" s="1042" t="s">
        <v>18</v>
      </c>
      <c r="V58" s="1025">
        <f>Table62689345679[[#This Row],[Offer Value]]-Table62689345679[[#This Row],[PO Value]]</f>
        <v>0</v>
      </c>
      <c r="W58" s="1042"/>
      <c r="X58" s="1042"/>
      <c r="Y58" s="1134"/>
      <c r="Z58" s="1128"/>
      <c r="AA58" s="1141"/>
    </row>
    <row r="59" spans="1:27" ht="15.6">
      <c r="A59" s="1042"/>
      <c r="B59" s="1125"/>
      <c r="C59" s="1120" t="s">
        <v>711</v>
      </c>
      <c r="D59" s="1120" t="s">
        <v>1888</v>
      </c>
      <c r="E59" s="1120" t="s">
        <v>1889</v>
      </c>
      <c r="F59" s="1120" t="s">
        <v>1890</v>
      </c>
      <c r="G59" s="1120">
        <v>9099974577</v>
      </c>
      <c r="H59" s="1132" t="s">
        <v>1891</v>
      </c>
      <c r="I59" s="1120" t="s">
        <v>1896</v>
      </c>
      <c r="J59" s="1041" t="s">
        <v>73</v>
      </c>
      <c r="K59" s="1041" t="s">
        <v>138</v>
      </c>
      <c r="L59" s="1140" t="s">
        <v>1893</v>
      </c>
      <c r="M59" s="1154">
        <v>45932</v>
      </c>
      <c r="N59" s="1042">
        <v>58000</v>
      </c>
      <c r="O59" s="1042" t="s">
        <v>18</v>
      </c>
      <c r="P59" s="1042" t="s">
        <v>18</v>
      </c>
      <c r="Q59" s="1054">
        <v>1</v>
      </c>
      <c r="R59" s="1053">
        <v>3001027074</v>
      </c>
      <c r="S59" s="1125" t="s">
        <v>1894</v>
      </c>
      <c r="T59" s="1042">
        <v>58000</v>
      </c>
      <c r="U59" s="1042" t="s">
        <v>18</v>
      </c>
      <c r="V59" s="1025">
        <f>Table62689345679[[#This Row],[Offer Value]]-Table62689345679[[#This Row],[PO Value]]</f>
        <v>0</v>
      </c>
      <c r="W59" s="1042"/>
      <c r="X59" s="1042"/>
      <c r="Y59" s="1134"/>
      <c r="Z59" s="1128"/>
      <c r="AA59" s="1141"/>
    </row>
    <row r="60" spans="1:27" ht="15.6">
      <c r="A60" s="1042"/>
      <c r="B60" s="1125"/>
      <c r="C60" s="1120" t="s">
        <v>711</v>
      </c>
      <c r="D60" s="1120" t="s">
        <v>1888</v>
      </c>
      <c r="E60" s="1120" t="s">
        <v>1889</v>
      </c>
      <c r="F60" s="1120" t="s">
        <v>1890</v>
      </c>
      <c r="G60" s="1120">
        <v>9099974577</v>
      </c>
      <c r="H60" s="1132" t="s">
        <v>1891</v>
      </c>
      <c r="I60" s="1120" t="s">
        <v>1897</v>
      </c>
      <c r="J60" s="1041" t="s">
        <v>73</v>
      </c>
      <c r="K60" s="1041" t="s">
        <v>138</v>
      </c>
      <c r="L60" s="1140" t="s">
        <v>1893</v>
      </c>
      <c r="M60" s="1154">
        <v>45932</v>
      </c>
      <c r="N60" s="1042">
        <v>58000</v>
      </c>
      <c r="O60" s="1042" t="s">
        <v>18</v>
      </c>
      <c r="P60" s="1042" t="s">
        <v>18</v>
      </c>
      <c r="Q60" s="1054">
        <v>1</v>
      </c>
      <c r="R60" s="1053">
        <v>3001027074</v>
      </c>
      <c r="S60" s="1125" t="s">
        <v>1894</v>
      </c>
      <c r="T60" s="1042">
        <v>58000</v>
      </c>
      <c r="U60" s="1042" t="s">
        <v>18</v>
      </c>
      <c r="V60" s="1025">
        <f>Table62689345679[[#This Row],[Offer Value]]-Table62689345679[[#This Row],[PO Value]]</f>
        <v>0</v>
      </c>
      <c r="W60" s="1042"/>
      <c r="X60" s="1042"/>
      <c r="Y60" s="1134"/>
      <c r="Z60" s="1128"/>
      <c r="AA60" s="1129"/>
    </row>
    <row r="61" spans="1:27" ht="15.6">
      <c r="A61" s="1042"/>
      <c r="B61" s="1125"/>
      <c r="C61" s="1120" t="s">
        <v>711</v>
      </c>
      <c r="D61" s="1120" t="s">
        <v>1888</v>
      </c>
      <c r="E61" s="1120" t="s">
        <v>1889</v>
      </c>
      <c r="F61" s="1120" t="s">
        <v>1890</v>
      </c>
      <c r="G61" s="1120">
        <v>9099974577</v>
      </c>
      <c r="H61" s="1132" t="s">
        <v>1891</v>
      </c>
      <c r="I61" s="1120" t="s">
        <v>1898</v>
      </c>
      <c r="J61" s="1041" t="s">
        <v>73</v>
      </c>
      <c r="K61" s="1041" t="s">
        <v>138</v>
      </c>
      <c r="L61" s="1140" t="s">
        <v>1893</v>
      </c>
      <c r="M61" s="1154">
        <v>45932</v>
      </c>
      <c r="N61" s="1042">
        <v>58000</v>
      </c>
      <c r="O61" s="1042" t="s">
        <v>18</v>
      </c>
      <c r="P61" s="1042" t="s">
        <v>18</v>
      </c>
      <c r="Q61" s="1054">
        <v>1</v>
      </c>
      <c r="R61" s="1053">
        <v>3001027074</v>
      </c>
      <c r="S61" s="1125" t="s">
        <v>1894</v>
      </c>
      <c r="T61" s="1042">
        <v>58000</v>
      </c>
      <c r="U61" s="1042" t="s">
        <v>18</v>
      </c>
      <c r="V61" s="1025">
        <f>Table62689345679[[#This Row],[Offer Value]]-Table62689345679[[#This Row],[PO Value]]</f>
        <v>0</v>
      </c>
      <c r="W61" s="1042"/>
      <c r="X61" s="1042"/>
      <c r="Y61" s="1134"/>
      <c r="Z61" s="1128"/>
      <c r="AA61" s="1129"/>
    </row>
    <row r="62" spans="1:27" ht="15.6">
      <c r="A62" s="1042">
        <v>30</v>
      </c>
      <c r="B62" s="1125" t="s">
        <v>1899</v>
      </c>
      <c r="C62" s="1120" t="s">
        <v>1878</v>
      </c>
      <c r="D62" s="1120" t="s">
        <v>1879</v>
      </c>
      <c r="E62" s="1120" t="s">
        <v>1900</v>
      </c>
      <c r="F62" s="1120" t="s">
        <v>1901</v>
      </c>
      <c r="G62" s="1120">
        <v>9355229233</v>
      </c>
      <c r="H62" s="1132" t="s">
        <v>1902</v>
      </c>
      <c r="I62" s="1120" t="s">
        <v>1903</v>
      </c>
      <c r="J62" s="1041" t="s">
        <v>73</v>
      </c>
      <c r="K62" s="1041" t="s">
        <v>138</v>
      </c>
      <c r="L62" s="1140" t="s">
        <v>1904</v>
      </c>
      <c r="M62" s="1154" t="s">
        <v>1884</v>
      </c>
      <c r="N62" s="1042">
        <v>67600</v>
      </c>
      <c r="O62" s="1042" t="s">
        <v>28</v>
      </c>
      <c r="P62" s="1042" t="s">
        <v>28</v>
      </c>
      <c r="Q62" s="1054">
        <v>1</v>
      </c>
      <c r="R62" s="1053">
        <v>2102500206</v>
      </c>
      <c r="S62" s="1125">
        <v>45965</v>
      </c>
      <c r="T62" s="1042">
        <v>67600</v>
      </c>
      <c r="U62" s="1042" t="s">
        <v>28</v>
      </c>
      <c r="V62" s="1025">
        <f>Table62689345679[[#This Row],[Offer Value]]-Table62689345679[[#This Row],[PO Value]]</f>
        <v>0</v>
      </c>
      <c r="W62" s="1042"/>
      <c r="X62" s="1042"/>
      <c r="Y62" s="1134"/>
      <c r="Z62" s="1128"/>
      <c r="AA62" s="1129"/>
    </row>
    <row r="63" spans="1:27" ht="15.6">
      <c r="A63" s="1042"/>
      <c r="B63" s="1125"/>
      <c r="C63" s="1120" t="s">
        <v>1878</v>
      </c>
      <c r="D63" s="1120" t="s">
        <v>1879</v>
      </c>
      <c r="E63" s="1120" t="s">
        <v>1900</v>
      </c>
      <c r="F63" s="1120" t="s">
        <v>1901</v>
      </c>
      <c r="G63" s="1120">
        <v>9355229233</v>
      </c>
      <c r="H63" s="1132" t="s">
        <v>1902</v>
      </c>
      <c r="I63" s="1120" t="s">
        <v>1905</v>
      </c>
      <c r="J63" s="1041" t="s">
        <v>73</v>
      </c>
      <c r="K63" s="1041" t="s">
        <v>138</v>
      </c>
      <c r="L63" s="1140" t="s">
        <v>1904</v>
      </c>
      <c r="M63" s="1154" t="s">
        <v>1884</v>
      </c>
      <c r="N63" s="1042">
        <v>67600</v>
      </c>
      <c r="O63" s="1042" t="s">
        <v>28</v>
      </c>
      <c r="P63" s="1042" t="s">
        <v>28</v>
      </c>
      <c r="Q63" s="1054">
        <v>1</v>
      </c>
      <c r="R63" s="1053">
        <v>2102500206</v>
      </c>
      <c r="S63" s="1125">
        <v>45965</v>
      </c>
      <c r="T63" s="1042">
        <v>67600</v>
      </c>
      <c r="U63" s="1042" t="s">
        <v>28</v>
      </c>
      <c r="V63" s="1025">
        <f>Table62689345679[[#This Row],[Offer Value]]-Table62689345679[[#This Row],[PO Value]]</f>
        <v>0</v>
      </c>
      <c r="W63" s="1042"/>
      <c r="X63" s="1042"/>
      <c r="Y63" s="1134"/>
      <c r="Z63" s="1128"/>
      <c r="AA63" s="1129"/>
    </row>
    <row r="64" spans="1:27" ht="15.6">
      <c r="A64" s="1042"/>
      <c r="B64" s="1125"/>
      <c r="C64" s="1120" t="s">
        <v>1878</v>
      </c>
      <c r="D64" s="1120" t="s">
        <v>1879</v>
      </c>
      <c r="E64" s="1120" t="s">
        <v>1900</v>
      </c>
      <c r="F64" s="1120" t="s">
        <v>1901</v>
      </c>
      <c r="G64" s="1120">
        <v>9355229233</v>
      </c>
      <c r="H64" s="1132" t="s">
        <v>1902</v>
      </c>
      <c r="I64" s="1120" t="s">
        <v>1906</v>
      </c>
      <c r="J64" s="1041" t="s">
        <v>73</v>
      </c>
      <c r="K64" s="1041" t="s">
        <v>138</v>
      </c>
      <c r="L64" s="1140" t="s">
        <v>1904</v>
      </c>
      <c r="M64" s="1154" t="s">
        <v>1884</v>
      </c>
      <c r="N64" s="1042">
        <v>67600</v>
      </c>
      <c r="O64" s="1042" t="s">
        <v>28</v>
      </c>
      <c r="P64" s="1042" t="s">
        <v>28</v>
      </c>
      <c r="Q64" s="1054">
        <v>1</v>
      </c>
      <c r="R64" s="1053">
        <v>2102500206</v>
      </c>
      <c r="S64" s="1125">
        <v>45965</v>
      </c>
      <c r="T64" s="1042">
        <v>67600</v>
      </c>
      <c r="U64" s="1042" t="s">
        <v>28</v>
      </c>
      <c r="V64" s="1025">
        <f>Table62689345679[[#This Row],[Offer Value]]-Table62689345679[[#This Row],[PO Value]]</f>
        <v>0</v>
      </c>
      <c r="W64" s="1042"/>
      <c r="X64" s="1042"/>
      <c r="Y64" s="1134"/>
      <c r="Z64" s="1128"/>
      <c r="AA64" s="1129"/>
    </row>
    <row r="65" spans="1:27" ht="15.6">
      <c r="A65" s="1042"/>
      <c r="B65" s="1125"/>
      <c r="C65" s="1120" t="s">
        <v>1878</v>
      </c>
      <c r="D65" s="1120" t="s">
        <v>1879</v>
      </c>
      <c r="E65" s="1120" t="s">
        <v>1900</v>
      </c>
      <c r="F65" s="1120" t="s">
        <v>1901</v>
      </c>
      <c r="G65" s="1120">
        <v>9355229233</v>
      </c>
      <c r="H65" s="1132" t="s">
        <v>1902</v>
      </c>
      <c r="I65" s="1120" t="s">
        <v>1907</v>
      </c>
      <c r="J65" s="1041" t="s">
        <v>73</v>
      </c>
      <c r="K65" s="1041" t="s">
        <v>138</v>
      </c>
      <c r="L65" s="1140" t="s">
        <v>1904</v>
      </c>
      <c r="M65" s="1154" t="s">
        <v>1884</v>
      </c>
      <c r="N65" s="1042">
        <v>67600</v>
      </c>
      <c r="O65" s="1042" t="s">
        <v>28</v>
      </c>
      <c r="P65" s="1042" t="s">
        <v>28</v>
      </c>
      <c r="Q65" s="1054">
        <v>1</v>
      </c>
      <c r="R65" s="1053">
        <v>2102500206</v>
      </c>
      <c r="S65" s="1125">
        <v>45965</v>
      </c>
      <c r="T65" s="1042">
        <v>67600</v>
      </c>
      <c r="U65" s="1042" t="s">
        <v>28</v>
      </c>
      <c r="V65" s="1025">
        <f>Table62689345679[[#This Row],[Offer Value]]-Table62689345679[[#This Row],[PO Value]]</f>
        <v>0</v>
      </c>
      <c r="W65" s="1042"/>
      <c r="X65" s="1042"/>
      <c r="Y65" s="1134"/>
      <c r="Z65" s="1128"/>
      <c r="AA65" s="1129"/>
    </row>
    <row r="66" spans="1:27" ht="15.6">
      <c r="A66" s="1042">
        <v>31</v>
      </c>
      <c r="B66" s="1125" t="s">
        <v>1899</v>
      </c>
      <c r="C66" s="1120" t="s">
        <v>1878</v>
      </c>
      <c r="D66" s="1120" t="s">
        <v>1777</v>
      </c>
      <c r="E66" s="1120" t="s">
        <v>873</v>
      </c>
      <c r="F66" s="1120" t="s">
        <v>1908</v>
      </c>
      <c r="G66" s="1120" t="s">
        <v>1909</v>
      </c>
      <c r="H66" s="1132" t="s">
        <v>1910</v>
      </c>
      <c r="I66" s="1120" t="s">
        <v>1911</v>
      </c>
      <c r="J66" s="1041" t="s">
        <v>73</v>
      </c>
      <c r="K66" s="1041" t="s">
        <v>138</v>
      </c>
      <c r="L66" s="1140" t="s">
        <v>1912</v>
      </c>
      <c r="M66" s="1154" t="s">
        <v>1884</v>
      </c>
      <c r="N66" s="1042">
        <v>83200</v>
      </c>
      <c r="O66" s="1042" t="s">
        <v>28</v>
      </c>
      <c r="P66" s="1042" t="s">
        <v>28</v>
      </c>
      <c r="Q66" s="1054">
        <v>1</v>
      </c>
      <c r="R66" s="1053">
        <v>3102500128</v>
      </c>
      <c r="S66" s="1125" t="s">
        <v>1913</v>
      </c>
      <c r="T66" s="1042">
        <v>83200</v>
      </c>
      <c r="U66" s="1042" t="s">
        <v>28</v>
      </c>
      <c r="V66" s="1025">
        <f>Table62689345679[[#This Row],[Offer Value]]-Table62689345679[[#This Row],[PO Value]]</f>
        <v>0</v>
      </c>
      <c r="W66" s="1042"/>
      <c r="X66" s="1042"/>
      <c r="Y66" s="1134"/>
      <c r="Z66" s="1128"/>
      <c r="AA66" s="1129"/>
    </row>
    <row r="67" spans="1:27" ht="15.6">
      <c r="A67" s="1042"/>
      <c r="B67" s="1125"/>
      <c r="C67" s="1120" t="s">
        <v>1878</v>
      </c>
      <c r="D67" s="1120" t="s">
        <v>1777</v>
      </c>
      <c r="E67" s="1120" t="s">
        <v>873</v>
      </c>
      <c r="F67" s="1120" t="s">
        <v>1908</v>
      </c>
      <c r="G67" s="1120" t="s">
        <v>1909</v>
      </c>
      <c r="H67" s="1132" t="s">
        <v>1910</v>
      </c>
      <c r="I67" s="1120" t="s">
        <v>1914</v>
      </c>
      <c r="J67" s="1041" t="s">
        <v>73</v>
      </c>
      <c r="K67" s="1041" t="s">
        <v>138</v>
      </c>
      <c r="L67" s="1140" t="s">
        <v>1912</v>
      </c>
      <c r="M67" s="1154" t="s">
        <v>1884</v>
      </c>
      <c r="N67" s="1042">
        <v>83200</v>
      </c>
      <c r="O67" s="1042" t="s">
        <v>28</v>
      </c>
      <c r="P67" s="1042" t="s">
        <v>28</v>
      </c>
      <c r="Q67" s="1054">
        <v>1</v>
      </c>
      <c r="R67" s="1053">
        <v>3102500128</v>
      </c>
      <c r="S67" s="1125" t="s">
        <v>1913</v>
      </c>
      <c r="T67" s="1042">
        <v>83200</v>
      </c>
      <c r="U67" s="1042" t="s">
        <v>28</v>
      </c>
      <c r="V67" s="1025">
        <f>Table62689345679[[#This Row],[Offer Value]]-Table62689345679[[#This Row],[PO Value]]</f>
        <v>0</v>
      </c>
      <c r="W67" s="1042"/>
      <c r="X67" s="1042"/>
      <c r="Y67" s="1134"/>
      <c r="Z67" s="1128"/>
      <c r="AA67" s="1129"/>
    </row>
    <row r="68" spans="1:27" ht="15.6">
      <c r="A68" s="1042"/>
      <c r="B68" s="1125"/>
      <c r="C68" s="1120" t="s">
        <v>1878</v>
      </c>
      <c r="D68" s="1120" t="s">
        <v>1777</v>
      </c>
      <c r="E68" s="1120" t="s">
        <v>873</v>
      </c>
      <c r="F68" s="1120" t="s">
        <v>1908</v>
      </c>
      <c r="G68" s="1120" t="s">
        <v>1909</v>
      </c>
      <c r="H68" s="1132" t="s">
        <v>1910</v>
      </c>
      <c r="I68" s="1120" t="s">
        <v>1915</v>
      </c>
      <c r="J68" s="1041" t="s">
        <v>73</v>
      </c>
      <c r="K68" s="1041" t="s">
        <v>138</v>
      </c>
      <c r="L68" s="1140" t="s">
        <v>1912</v>
      </c>
      <c r="M68" s="1154" t="s">
        <v>1884</v>
      </c>
      <c r="N68" s="1042">
        <v>83200</v>
      </c>
      <c r="O68" s="1042" t="s">
        <v>28</v>
      </c>
      <c r="P68" s="1042" t="s">
        <v>28</v>
      </c>
      <c r="Q68" s="1054">
        <v>1</v>
      </c>
      <c r="R68" s="1053">
        <v>3102500128</v>
      </c>
      <c r="S68" s="1125" t="s">
        <v>1913</v>
      </c>
      <c r="T68" s="1042">
        <v>83200</v>
      </c>
      <c r="U68" s="1042" t="s">
        <v>28</v>
      </c>
      <c r="V68" s="1025">
        <f>Table62689345679[[#This Row],[Offer Value]]-Table62689345679[[#This Row],[PO Value]]</f>
        <v>0</v>
      </c>
      <c r="W68" s="1042"/>
      <c r="X68" s="1042"/>
      <c r="Y68" s="1134"/>
      <c r="Z68" s="1128"/>
      <c r="AA68" s="1129"/>
    </row>
    <row r="69" spans="1:27" ht="15.6">
      <c r="A69" s="1042"/>
      <c r="B69" s="1125"/>
      <c r="C69" s="1120" t="s">
        <v>1878</v>
      </c>
      <c r="D69" s="1120" t="s">
        <v>1777</v>
      </c>
      <c r="E69" s="1120" t="s">
        <v>873</v>
      </c>
      <c r="F69" s="1120" t="s">
        <v>1908</v>
      </c>
      <c r="G69" s="1120" t="s">
        <v>1909</v>
      </c>
      <c r="H69" s="1132" t="s">
        <v>1910</v>
      </c>
      <c r="I69" s="1120" t="s">
        <v>1916</v>
      </c>
      <c r="J69" s="1041" t="s">
        <v>73</v>
      </c>
      <c r="K69" s="1041" t="s">
        <v>138</v>
      </c>
      <c r="L69" s="1140" t="s">
        <v>1912</v>
      </c>
      <c r="M69" s="1154" t="s">
        <v>1884</v>
      </c>
      <c r="N69" s="1042">
        <v>83200</v>
      </c>
      <c r="O69" s="1042" t="s">
        <v>28</v>
      </c>
      <c r="P69" s="1042" t="s">
        <v>28</v>
      </c>
      <c r="Q69" s="1054">
        <v>1</v>
      </c>
      <c r="R69" s="1053">
        <v>3102500128</v>
      </c>
      <c r="S69" s="1125" t="s">
        <v>1913</v>
      </c>
      <c r="T69" s="1042">
        <v>83200</v>
      </c>
      <c r="U69" s="1042" t="s">
        <v>28</v>
      </c>
      <c r="V69" s="1025">
        <f>Table62689345679[[#This Row],[Offer Value]]-Table62689345679[[#This Row],[PO Value]]</f>
        <v>0</v>
      </c>
      <c r="W69" s="1042"/>
      <c r="X69" s="1042"/>
      <c r="Y69" s="1134"/>
      <c r="Z69" s="1128"/>
      <c r="AA69" s="1129"/>
    </row>
    <row r="70" spans="1:27" ht="15.6">
      <c r="A70" s="1042"/>
      <c r="B70" s="1125"/>
      <c r="C70" s="1120" t="s">
        <v>1878</v>
      </c>
      <c r="D70" s="1120" t="s">
        <v>1777</v>
      </c>
      <c r="E70" s="1120" t="s">
        <v>873</v>
      </c>
      <c r="F70" s="1120" t="s">
        <v>1908</v>
      </c>
      <c r="G70" s="1120" t="s">
        <v>1909</v>
      </c>
      <c r="H70" s="1132" t="s">
        <v>1910</v>
      </c>
      <c r="I70" s="1120" t="s">
        <v>1917</v>
      </c>
      <c r="J70" s="1041" t="s">
        <v>73</v>
      </c>
      <c r="K70" s="1041" t="s">
        <v>138</v>
      </c>
      <c r="L70" s="1140" t="s">
        <v>1912</v>
      </c>
      <c r="M70" s="1154" t="s">
        <v>1884</v>
      </c>
      <c r="N70" s="1042">
        <v>67600</v>
      </c>
      <c r="O70" s="1042" t="s">
        <v>28</v>
      </c>
      <c r="P70" s="1042" t="s">
        <v>28</v>
      </c>
      <c r="Q70" s="1054">
        <v>1</v>
      </c>
      <c r="R70" s="1053">
        <v>3102500128</v>
      </c>
      <c r="S70" s="1125" t="s">
        <v>1913</v>
      </c>
      <c r="T70" s="1042">
        <v>67600</v>
      </c>
      <c r="U70" s="1042" t="s">
        <v>28</v>
      </c>
      <c r="V70" s="1025">
        <f>Table62689345679[[#This Row],[Offer Value]]-Table62689345679[[#This Row],[PO Value]]</f>
        <v>0</v>
      </c>
      <c r="W70" s="1042"/>
      <c r="X70" s="1042"/>
      <c r="Y70" s="1134"/>
      <c r="Z70" s="1128"/>
      <c r="AA70" s="1129"/>
    </row>
    <row r="71" spans="1:27" ht="15.6">
      <c r="A71" s="1042"/>
      <c r="B71" s="1125"/>
      <c r="C71" s="1120" t="s">
        <v>1878</v>
      </c>
      <c r="D71" s="1120" t="s">
        <v>1777</v>
      </c>
      <c r="E71" s="1120" t="s">
        <v>873</v>
      </c>
      <c r="F71" s="1120" t="s">
        <v>1908</v>
      </c>
      <c r="G71" s="1120" t="s">
        <v>1909</v>
      </c>
      <c r="H71" s="1132" t="s">
        <v>1910</v>
      </c>
      <c r="I71" s="1120" t="s">
        <v>1918</v>
      </c>
      <c r="J71" s="1041" t="s">
        <v>73</v>
      </c>
      <c r="K71" s="1041" t="s">
        <v>138</v>
      </c>
      <c r="L71" s="1140" t="s">
        <v>1912</v>
      </c>
      <c r="M71" s="1154" t="s">
        <v>1884</v>
      </c>
      <c r="N71" s="1042">
        <v>67600</v>
      </c>
      <c r="O71" s="1042" t="s">
        <v>28</v>
      </c>
      <c r="P71" s="1042" t="s">
        <v>28</v>
      </c>
      <c r="Q71" s="1054">
        <v>1</v>
      </c>
      <c r="R71" s="1053">
        <v>3102500128</v>
      </c>
      <c r="S71" s="1125" t="s">
        <v>1913</v>
      </c>
      <c r="T71" s="1042">
        <v>67600</v>
      </c>
      <c r="U71" s="1042" t="s">
        <v>28</v>
      </c>
      <c r="V71" s="1025">
        <f>Table62689345679[[#This Row],[Offer Value]]-Table62689345679[[#This Row],[PO Value]]</f>
        <v>0</v>
      </c>
      <c r="W71" s="1042"/>
      <c r="X71" s="1042"/>
      <c r="Y71" s="1134"/>
      <c r="Z71" s="1128"/>
      <c r="AA71" s="1129"/>
    </row>
    <row r="72" spans="1:27" ht="15.6">
      <c r="A72" s="1042">
        <v>32</v>
      </c>
      <c r="B72" s="1125">
        <v>45933</v>
      </c>
      <c r="C72" s="1120" t="s">
        <v>1855</v>
      </c>
      <c r="D72" s="1120" t="s">
        <v>1737</v>
      </c>
      <c r="E72" s="1120" t="s">
        <v>873</v>
      </c>
      <c r="F72" s="1120" t="s">
        <v>1919</v>
      </c>
      <c r="G72" s="1120">
        <v>8460155846</v>
      </c>
      <c r="H72" s="1132" t="s">
        <v>1920</v>
      </c>
      <c r="I72" s="1120" t="s">
        <v>1858</v>
      </c>
      <c r="J72" s="1041" t="s">
        <v>73</v>
      </c>
      <c r="K72" s="1041" t="s">
        <v>138</v>
      </c>
      <c r="L72" s="1140" t="s">
        <v>1921</v>
      </c>
      <c r="M72" s="1154">
        <v>45933</v>
      </c>
      <c r="N72" s="1042">
        <v>90000</v>
      </c>
      <c r="O72" s="1042" t="s">
        <v>25</v>
      </c>
      <c r="P72" s="1042" t="s">
        <v>28</v>
      </c>
      <c r="Q72" s="1054">
        <v>1</v>
      </c>
      <c r="R72" s="1053">
        <v>7000168921</v>
      </c>
      <c r="S72" s="1125" t="s">
        <v>1571</v>
      </c>
      <c r="T72" s="1042">
        <v>90000</v>
      </c>
      <c r="U72" s="1042" t="s">
        <v>28</v>
      </c>
      <c r="V72" s="1025">
        <f>Table62689345679[[#This Row],[Offer Value]]-Table62689345679[[#This Row],[PO Value]]</f>
        <v>0</v>
      </c>
      <c r="W72" s="1042"/>
      <c r="X72" s="1042"/>
      <c r="Y72" s="1134"/>
      <c r="Z72" s="1128"/>
      <c r="AA72" s="1129"/>
    </row>
    <row r="73" spans="1:27" ht="15.6">
      <c r="A73" s="1042"/>
      <c r="B73" s="1125"/>
      <c r="C73" s="1120" t="s">
        <v>1855</v>
      </c>
      <c r="D73" s="1120" t="s">
        <v>1737</v>
      </c>
      <c r="E73" s="1120" t="s">
        <v>873</v>
      </c>
      <c r="F73" s="1120" t="s">
        <v>1919</v>
      </c>
      <c r="G73" s="1120">
        <v>8460155846</v>
      </c>
      <c r="H73" s="1132" t="s">
        <v>1920</v>
      </c>
      <c r="I73" s="1120" t="s">
        <v>1922</v>
      </c>
      <c r="J73" s="1041" t="s">
        <v>73</v>
      </c>
      <c r="K73" s="1041" t="s">
        <v>138</v>
      </c>
      <c r="L73" s="1140" t="s">
        <v>1921</v>
      </c>
      <c r="M73" s="1154">
        <v>45933</v>
      </c>
      <c r="N73" s="1042">
        <v>90000</v>
      </c>
      <c r="O73" s="1042" t="s">
        <v>25</v>
      </c>
      <c r="P73" s="1042" t="s">
        <v>28</v>
      </c>
      <c r="Q73" s="1054">
        <v>1</v>
      </c>
      <c r="R73" s="1053">
        <v>7000168921</v>
      </c>
      <c r="S73" s="1125" t="s">
        <v>1571</v>
      </c>
      <c r="T73" s="1042">
        <v>90000</v>
      </c>
      <c r="U73" s="1042" t="s">
        <v>28</v>
      </c>
      <c r="V73" s="1025">
        <f>Table62689345679[[#This Row],[Offer Value]]-Table62689345679[[#This Row],[PO Value]]</f>
        <v>0</v>
      </c>
      <c r="W73" s="1042"/>
      <c r="X73" s="1042"/>
      <c r="Y73" s="1134"/>
      <c r="Z73" s="1128"/>
      <c r="AA73" s="1129"/>
    </row>
    <row r="74" spans="1:27" ht="15.6">
      <c r="A74" s="1042">
        <v>33</v>
      </c>
      <c r="B74" s="1125">
        <v>45933</v>
      </c>
      <c r="C74" s="1120" t="s">
        <v>1923</v>
      </c>
      <c r="D74" s="1120" t="s">
        <v>1924</v>
      </c>
      <c r="E74" s="1120" t="s">
        <v>873</v>
      </c>
      <c r="F74" s="1120" t="s">
        <v>1925</v>
      </c>
      <c r="G74" s="1120">
        <v>7507659412</v>
      </c>
      <c r="H74" s="1132" t="s">
        <v>1926</v>
      </c>
      <c r="I74" s="1120" t="s">
        <v>1927</v>
      </c>
      <c r="J74" s="1041" t="s">
        <v>73</v>
      </c>
      <c r="K74" s="1041" t="s">
        <v>138</v>
      </c>
      <c r="L74" s="1140" t="s">
        <v>1928</v>
      </c>
      <c r="M74" s="1154">
        <v>45933</v>
      </c>
      <c r="N74" s="1042">
        <v>84000</v>
      </c>
      <c r="O74" s="1042" t="s">
        <v>25</v>
      </c>
      <c r="P74" s="1042" t="s">
        <v>28</v>
      </c>
      <c r="Q74" s="1054">
        <v>1</v>
      </c>
      <c r="R74" s="1053">
        <v>7100337783</v>
      </c>
      <c r="S74" s="1125" t="s">
        <v>1929</v>
      </c>
      <c r="T74" s="1042">
        <v>84000</v>
      </c>
      <c r="U74" s="1042" t="s">
        <v>28</v>
      </c>
      <c r="V74" s="1025">
        <f>Table62689345679[[#This Row],[Offer Value]]-Table62689345679[[#This Row],[PO Value]]</f>
        <v>0</v>
      </c>
      <c r="W74" s="1042"/>
      <c r="X74" s="1042"/>
      <c r="Y74" s="1134"/>
      <c r="Z74" s="1128"/>
      <c r="AA74" s="1129"/>
    </row>
    <row r="75" spans="1:27" ht="15.6">
      <c r="A75" s="1042"/>
      <c r="B75" s="1125"/>
      <c r="C75" s="1120" t="s">
        <v>1923</v>
      </c>
      <c r="D75" s="1120" t="s">
        <v>1924</v>
      </c>
      <c r="E75" s="1120" t="s">
        <v>873</v>
      </c>
      <c r="F75" s="1120" t="s">
        <v>1925</v>
      </c>
      <c r="G75" s="1120">
        <v>7507659412</v>
      </c>
      <c r="H75" s="1132" t="s">
        <v>1926</v>
      </c>
      <c r="I75" s="1120" t="s">
        <v>1930</v>
      </c>
      <c r="J75" s="1041" t="s">
        <v>73</v>
      </c>
      <c r="K75" s="1041" t="s">
        <v>138</v>
      </c>
      <c r="L75" s="1140" t="s">
        <v>1928</v>
      </c>
      <c r="M75" s="1154">
        <v>45933</v>
      </c>
      <c r="N75" s="1042">
        <v>84000</v>
      </c>
      <c r="O75" s="1042" t="s">
        <v>25</v>
      </c>
      <c r="P75" s="1042" t="s">
        <v>28</v>
      </c>
      <c r="Q75" s="1054">
        <v>1</v>
      </c>
      <c r="R75" s="1053">
        <v>7100337783</v>
      </c>
      <c r="S75" s="1125" t="s">
        <v>1929</v>
      </c>
      <c r="T75" s="1042">
        <v>84000</v>
      </c>
      <c r="U75" s="1042" t="s">
        <v>28</v>
      </c>
      <c r="V75" s="1025">
        <f>Table62689345679[[#This Row],[Offer Value]]-Table62689345679[[#This Row],[PO Value]]</f>
        <v>0</v>
      </c>
      <c r="W75" s="1042"/>
      <c r="X75" s="1042"/>
      <c r="Y75" s="1134"/>
      <c r="Z75" s="1128"/>
      <c r="AA75" s="1129"/>
    </row>
    <row r="76" spans="1:27" ht="15.6">
      <c r="A76" s="1042">
        <v>34</v>
      </c>
      <c r="B76" s="1125">
        <v>45933</v>
      </c>
      <c r="C76" s="1120" t="s">
        <v>1931</v>
      </c>
      <c r="D76" s="1120" t="s">
        <v>1924</v>
      </c>
      <c r="E76" s="1120" t="s">
        <v>873</v>
      </c>
      <c r="F76" s="1120" t="s">
        <v>1932</v>
      </c>
      <c r="G76" s="1120">
        <v>9376985284</v>
      </c>
      <c r="H76" s="1132" t="s">
        <v>1933</v>
      </c>
      <c r="I76" s="1120" t="s">
        <v>1934</v>
      </c>
      <c r="J76" s="1041" t="s">
        <v>73</v>
      </c>
      <c r="K76" s="1041" t="s">
        <v>138</v>
      </c>
      <c r="L76" s="1140" t="s">
        <v>1935</v>
      </c>
      <c r="M76" s="1154">
        <v>45933</v>
      </c>
      <c r="N76" s="1042">
        <v>68250</v>
      </c>
      <c r="O76" s="1042" t="s">
        <v>25</v>
      </c>
      <c r="P76" s="1042" t="s">
        <v>28</v>
      </c>
      <c r="Q76" s="1054">
        <v>1</v>
      </c>
      <c r="R76" s="1053" t="s">
        <v>1936</v>
      </c>
      <c r="S76" s="1125" t="s">
        <v>1410</v>
      </c>
      <c r="T76" s="1042">
        <v>68250</v>
      </c>
      <c r="U76" s="1042" t="s">
        <v>28</v>
      </c>
      <c r="V76" s="1025">
        <f>Table62689345679[[#This Row],[Offer Value]]-Table62689345679[[#This Row],[PO Value]]</f>
        <v>0</v>
      </c>
      <c r="W76" s="1042"/>
      <c r="X76" s="1042"/>
      <c r="Y76" s="1134"/>
      <c r="Z76" s="1128"/>
      <c r="AA76" s="1129"/>
    </row>
    <row r="77" spans="1:27" ht="15.6">
      <c r="A77" s="1042"/>
      <c r="B77" s="1125"/>
      <c r="C77" s="1120" t="s">
        <v>1931</v>
      </c>
      <c r="D77" s="1120" t="s">
        <v>1924</v>
      </c>
      <c r="E77" s="1120" t="s">
        <v>873</v>
      </c>
      <c r="F77" s="1120" t="s">
        <v>1932</v>
      </c>
      <c r="G77" s="1120">
        <v>9376985284</v>
      </c>
      <c r="H77" s="1132" t="s">
        <v>1933</v>
      </c>
      <c r="I77" s="1120" t="s">
        <v>1937</v>
      </c>
      <c r="J77" s="1041" t="s">
        <v>73</v>
      </c>
      <c r="K77" s="1041" t="s">
        <v>138</v>
      </c>
      <c r="L77" s="1140" t="s">
        <v>1935</v>
      </c>
      <c r="M77" s="1154">
        <v>45933</v>
      </c>
      <c r="N77" s="1042">
        <v>68250</v>
      </c>
      <c r="O77" s="1042" t="s">
        <v>25</v>
      </c>
      <c r="P77" s="1042" t="s">
        <v>28</v>
      </c>
      <c r="Q77" s="1054">
        <v>1</v>
      </c>
      <c r="R77" s="1053" t="s">
        <v>1936</v>
      </c>
      <c r="S77" s="1125" t="s">
        <v>1410</v>
      </c>
      <c r="T77" s="1042">
        <v>68250</v>
      </c>
      <c r="U77" s="1042" t="s">
        <v>28</v>
      </c>
      <c r="V77" s="1025">
        <f>Table62689345679[[#This Row],[Offer Value]]-Table62689345679[[#This Row],[PO Value]]</f>
        <v>0</v>
      </c>
      <c r="W77" s="1042"/>
      <c r="X77" s="1042"/>
      <c r="Y77" s="1134"/>
      <c r="Z77" s="1128"/>
      <c r="AA77" s="1129"/>
    </row>
    <row r="78" spans="1:27" ht="15.6">
      <c r="A78" s="1042"/>
      <c r="B78" s="1125"/>
      <c r="C78" s="1120" t="s">
        <v>1931</v>
      </c>
      <c r="D78" s="1120" t="s">
        <v>1924</v>
      </c>
      <c r="E78" s="1120" t="s">
        <v>873</v>
      </c>
      <c r="F78" s="1120" t="s">
        <v>1932</v>
      </c>
      <c r="G78" s="1120">
        <v>9376985284</v>
      </c>
      <c r="H78" s="1132" t="s">
        <v>1933</v>
      </c>
      <c r="I78" s="1120" t="s">
        <v>1938</v>
      </c>
      <c r="J78" s="1041" t="s">
        <v>73</v>
      </c>
      <c r="K78" s="1041" t="s">
        <v>138</v>
      </c>
      <c r="L78" s="1140" t="s">
        <v>1935</v>
      </c>
      <c r="M78" s="1154">
        <v>45933</v>
      </c>
      <c r="N78" s="1042">
        <v>68250</v>
      </c>
      <c r="O78" s="1042" t="s">
        <v>25</v>
      </c>
      <c r="P78" s="1042" t="s">
        <v>28</v>
      </c>
      <c r="Q78" s="1054">
        <v>1</v>
      </c>
      <c r="R78" s="1053" t="s">
        <v>1936</v>
      </c>
      <c r="S78" s="1125" t="s">
        <v>1410</v>
      </c>
      <c r="T78" s="1042">
        <v>68250</v>
      </c>
      <c r="U78" s="1042" t="s">
        <v>28</v>
      </c>
      <c r="V78" s="1025">
        <f>Table62689345679[[#This Row],[Offer Value]]-Table62689345679[[#This Row],[PO Value]]</f>
        <v>0</v>
      </c>
      <c r="W78" s="1042"/>
      <c r="X78" s="1042"/>
      <c r="Y78" s="1134"/>
      <c r="Z78" s="1128"/>
      <c r="AA78" s="1129"/>
    </row>
    <row r="79" spans="1:27" ht="15.6">
      <c r="A79" s="1042"/>
      <c r="B79" s="1125"/>
      <c r="C79" s="1120" t="s">
        <v>1931</v>
      </c>
      <c r="D79" s="1120" t="s">
        <v>1924</v>
      </c>
      <c r="E79" s="1120" t="s">
        <v>873</v>
      </c>
      <c r="F79" s="1120" t="s">
        <v>1932</v>
      </c>
      <c r="G79" s="1120">
        <v>9376985284</v>
      </c>
      <c r="H79" s="1132" t="s">
        <v>1933</v>
      </c>
      <c r="I79" s="1120" t="s">
        <v>1939</v>
      </c>
      <c r="J79" s="1041" t="s">
        <v>73</v>
      </c>
      <c r="K79" s="1041" t="s">
        <v>138</v>
      </c>
      <c r="L79" s="1140" t="s">
        <v>1935</v>
      </c>
      <c r="M79" s="1154">
        <v>45933</v>
      </c>
      <c r="N79" s="1042">
        <v>68250</v>
      </c>
      <c r="O79" s="1042" t="s">
        <v>25</v>
      </c>
      <c r="P79" s="1042" t="s">
        <v>28</v>
      </c>
      <c r="Q79" s="1054">
        <v>1</v>
      </c>
      <c r="R79" s="1053" t="s">
        <v>1936</v>
      </c>
      <c r="S79" s="1125" t="s">
        <v>1410</v>
      </c>
      <c r="T79" s="1042">
        <v>68250</v>
      </c>
      <c r="U79" s="1042" t="s">
        <v>28</v>
      </c>
      <c r="V79" s="1025">
        <f>Table62689345679[[#This Row],[Offer Value]]-Table62689345679[[#This Row],[PO Value]]</f>
        <v>0</v>
      </c>
      <c r="W79" s="1042"/>
      <c r="X79" s="1042"/>
      <c r="Y79" s="1134"/>
      <c r="Z79" s="1128"/>
      <c r="AA79" s="1129"/>
    </row>
    <row r="80" spans="1:27" ht="15.6">
      <c r="A80" s="1042"/>
      <c r="B80" s="1125"/>
      <c r="C80" s="1120" t="s">
        <v>1931</v>
      </c>
      <c r="D80" s="1120" t="s">
        <v>1924</v>
      </c>
      <c r="E80" s="1120" t="s">
        <v>873</v>
      </c>
      <c r="F80" s="1120" t="s">
        <v>1932</v>
      </c>
      <c r="G80" s="1120">
        <v>9376985284</v>
      </c>
      <c r="H80" s="1132" t="s">
        <v>1933</v>
      </c>
      <c r="I80" s="1120" t="s">
        <v>1940</v>
      </c>
      <c r="J80" s="1041" t="s">
        <v>73</v>
      </c>
      <c r="K80" s="1041" t="s">
        <v>138</v>
      </c>
      <c r="L80" s="1140" t="s">
        <v>1935</v>
      </c>
      <c r="M80" s="1154">
        <v>45933</v>
      </c>
      <c r="N80" s="1042">
        <v>68250</v>
      </c>
      <c r="O80" s="1042" t="s">
        <v>25</v>
      </c>
      <c r="P80" s="1042" t="s">
        <v>28</v>
      </c>
      <c r="Q80" s="1054">
        <v>1</v>
      </c>
      <c r="R80" s="1053" t="s">
        <v>1936</v>
      </c>
      <c r="S80" s="1125" t="s">
        <v>1410</v>
      </c>
      <c r="T80" s="1042">
        <v>68250</v>
      </c>
      <c r="U80" s="1042" t="s">
        <v>28</v>
      </c>
      <c r="V80" s="1025">
        <f>Table62689345679[[#This Row],[Offer Value]]-Table62689345679[[#This Row],[PO Value]]</f>
        <v>0</v>
      </c>
      <c r="W80" s="1042"/>
      <c r="X80" s="1042"/>
      <c r="Y80" s="1134"/>
      <c r="Z80" s="1128"/>
      <c r="AA80" s="1129"/>
    </row>
    <row r="81" spans="1:27" ht="15.6">
      <c r="A81" s="1042">
        <v>35</v>
      </c>
      <c r="B81" s="1125">
        <v>45933</v>
      </c>
      <c r="C81" s="1120" t="s">
        <v>1941</v>
      </c>
      <c r="D81" s="1120" t="s">
        <v>1942</v>
      </c>
      <c r="E81" s="1120" t="s">
        <v>873</v>
      </c>
      <c r="F81" s="1120" t="s">
        <v>1943</v>
      </c>
      <c r="G81" s="1120" t="s">
        <v>1944</v>
      </c>
      <c r="H81" s="1132" t="s">
        <v>1945</v>
      </c>
      <c r="I81" s="1120" t="s">
        <v>1946</v>
      </c>
      <c r="J81" s="1041" t="s">
        <v>73</v>
      </c>
      <c r="K81" s="1041" t="s">
        <v>138</v>
      </c>
      <c r="L81" s="1140" t="s">
        <v>1947</v>
      </c>
      <c r="M81" s="1154">
        <v>45933</v>
      </c>
      <c r="N81" s="1042">
        <v>52000</v>
      </c>
      <c r="O81" s="1042" t="s">
        <v>25</v>
      </c>
      <c r="P81" s="1042" t="s">
        <v>30</v>
      </c>
      <c r="Q81" s="1054">
        <v>1</v>
      </c>
      <c r="R81" s="1053" t="s">
        <v>1948</v>
      </c>
      <c r="S81" s="1125" t="s">
        <v>1949</v>
      </c>
      <c r="T81" s="1042">
        <v>52000</v>
      </c>
      <c r="U81" s="1042" t="s">
        <v>30</v>
      </c>
      <c r="V81" s="1025">
        <f>Table62689345679[[#This Row],[Offer Value]]-Table62689345679[[#This Row],[PO Value]]</f>
        <v>0</v>
      </c>
      <c r="W81" s="1042"/>
      <c r="X81" s="1042"/>
      <c r="Y81" s="1134"/>
      <c r="Z81" s="1128"/>
      <c r="AA81" s="1129"/>
    </row>
    <row r="82" spans="1:27" ht="15.6">
      <c r="A82" s="1042"/>
      <c r="B82" s="1125"/>
      <c r="C82" s="1120" t="s">
        <v>1941</v>
      </c>
      <c r="D82" s="1120" t="s">
        <v>1942</v>
      </c>
      <c r="E82" s="1120" t="s">
        <v>873</v>
      </c>
      <c r="F82" s="1120" t="s">
        <v>1943</v>
      </c>
      <c r="G82" s="1120" t="s">
        <v>1944</v>
      </c>
      <c r="H82" s="1132" t="s">
        <v>1945</v>
      </c>
      <c r="I82" s="1120" t="s">
        <v>1950</v>
      </c>
      <c r="J82" s="1041" t="s">
        <v>73</v>
      </c>
      <c r="K82" s="1041" t="s">
        <v>138</v>
      </c>
      <c r="L82" s="1140" t="s">
        <v>1947</v>
      </c>
      <c r="M82" s="1154">
        <v>45933</v>
      </c>
      <c r="N82" s="1042">
        <v>52000</v>
      </c>
      <c r="O82" s="1042" t="s">
        <v>25</v>
      </c>
      <c r="P82" s="1042" t="s">
        <v>30</v>
      </c>
      <c r="Q82" s="1054">
        <v>1</v>
      </c>
      <c r="R82" s="1053" t="s">
        <v>1948</v>
      </c>
      <c r="S82" s="1125" t="s">
        <v>1949</v>
      </c>
      <c r="T82" s="1042">
        <v>52000</v>
      </c>
      <c r="U82" s="1042" t="s">
        <v>30</v>
      </c>
      <c r="V82" s="1025">
        <f>Table62689345679[[#This Row],[Offer Value]]-Table62689345679[[#This Row],[PO Value]]</f>
        <v>0</v>
      </c>
      <c r="W82" s="1042"/>
      <c r="X82" s="1042"/>
      <c r="Y82" s="1134"/>
      <c r="Z82" s="1128"/>
      <c r="AA82" s="1129"/>
    </row>
    <row r="83" spans="1:27" ht="15.6">
      <c r="A83" s="1042"/>
      <c r="B83" s="1125"/>
      <c r="C83" s="1120" t="s">
        <v>1941</v>
      </c>
      <c r="D83" s="1120" t="s">
        <v>1942</v>
      </c>
      <c r="E83" s="1120" t="s">
        <v>873</v>
      </c>
      <c r="F83" s="1120" t="s">
        <v>1943</v>
      </c>
      <c r="G83" s="1120" t="s">
        <v>1944</v>
      </c>
      <c r="H83" s="1132" t="s">
        <v>1945</v>
      </c>
      <c r="I83" s="1120" t="s">
        <v>1951</v>
      </c>
      <c r="J83" s="1041" t="s">
        <v>73</v>
      </c>
      <c r="K83" s="1041" t="s">
        <v>138</v>
      </c>
      <c r="L83" s="1140" t="s">
        <v>1947</v>
      </c>
      <c r="M83" s="1154">
        <v>45933</v>
      </c>
      <c r="N83" s="1042">
        <v>52000</v>
      </c>
      <c r="O83" s="1042" t="s">
        <v>25</v>
      </c>
      <c r="P83" s="1042" t="s">
        <v>30</v>
      </c>
      <c r="Q83" s="1054">
        <v>1</v>
      </c>
      <c r="R83" s="1053" t="s">
        <v>1948</v>
      </c>
      <c r="S83" s="1125" t="s">
        <v>1949</v>
      </c>
      <c r="T83" s="1042">
        <v>52000</v>
      </c>
      <c r="U83" s="1042" t="s">
        <v>30</v>
      </c>
      <c r="V83" s="1025">
        <f>Table62689345679[[#This Row],[Offer Value]]-Table62689345679[[#This Row],[PO Value]]</f>
        <v>0</v>
      </c>
      <c r="W83" s="1042"/>
      <c r="X83" s="1042"/>
      <c r="Y83" s="1134"/>
      <c r="Z83" s="1128"/>
      <c r="AA83" s="1129"/>
    </row>
    <row r="84" spans="1:27" ht="15.6">
      <c r="A84" s="1042">
        <v>36</v>
      </c>
      <c r="B84" s="1125">
        <v>45964</v>
      </c>
      <c r="C84" s="1120" t="s">
        <v>1952</v>
      </c>
      <c r="D84" s="1120" t="s">
        <v>1924</v>
      </c>
      <c r="E84" s="1120" t="s">
        <v>873</v>
      </c>
      <c r="F84" s="1120" t="s">
        <v>1953</v>
      </c>
      <c r="G84" s="1120" t="s">
        <v>1954</v>
      </c>
      <c r="H84" s="1132" t="s">
        <v>1955</v>
      </c>
      <c r="I84" s="1120" t="s">
        <v>1956</v>
      </c>
      <c r="J84" s="1041" t="s">
        <v>73</v>
      </c>
      <c r="K84" s="1041" t="s">
        <v>138</v>
      </c>
      <c r="L84" s="1140" t="s">
        <v>1957</v>
      </c>
      <c r="M84" s="1154">
        <v>45964</v>
      </c>
      <c r="N84" s="1042">
        <v>55000</v>
      </c>
      <c r="O84" s="1042" t="s">
        <v>25</v>
      </c>
      <c r="P84" s="1042" t="s">
        <v>28</v>
      </c>
      <c r="Q84" s="1054">
        <v>1</v>
      </c>
      <c r="R84" s="1053" t="s">
        <v>1958</v>
      </c>
      <c r="S84" s="1125" t="s">
        <v>1959</v>
      </c>
      <c r="T84" s="1042">
        <v>52800</v>
      </c>
      <c r="U84" s="1042" t="s">
        <v>28</v>
      </c>
      <c r="V84" s="1025">
        <v>0</v>
      </c>
      <c r="W84" s="1042"/>
      <c r="X84" s="1042"/>
      <c r="Y84" s="1134"/>
      <c r="Z84" s="1128"/>
      <c r="AA84" s="1129"/>
    </row>
    <row r="85" spans="1:27" ht="15.6">
      <c r="A85" s="1042"/>
      <c r="B85" s="1125"/>
      <c r="C85" s="1120" t="s">
        <v>1952</v>
      </c>
      <c r="D85" s="1120" t="s">
        <v>1924</v>
      </c>
      <c r="E85" s="1120" t="s">
        <v>873</v>
      </c>
      <c r="F85" s="1120" t="s">
        <v>1953</v>
      </c>
      <c r="G85" s="1120" t="s">
        <v>1954</v>
      </c>
      <c r="H85" s="1132" t="s">
        <v>1955</v>
      </c>
      <c r="I85" s="1120" t="s">
        <v>1960</v>
      </c>
      <c r="J85" s="1041" t="s">
        <v>73</v>
      </c>
      <c r="K85" s="1041" t="s">
        <v>138</v>
      </c>
      <c r="L85" s="1140" t="s">
        <v>1957</v>
      </c>
      <c r="M85" s="1154">
        <v>45964</v>
      </c>
      <c r="N85" s="1042">
        <v>55000</v>
      </c>
      <c r="O85" s="1042" t="s">
        <v>25</v>
      </c>
      <c r="P85" s="1042" t="s">
        <v>28</v>
      </c>
      <c r="Q85" s="1054">
        <v>1</v>
      </c>
      <c r="R85" s="1053" t="s">
        <v>1958</v>
      </c>
      <c r="S85" s="1125" t="s">
        <v>1959</v>
      </c>
      <c r="T85" s="1042">
        <v>52800</v>
      </c>
      <c r="U85" s="1042" t="s">
        <v>28</v>
      </c>
      <c r="V85" s="1025">
        <v>0</v>
      </c>
      <c r="W85" s="1042"/>
      <c r="X85" s="1042"/>
      <c r="Y85" s="1134"/>
      <c r="Z85" s="1128"/>
      <c r="AA85" s="1129"/>
    </row>
    <row r="86" spans="1:27" ht="15.6">
      <c r="A86" s="1042">
        <v>37</v>
      </c>
      <c r="B86" s="1125">
        <v>45964</v>
      </c>
      <c r="C86" s="1120" t="s">
        <v>152</v>
      </c>
      <c r="D86" s="1120" t="s">
        <v>1737</v>
      </c>
      <c r="E86" s="1120" t="s">
        <v>873</v>
      </c>
      <c r="F86" s="1120" t="s">
        <v>1961</v>
      </c>
      <c r="G86" s="1120" t="s">
        <v>1962</v>
      </c>
      <c r="H86" s="1132" t="s">
        <v>1963</v>
      </c>
      <c r="I86" s="1120" t="s">
        <v>1964</v>
      </c>
      <c r="J86" s="1041" t="s">
        <v>73</v>
      </c>
      <c r="K86" s="1041" t="s">
        <v>138</v>
      </c>
      <c r="L86" s="1140" t="s">
        <v>1965</v>
      </c>
      <c r="M86" s="1154">
        <v>45964</v>
      </c>
      <c r="N86" s="1042">
        <v>78750</v>
      </c>
      <c r="O86" s="1042" t="s">
        <v>25</v>
      </c>
      <c r="P86" s="1042" t="s">
        <v>28</v>
      </c>
      <c r="Q86" s="1054">
        <v>1</v>
      </c>
      <c r="R86" s="1053">
        <v>7000880580</v>
      </c>
      <c r="S86" s="1125">
        <v>45965</v>
      </c>
      <c r="T86" s="1042">
        <v>78750</v>
      </c>
      <c r="U86" s="1042" t="s">
        <v>28</v>
      </c>
      <c r="V86" s="1025">
        <f>Table62689345679[[#This Row],[Offer Value]]-Table62689345679[[#This Row],[PO Value]]</f>
        <v>0</v>
      </c>
      <c r="W86" s="1042"/>
      <c r="X86" s="1042"/>
      <c r="Y86" s="1134"/>
      <c r="Z86" s="1128"/>
      <c r="AA86" s="1129"/>
    </row>
    <row r="87" spans="1:27" ht="15.6">
      <c r="A87" s="1042">
        <v>38</v>
      </c>
      <c r="B87" s="1125">
        <v>45964</v>
      </c>
      <c r="C87" s="1120" t="s">
        <v>1941</v>
      </c>
      <c r="D87" s="1120" t="s">
        <v>1924</v>
      </c>
      <c r="E87" s="1120" t="s">
        <v>873</v>
      </c>
      <c r="F87" s="1120" t="s">
        <v>1966</v>
      </c>
      <c r="G87" s="1120" t="s">
        <v>1967</v>
      </c>
      <c r="H87" s="1132" t="s">
        <v>1968</v>
      </c>
      <c r="I87" s="1120" t="s">
        <v>1969</v>
      </c>
      <c r="J87" s="1041" t="s">
        <v>73</v>
      </c>
      <c r="K87" s="1041" t="s">
        <v>138</v>
      </c>
      <c r="L87" s="1140" t="s">
        <v>1970</v>
      </c>
      <c r="M87" s="1154">
        <v>45964</v>
      </c>
      <c r="N87" s="1042">
        <v>52000</v>
      </c>
      <c r="O87" s="1042" t="s">
        <v>25</v>
      </c>
      <c r="P87" s="1042" t="s">
        <v>25</v>
      </c>
      <c r="Q87" s="1054">
        <v>1</v>
      </c>
      <c r="R87" s="1053" t="s">
        <v>1971</v>
      </c>
      <c r="S87" s="1125">
        <v>45964</v>
      </c>
      <c r="T87" s="1042">
        <v>52000</v>
      </c>
      <c r="U87" s="1042" t="s">
        <v>25</v>
      </c>
      <c r="V87" s="1025">
        <f>Table62689345679[[#This Row],[Offer Value]]-Table62689345679[[#This Row],[PO Value]]</f>
        <v>0</v>
      </c>
      <c r="W87" s="1042"/>
      <c r="X87" s="1042"/>
      <c r="Y87" s="1134"/>
      <c r="Z87" s="1128"/>
      <c r="AA87" s="1129"/>
    </row>
    <row r="88" spans="1:27" ht="15.6">
      <c r="A88" s="1042">
        <v>39</v>
      </c>
      <c r="B88" s="1125">
        <v>45994</v>
      </c>
      <c r="C88" s="1120" t="s">
        <v>1878</v>
      </c>
      <c r="D88" s="1120" t="s">
        <v>1879</v>
      </c>
      <c r="E88" s="1120" t="s">
        <v>1900</v>
      </c>
      <c r="F88" s="1120" t="s">
        <v>1901</v>
      </c>
      <c r="G88" s="1120">
        <v>9355229233</v>
      </c>
      <c r="H88" s="1132" t="s">
        <v>1902</v>
      </c>
      <c r="I88" s="1120" t="s">
        <v>1906</v>
      </c>
      <c r="J88" s="1041" t="s">
        <v>75</v>
      </c>
      <c r="K88" s="1041" t="s">
        <v>157</v>
      </c>
      <c r="L88" s="1140" t="s">
        <v>1972</v>
      </c>
      <c r="M88" s="1154">
        <v>45994</v>
      </c>
      <c r="N88" s="1042">
        <v>403220</v>
      </c>
      <c r="O88" s="1042" t="s">
        <v>25</v>
      </c>
      <c r="P88" s="1042" t="s">
        <v>30</v>
      </c>
      <c r="Q88" s="1054">
        <v>1</v>
      </c>
      <c r="R88" s="1053">
        <v>2102500530</v>
      </c>
      <c r="S88" s="1125" t="s">
        <v>1473</v>
      </c>
      <c r="T88" s="1042">
        <v>383054</v>
      </c>
      <c r="U88" s="1042" t="s">
        <v>30</v>
      </c>
      <c r="V88" s="1025">
        <v>0</v>
      </c>
      <c r="W88" s="1042"/>
      <c r="X88" s="1042"/>
      <c r="Y88" s="1134"/>
      <c r="Z88" s="1128" t="s">
        <v>208</v>
      </c>
      <c r="AA88" s="1129" t="s">
        <v>208</v>
      </c>
    </row>
    <row r="89" spans="1:27" ht="15.6">
      <c r="A89" s="1042">
        <v>40</v>
      </c>
      <c r="B89" s="1125">
        <v>45994</v>
      </c>
      <c r="C89" s="1120" t="s">
        <v>1801</v>
      </c>
      <c r="D89" s="1120" t="s">
        <v>1777</v>
      </c>
      <c r="E89" s="1120" t="s">
        <v>873</v>
      </c>
      <c r="F89" s="1120" t="s">
        <v>1802</v>
      </c>
      <c r="G89" s="1120">
        <v>7046372509</v>
      </c>
      <c r="H89" s="1132" t="s">
        <v>1803</v>
      </c>
      <c r="I89" s="1120" t="s">
        <v>1804</v>
      </c>
      <c r="J89" s="1041" t="s">
        <v>75</v>
      </c>
      <c r="K89" s="1041" t="s">
        <v>157</v>
      </c>
      <c r="L89" s="1140" t="s">
        <v>1973</v>
      </c>
      <c r="M89" s="1154">
        <v>45994</v>
      </c>
      <c r="N89" s="1042">
        <v>294600</v>
      </c>
      <c r="O89" s="1042" t="s">
        <v>25</v>
      </c>
      <c r="P89" s="1042" t="s">
        <v>25</v>
      </c>
      <c r="Q89" s="1054">
        <v>1</v>
      </c>
      <c r="R89" s="1053" t="s">
        <v>1974</v>
      </c>
      <c r="S89" s="1125" t="s">
        <v>1975</v>
      </c>
      <c r="T89" s="1042">
        <v>294600</v>
      </c>
      <c r="U89" s="1042" t="s">
        <v>25</v>
      </c>
      <c r="V89" s="1025">
        <f>Table62689345679[[#This Row],[Offer Value]]-Table62689345679[[#This Row],[PO Value]]</f>
        <v>0</v>
      </c>
      <c r="W89" s="1042"/>
      <c r="X89" s="1042"/>
      <c r="Y89" s="1134"/>
      <c r="Z89" s="1128"/>
      <c r="AA89" s="1129"/>
    </row>
    <row r="90" spans="1:27" ht="15.6">
      <c r="A90" s="1042">
        <v>41</v>
      </c>
      <c r="B90" s="1125">
        <v>45994</v>
      </c>
      <c r="C90" s="1120" t="s">
        <v>1870</v>
      </c>
      <c r="D90" s="1120" t="s">
        <v>1777</v>
      </c>
      <c r="E90" s="1120" t="s">
        <v>1716</v>
      </c>
      <c r="F90" s="1120" t="s">
        <v>1976</v>
      </c>
      <c r="G90" s="1120">
        <v>9099031729</v>
      </c>
      <c r="H90" s="1132" t="s">
        <v>1977</v>
      </c>
      <c r="I90" s="1120" t="s">
        <v>1873</v>
      </c>
      <c r="J90" s="1041" t="s">
        <v>75</v>
      </c>
      <c r="K90" s="1041" t="s">
        <v>157</v>
      </c>
      <c r="L90" s="1140" t="s">
        <v>1978</v>
      </c>
      <c r="M90" s="1154">
        <v>45994</v>
      </c>
      <c r="N90" s="1042">
        <v>425960</v>
      </c>
      <c r="O90" s="1042" t="s">
        <v>25</v>
      </c>
      <c r="P90" s="1042" t="s">
        <v>28</v>
      </c>
      <c r="Q90" s="1054">
        <v>1</v>
      </c>
      <c r="R90" s="1053" t="s">
        <v>1979</v>
      </c>
      <c r="S90" s="1125" t="s">
        <v>1980</v>
      </c>
      <c r="T90" s="1042">
        <v>262752</v>
      </c>
      <c r="U90" s="1042" t="s">
        <v>25</v>
      </c>
      <c r="V90" s="1025">
        <v>0</v>
      </c>
      <c r="W90" s="1042"/>
      <c r="X90" s="1042"/>
      <c r="Y90" s="1134"/>
      <c r="Z90" s="1128" t="s">
        <v>208</v>
      </c>
      <c r="AA90" s="1129" t="s">
        <v>208</v>
      </c>
    </row>
    <row r="91" spans="1:27" ht="15.6">
      <c r="A91" s="106">
        <v>42</v>
      </c>
      <c r="B91" s="301">
        <v>45994</v>
      </c>
      <c r="C91" s="108" t="s">
        <v>1190</v>
      </c>
      <c r="D91" s="303" t="s">
        <v>1981</v>
      </c>
      <c r="E91" s="303" t="s">
        <v>873</v>
      </c>
      <c r="F91" s="303" t="s">
        <v>1982</v>
      </c>
      <c r="G91" s="105">
        <v>8147703540</v>
      </c>
      <c r="H91" s="1338" t="s">
        <v>1983</v>
      </c>
      <c r="I91" s="105" t="s">
        <v>1863</v>
      </c>
      <c r="J91" s="178" t="s">
        <v>75</v>
      </c>
      <c r="K91" s="178" t="s">
        <v>157</v>
      </c>
      <c r="L91" s="108" t="s">
        <v>1984</v>
      </c>
      <c r="M91" s="301">
        <v>45994</v>
      </c>
      <c r="N91" s="300">
        <v>125930</v>
      </c>
      <c r="O91" s="300" t="s">
        <v>25</v>
      </c>
      <c r="P91" s="483"/>
      <c r="Q91" s="306">
        <v>0.5</v>
      </c>
      <c r="R91" s="608"/>
      <c r="S91" s="315"/>
      <c r="T91" s="300"/>
      <c r="U91" s="300"/>
      <c r="V91" s="284">
        <f>Table62689345679[[#This Row],[Offer Value]]-Table62689345679[[#This Row],[PO Value]]</f>
        <v>125930</v>
      </c>
      <c r="W91" s="300"/>
      <c r="X91" s="300"/>
      <c r="Y91" s="609"/>
      <c r="Z91" s="319"/>
      <c r="AA91" s="597"/>
    </row>
    <row r="92" spans="1:27" ht="15.6">
      <c r="A92" s="106">
        <v>43</v>
      </c>
      <c r="B92" s="300" t="s">
        <v>1985</v>
      </c>
      <c r="C92" s="108" t="s">
        <v>711</v>
      </c>
      <c r="D92" s="303" t="s">
        <v>1888</v>
      </c>
      <c r="E92" s="303" t="s">
        <v>1889</v>
      </c>
      <c r="F92" s="303" t="s">
        <v>1890</v>
      </c>
      <c r="G92" s="105">
        <v>9099974577</v>
      </c>
      <c r="H92" s="1338" t="s">
        <v>1891</v>
      </c>
      <c r="I92" s="105" t="s">
        <v>1892</v>
      </c>
      <c r="J92" s="178" t="s">
        <v>75</v>
      </c>
      <c r="K92" s="178" t="s">
        <v>157</v>
      </c>
      <c r="L92" s="108" t="s">
        <v>1986</v>
      </c>
      <c r="M92" s="300" t="s">
        <v>1985</v>
      </c>
      <c r="N92" s="300">
        <v>670080</v>
      </c>
      <c r="O92" s="300" t="s">
        <v>25</v>
      </c>
      <c r="P92" s="300"/>
      <c r="Q92" s="306">
        <v>0.5</v>
      </c>
      <c r="R92" s="608"/>
      <c r="S92" s="320"/>
      <c r="T92" s="300"/>
      <c r="U92" s="315"/>
      <c r="V92" s="1563">
        <f>Table62689345679[[#This Row],[Offer Value]]-Table62689345679[[#This Row],[PO Value]]</f>
        <v>670080</v>
      </c>
      <c r="W92" s="300"/>
      <c r="X92" s="300"/>
      <c r="Y92" s="610"/>
      <c r="Z92" s="319" t="s">
        <v>208</v>
      </c>
      <c r="AA92" s="598"/>
    </row>
    <row r="93" spans="1:27" ht="15.6">
      <c r="A93" s="937">
        <v>44</v>
      </c>
      <c r="B93" s="1446" t="s">
        <v>1985</v>
      </c>
      <c r="C93" s="944" t="s">
        <v>1776</v>
      </c>
      <c r="D93" s="1441" t="s">
        <v>1777</v>
      </c>
      <c r="E93" s="1441" t="s">
        <v>873</v>
      </c>
      <c r="F93" s="1441" t="s">
        <v>1778</v>
      </c>
      <c r="G93" s="1010">
        <v>9898646272</v>
      </c>
      <c r="H93" s="1782" t="s">
        <v>1779</v>
      </c>
      <c r="I93" s="1010" t="s">
        <v>1780</v>
      </c>
      <c r="J93" s="1443" t="s">
        <v>75</v>
      </c>
      <c r="K93" s="1443" t="s">
        <v>157</v>
      </c>
      <c r="L93" s="944" t="s">
        <v>1987</v>
      </c>
      <c r="M93" s="1446" t="s">
        <v>1985</v>
      </c>
      <c r="N93" s="1446">
        <v>419000</v>
      </c>
      <c r="O93" s="1446" t="s">
        <v>25</v>
      </c>
      <c r="P93" s="1446" t="s">
        <v>44</v>
      </c>
      <c r="Q93" s="1566">
        <v>0.5</v>
      </c>
      <c r="R93" s="2338">
        <v>91044686</v>
      </c>
      <c r="S93" s="1583" t="s">
        <v>1988</v>
      </c>
      <c r="T93" s="1446">
        <v>41325</v>
      </c>
      <c r="U93" s="1588" t="s">
        <v>47</v>
      </c>
      <c r="V93" s="1790">
        <v>0</v>
      </c>
      <c r="W93" s="1446"/>
      <c r="X93" s="1446"/>
      <c r="Y93" s="1589"/>
      <c r="Z93" s="977" t="s">
        <v>208</v>
      </c>
      <c r="AA93" s="2996"/>
    </row>
    <row r="94" spans="1:27" ht="15.6">
      <c r="A94" s="1042">
        <v>45</v>
      </c>
      <c r="B94" s="1125" t="s">
        <v>1989</v>
      </c>
      <c r="C94" s="1120" t="s">
        <v>1850</v>
      </c>
      <c r="D94" s="1120" t="s">
        <v>1840</v>
      </c>
      <c r="E94" s="1120" t="s">
        <v>873</v>
      </c>
      <c r="F94" s="1120" t="s">
        <v>1851</v>
      </c>
      <c r="G94" s="1120">
        <v>9575300235</v>
      </c>
      <c r="H94" s="1132" t="s">
        <v>1852</v>
      </c>
      <c r="I94" s="1120" t="s">
        <v>1853</v>
      </c>
      <c r="J94" s="1041" t="s">
        <v>75</v>
      </c>
      <c r="K94" s="1041" t="s">
        <v>157</v>
      </c>
      <c r="L94" s="1140" t="s">
        <v>1990</v>
      </c>
      <c r="M94" s="1154">
        <v>44966</v>
      </c>
      <c r="N94" s="1042">
        <v>59050</v>
      </c>
      <c r="O94" s="1042" t="s">
        <v>25</v>
      </c>
      <c r="P94" s="1042" t="s">
        <v>25</v>
      </c>
      <c r="Q94" s="1054">
        <v>1</v>
      </c>
      <c r="R94" s="1053">
        <v>6406013484</v>
      </c>
      <c r="S94" s="1125">
        <v>45780</v>
      </c>
      <c r="T94" s="1042">
        <v>56688</v>
      </c>
      <c r="U94" s="1042" t="s">
        <v>25</v>
      </c>
      <c r="V94" s="1025">
        <v>0</v>
      </c>
      <c r="W94" s="1042"/>
      <c r="X94" s="1042"/>
      <c r="Y94" s="1134"/>
      <c r="Z94" s="1128"/>
      <c r="AA94" s="1129"/>
    </row>
    <row r="95" spans="1:27" ht="15.6">
      <c r="A95" s="1042">
        <v>46</v>
      </c>
      <c r="B95" s="1125">
        <v>45934</v>
      </c>
      <c r="C95" s="1120" t="s">
        <v>1787</v>
      </c>
      <c r="D95" s="1120" t="s">
        <v>1777</v>
      </c>
      <c r="E95" s="1120" t="s">
        <v>873</v>
      </c>
      <c r="F95" s="1120" t="s">
        <v>1788</v>
      </c>
      <c r="G95" s="1120">
        <v>9722013361</v>
      </c>
      <c r="H95" s="1132" t="s">
        <v>1789</v>
      </c>
      <c r="I95" s="1120" t="s">
        <v>1991</v>
      </c>
      <c r="J95" s="1041" t="s">
        <v>73</v>
      </c>
      <c r="K95" s="1041" t="s">
        <v>157</v>
      </c>
      <c r="L95" s="1140" t="s">
        <v>1992</v>
      </c>
      <c r="M95" s="1154" t="s">
        <v>1993</v>
      </c>
      <c r="N95" s="1042">
        <v>39750</v>
      </c>
      <c r="O95" s="1042" t="s">
        <v>28</v>
      </c>
      <c r="P95" s="1042" t="s">
        <v>28</v>
      </c>
      <c r="Q95" s="1054">
        <v>1</v>
      </c>
      <c r="R95" s="1053" t="s">
        <v>1994</v>
      </c>
      <c r="S95" s="1125" t="s">
        <v>1995</v>
      </c>
      <c r="T95" s="1042">
        <v>39750</v>
      </c>
      <c r="U95" s="1042" t="s">
        <v>28</v>
      </c>
      <c r="V95" s="1025">
        <f>Table62689345679[[#This Row],[Offer Value]]-Table62689345679[[#This Row],[PO Value]]</f>
        <v>0</v>
      </c>
      <c r="W95" s="1042"/>
      <c r="X95" s="1042"/>
      <c r="Y95" s="1134"/>
      <c r="Z95" s="1128"/>
      <c r="AA95" s="1129"/>
    </row>
    <row r="96" spans="1:27" ht="15.6">
      <c r="A96" s="1042"/>
      <c r="B96" s="1125"/>
      <c r="C96" s="1120" t="s">
        <v>1787</v>
      </c>
      <c r="D96" s="1120" t="s">
        <v>1777</v>
      </c>
      <c r="E96" s="1120" t="s">
        <v>873</v>
      </c>
      <c r="F96" s="1120" t="s">
        <v>1788</v>
      </c>
      <c r="G96" s="1120">
        <v>9722013361</v>
      </c>
      <c r="H96" s="1132" t="s">
        <v>1789</v>
      </c>
      <c r="I96" s="1120" t="s">
        <v>1996</v>
      </c>
      <c r="J96" s="1041" t="s">
        <v>73</v>
      </c>
      <c r="K96" s="1041" t="s">
        <v>157</v>
      </c>
      <c r="L96" s="1140" t="s">
        <v>1992</v>
      </c>
      <c r="M96" s="1154" t="s">
        <v>1993</v>
      </c>
      <c r="N96" s="1042">
        <v>39750</v>
      </c>
      <c r="O96" s="1042" t="s">
        <v>28</v>
      </c>
      <c r="P96" s="1042" t="s">
        <v>28</v>
      </c>
      <c r="Q96" s="1054">
        <v>1</v>
      </c>
      <c r="R96" s="1053" t="s">
        <v>1994</v>
      </c>
      <c r="S96" s="1125" t="s">
        <v>1995</v>
      </c>
      <c r="T96" s="1042">
        <v>39750</v>
      </c>
      <c r="U96" s="1042" t="s">
        <v>28</v>
      </c>
      <c r="V96" s="1025">
        <f>Table62689345679[[#This Row],[Offer Value]]-Table62689345679[[#This Row],[PO Value]]</f>
        <v>0</v>
      </c>
      <c r="W96" s="1042"/>
      <c r="X96" s="1042"/>
      <c r="Y96" s="1134"/>
      <c r="Z96" s="1128"/>
      <c r="AA96" s="1129"/>
    </row>
    <row r="97" spans="1:27" ht="15.6">
      <c r="A97" s="1042"/>
      <c r="B97" s="1125"/>
      <c r="C97" s="1120" t="s">
        <v>1787</v>
      </c>
      <c r="D97" s="1120" t="s">
        <v>1777</v>
      </c>
      <c r="E97" s="1120" t="s">
        <v>873</v>
      </c>
      <c r="F97" s="1120" t="s">
        <v>1788</v>
      </c>
      <c r="G97" s="1120">
        <v>9722013361</v>
      </c>
      <c r="H97" s="1132" t="s">
        <v>1789</v>
      </c>
      <c r="I97" s="1120" t="s">
        <v>1997</v>
      </c>
      <c r="J97" s="1041" t="s">
        <v>73</v>
      </c>
      <c r="K97" s="1041" t="s">
        <v>157</v>
      </c>
      <c r="L97" s="1140" t="s">
        <v>1992</v>
      </c>
      <c r="M97" s="1154" t="s">
        <v>1993</v>
      </c>
      <c r="N97" s="1042">
        <v>39750</v>
      </c>
      <c r="O97" s="1042" t="s">
        <v>28</v>
      </c>
      <c r="P97" s="1042" t="s">
        <v>28</v>
      </c>
      <c r="Q97" s="1054">
        <v>1</v>
      </c>
      <c r="R97" s="1053" t="s">
        <v>1994</v>
      </c>
      <c r="S97" s="1125" t="s">
        <v>1995</v>
      </c>
      <c r="T97" s="1042">
        <v>39750</v>
      </c>
      <c r="U97" s="1042" t="s">
        <v>28</v>
      </c>
      <c r="V97" s="1025">
        <f>Table62689345679[[#This Row],[Offer Value]]-Table62689345679[[#This Row],[PO Value]]</f>
        <v>0</v>
      </c>
      <c r="W97" s="1042"/>
      <c r="X97" s="1042"/>
      <c r="Y97" s="1134"/>
      <c r="Z97" s="1128"/>
      <c r="AA97" s="1129"/>
    </row>
    <row r="98" spans="1:27" ht="15.6">
      <c r="A98" s="1042"/>
      <c r="B98" s="1125"/>
      <c r="C98" s="1120" t="s">
        <v>1787</v>
      </c>
      <c r="D98" s="1120" t="s">
        <v>1777</v>
      </c>
      <c r="E98" s="1120" t="s">
        <v>873</v>
      </c>
      <c r="F98" s="1120" t="s">
        <v>1788</v>
      </c>
      <c r="G98" s="1120">
        <v>9722013361</v>
      </c>
      <c r="H98" s="1132" t="s">
        <v>1789</v>
      </c>
      <c r="I98" s="1120" t="s">
        <v>1998</v>
      </c>
      <c r="J98" s="1041" t="s">
        <v>73</v>
      </c>
      <c r="K98" s="1041" t="s">
        <v>157</v>
      </c>
      <c r="L98" s="1140" t="s">
        <v>1992</v>
      </c>
      <c r="M98" s="1154" t="s">
        <v>1993</v>
      </c>
      <c r="N98" s="1042">
        <v>39750</v>
      </c>
      <c r="O98" s="1042" t="s">
        <v>28</v>
      </c>
      <c r="P98" s="1042" t="s">
        <v>28</v>
      </c>
      <c r="Q98" s="1054">
        <v>1</v>
      </c>
      <c r="R98" s="1053" t="s">
        <v>1994</v>
      </c>
      <c r="S98" s="1125" t="s">
        <v>1995</v>
      </c>
      <c r="T98" s="1042">
        <v>39750</v>
      </c>
      <c r="U98" s="1042" t="s">
        <v>28</v>
      </c>
      <c r="V98" s="1025">
        <f>Table62689345679[[#This Row],[Offer Value]]-Table62689345679[[#This Row],[PO Value]]</f>
        <v>0</v>
      </c>
      <c r="W98" s="1042"/>
      <c r="X98" s="1042"/>
      <c r="Y98" s="1134"/>
      <c r="Z98" s="1128"/>
      <c r="AA98" s="1129"/>
    </row>
    <row r="99" spans="1:27" ht="15.6">
      <c r="A99" s="1042">
        <v>47</v>
      </c>
      <c r="B99" s="1125">
        <v>45934</v>
      </c>
      <c r="C99" s="1120" t="s">
        <v>1801</v>
      </c>
      <c r="D99" s="1120" t="s">
        <v>1777</v>
      </c>
      <c r="E99" s="1120" t="s">
        <v>873</v>
      </c>
      <c r="F99" s="1120" t="s">
        <v>1802</v>
      </c>
      <c r="G99" s="1120">
        <v>7046372509</v>
      </c>
      <c r="H99" s="1132" t="s">
        <v>1803</v>
      </c>
      <c r="I99" s="1120" t="s">
        <v>1804</v>
      </c>
      <c r="J99" s="1041" t="s">
        <v>75</v>
      </c>
      <c r="K99" s="1041" t="s">
        <v>138</v>
      </c>
      <c r="L99" s="1140" t="s">
        <v>1999</v>
      </c>
      <c r="M99" s="1154">
        <v>45934</v>
      </c>
      <c r="N99" s="1042">
        <v>13780</v>
      </c>
      <c r="O99" s="1042" t="s">
        <v>28</v>
      </c>
      <c r="P99" s="1042" t="s">
        <v>28</v>
      </c>
      <c r="Q99" s="1054">
        <v>1</v>
      </c>
      <c r="R99" s="1053" t="s">
        <v>2000</v>
      </c>
      <c r="S99" s="1125">
        <v>45965</v>
      </c>
      <c r="T99" s="1042">
        <v>13780</v>
      </c>
      <c r="U99" s="1042" t="s">
        <v>28</v>
      </c>
      <c r="V99" s="1025">
        <f>Table62689345679[[#This Row],[Offer Value]]-Table62689345679[[#This Row],[PO Value]]</f>
        <v>0</v>
      </c>
      <c r="W99" s="1042"/>
      <c r="X99" s="1042"/>
      <c r="Y99" s="1134"/>
      <c r="Z99" s="1128"/>
      <c r="AA99" s="1129"/>
    </row>
    <row r="100" spans="1:27" ht="15.6">
      <c r="A100" s="1042">
        <v>48</v>
      </c>
      <c r="B100" s="1125" t="s">
        <v>1993</v>
      </c>
      <c r="C100" s="1120" t="s">
        <v>1801</v>
      </c>
      <c r="D100" s="1120" t="s">
        <v>1777</v>
      </c>
      <c r="E100" s="1120" t="s">
        <v>873</v>
      </c>
      <c r="F100" s="1120" t="s">
        <v>1802</v>
      </c>
      <c r="G100" s="1120">
        <v>7046372509</v>
      </c>
      <c r="H100" s="1132" t="s">
        <v>1803</v>
      </c>
      <c r="I100" s="1120" t="s">
        <v>1806</v>
      </c>
      <c r="J100" s="1041" t="s">
        <v>73</v>
      </c>
      <c r="K100" s="1041" t="s">
        <v>138</v>
      </c>
      <c r="L100" s="1140" t="s">
        <v>2001</v>
      </c>
      <c r="M100" s="1154" t="s">
        <v>1993</v>
      </c>
      <c r="N100" s="1042">
        <v>67500</v>
      </c>
      <c r="O100" s="1042" t="s">
        <v>28</v>
      </c>
      <c r="P100" s="1042" t="s">
        <v>28</v>
      </c>
      <c r="Q100" s="1054">
        <v>1</v>
      </c>
      <c r="R100" s="1053" t="s">
        <v>2002</v>
      </c>
      <c r="S100" s="1125" t="s">
        <v>2003</v>
      </c>
      <c r="T100" s="1042">
        <v>67500</v>
      </c>
      <c r="U100" s="1042" t="s">
        <v>28</v>
      </c>
      <c r="V100" s="1025">
        <f>Table62689345679[[#This Row],[Offer Value]]-Table62689345679[[#This Row],[PO Value]]</f>
        <v>0</v>
      </c>
      <c r="W100" s="1042"/>
      <c r="X100" s="1042"/>
      <c r="Y100" s="1134"/>
      <c r="Z100" s="1128"/>
      <c r="AA100" s="1129"/>
    </row>
    <row r="101" spans="1:27" ht="15.6">
      <c r="A101" s="1042"/>
      <c r="B101" s="1125"/>
      <c r="C101" s="1120" t="s">
        <v>1801</v>
      </c>
      <c r="D101" s="1120" t="s">
        <v>1777</v>
      </c>
      <c r="E101" s="1120" t="s">
        <v>873</v>
      </c>
      <c r="F101" s="1120" t="s">
        <v>1802</v>
      </c>
      <c r="G101" s="1120">
        <v>7046372509</v>
      </c>
      <c r="H101" s="1132" t="s">
        <v>1803</v>
      </c>
      <c r="I101" s="1120" t="s">
        <v>1809</v>
      </c>
      <c r="J101" s="1041" t="s">
        <v>73</v>
      </c>
      <c r="K101" s="1041" t="s">
        <v>138</v>
      </c>
      <c r="L101" s="1140" t="s">
        <v>2001</v>
      </c>
      <c r="M101" s="1154" t="s">
        <v>1993</v>
      </c>
      <c r="N101" s="1042">
        <v>67500</v>
      </c>
      <c r="O101" s="1042" t="s">
        <v>28</v>
      </c>
      <c r="P101" s="1042" t="s">
        <v>28</v>
      </c>
      <c r="Q101" s="1054">
        <v>1</v>
      </c>
      <c r="R101" s="1053" t="s">
        <v>2002</v>
      </c>
      <c r="S101" s="1125" t="s">
        <v>2003</v>
      </c>
      <c r="T101" s="1042">
        <v>67500</v>
      </c>
      <c r="U101" s="1042" t="s">
        <v>28</v>
      </c>
      <c r="V101" s="1025">
        <f>Table62689345679[[#This Row],[Offer Value]]-Table62689345679[[#This Row],[PO Value]]</f>
        <v>0</v>
      </c>
      <c r="W101" s="1042"/>
      <c r="X101" s="1042"/>
      <c r="Y101" s="1134"/>
      <c r="Z101" s="1128"/>
      <c r="AA101" s="1129"/>
    </row>
    <row r="102" spans="1:27" ht="15.6">
      <c r="A102" s="1042"/>
      <c r="B102" s="1125"/>
      <c r="C102" s="1120" t="s">
        <v>1801</v>
      </c>
      <c r="D102" s="1120" t="s">
        <v>1777</v>
      </c>
      <c r="E102" s="1120" t="s">
        <v>873</v>
      </c>
      <c r="F102" s="1120" t="s">
        <v>1802</v>
      </c>
      <c r="G102" s="1120">
        <v>7046372509</v>
      </c>
      <c r="H102" s="1132" t="s">
        <v>1803</v>
      </c>
      <c r="I102" s="1120" t="s">
        <v>1804</v>
      </c>
      <c r="J102" s="1041" t="s">
        <v>73</v>
      </c>
      <c r="K102" s="1041" t="s">
        <v>138</v>
      </c>
      <c r="L102" s="1140" t="s">
        <v>2001</v>
      </c>
      <c r="M102" s="1154" t="s">
        <v>1993</v>
      </c>
      <c r="N102" s="1042">
        <v>67500</v>
      </c>
      <c r="O102" s="1042" t="s">
        <v>28</v>
      </c>
      <c r="P102" s="1042" t="s">
        <v>28</v>
      </c>
      <c r="Q102" s="1054">
        <v>1</v>
      </c>
      <c r="R102" s="1053" t="s">
        <v>2002</v>
      </c>
      <c r="S102" s="1125" t="s">
        <v>2003</v>
      </c>
      <c r="T102" s="1042">
        <v>67500</v>
      </c>
      <c r="U102" s="1042" t="s">
        <v>28</v>
      </c>
      <c r="V102" s="1025">
        <f>Table62689345679[[#This Row],[Offer Value]]-Table62689345679[[#This Row],[PO Value]]</f>
        <v>0</v>
      </c>
      <c r="W102" s="1042"/>
      <c r="X102" s="1042"/>
      <c r="Y102" s="1134"/>
      <c r="Z102" s="1128"/>
      <c r="AA102" s="1129"/>
    </row>
    <row r="103" spans="1:27" ht="15.6">
      <c r="A103" s="1042">
        <v>49</v>
      </c>
      <c r="B103" s="1125" t="s">
        <v>1993</v>
      </c>
      <c r="C103" s="1120" t="s">
        <v>1015</v>
      </c>
      <c r="D103" s="1120" t="s">
        <v>1777</v>
      </c>
      <c r="E103" s="1120" t="s">
        <v>873</v>
      </c>
      <c r="F103" s="1120" t="s">
        <v>2004</v>
      </c>
      <c r="G103" s="1120" t="s">
        <v>2005</v>
      </c>
      <c r="H103" s="1132" t="s">
        <v>2006</v>
      </c>
      <c r="I103" s="1120" t="s">
        <v>2007</v>
      </c>
      <c r="J103" s="1041" t="s">
        <v>73</v>
      </c>
      <c r="K103" s="1041" t="s">
        <v>138</v>
      </c>
      <c r="L103" s="1140" t="s">
        <v>2008</v>
      </c>
      <c r="M103" s="1154" t="s">
        <v>1993</v>
      </c>
      <c r="N103" s="1042">
        <v>75000</v>
      </c>
      <c r="O103" s="1042" t="s">
        <v>28</v>
      </c>
      <c r="P103" s="1042" t="s">
        <v>30</v>
      </c>
      <c r="Q103" s="1054">
        <v>1</v>
      </c>
      <c r="R103" s="1053">
        <v>1100033993</v>
      </c>
      <c r="S103" s="1125">
        <v>45721</v>
      </c>
      <c r="T103" s="1042">
        <v>75000</v>
      </c>
      <c r="U103" s="1042" t="s">
        <v>30</v>
      </c>
      <c r="V103" s="1025">
        <f>Table62689345679[[#This Row],[Offer Value]]-Table62689345679[[#This Row],[PO Value]]</f>
        <v>0</v>
      </c>
      <c r="W103" s="1042"/>
      <c r="X103" s="1042"/>
      <c r="Y103" s="1134"/>
      <c r="Z103" s="1128"/>
      <c r="AA103" s="1129"/>
    </row>
    <row r="104" spans="1:27" ht="15.6">
      <c r="A104" s="1042">
        <v>50</v>
      </c>
      <c r="B104" s="1125" t="s">
        <v>1993</v>
      </c>
      <c r="C104" s="1120" t="s">
        <v>1750</v>
      </c>
      <c r="D104" s="1120" t="s">
        <v>1751</v>
      </c>
      <c r="E104" s="1120" t="s">
        <v>2009</v>
      </c>
      <c r="F104" s="1120" t="s">
        <v>2010</v>
      </c>
      <c r="G104" s="1120">
        <v>9426567619</v>
      </c>
      <c r="H104" s="1132" t="s">
        <v>2011</v>
      </c>
      <c r="I104" s="1120" t="s">
        <v>1754</v>
      </c>
      <c r="J104" s="1041" t="s">
        <v>75</v>
      </c>
      <c r="K104" s="1041" t="s">
        <v>157</v>
      </c>
      <c r="L104" s="1140" t="s">
        <v>2012</v>
      </c>
      <c r="M104" s="1154" t="s">
        <v>2013</v>
      </c>
      <c r="N104" s="1042">
        <v>185900</v>
      </c>
      <c r="O104" s="1042" t="s">
        <v>28</v>
      </c>
      <c r="P104" s="1042" t="s">
        <v>28</v>
      </c>
      <c r="Q104" s="1054">
        <v>1</v>
      </c>
      <c r="R104" s="1053" t="s">
        <v>2014</v>
      </c>
      <c r="S104" s="1125" t="s">
        <v>1884</v>
      </c>
      <c r="T104" s="1042">
        <v>176605</v>
      </c>
      <c r="U104" s="1042" t="s">
        <v>28</v>
      </c>
      <c r="V104" s="1025">
        <v>0</v>
      </c>
      <c r="W104" s="1042"/>
      <c r="X104" s="1042"/>
      <c r="Y104" s="1134"/>
      <c r="Z104" s="1128"/>
      <c r="AA104" s="1129"/>
    </row>
    <row r="105" spans="1:27" ht="46.8">
      <c r="A105" s="106">
        <v>51</v>
      </c>
      <c r="B105" s="300" t="s">
        <v>2015</v>
      </c>
      <c r="C105" s="108" t="s">
        <v>1795</v>
      </c>
      <c r="D105" s="303" t="s">
        <v>1777</v>
      </c>
      <c r="E105" s="304" t="s">
        <v>873</v>
      </c>
      <c r="F105" s="178" t="s">
        <v>2016</v>
      </c>
      <c r="G105" s="304">
        <v>8200502609</v>
      </c>
      <c r="H105" s="182" t="s">
        <v>2017</v>
      </c>
      <c r="I105" s="105" t="s">
        <v>1798</v>
      </c>
      <c r="J105" s="108" t="s">
        <v>75</v>
      </c>
      <c r="K105" s="108" t="s">
        <v>157</v>
      </c>
      <c r="L105" s="457" t="s">
        <v>2018</v>
      </c>
      <c r="M105" s="300" t="s">
        <v>2015</v>
      </c>
      <c r="N105" s="300">
        <v>285600</v>
      </c>
      <c r="O105" s="483" t="s">
        <v>28</v>
      </c>
      <c r="P105" s="483"/>
      <c r="Q105" s="306">
        <v>0.5</v>
      </c>
      <c r="R105" s="302"/>
      <c r="S105" s="301"/>
      <c r="T105" s="300"/>
      <c r="U105" s="300"/>
      <c r="V105" s="284">
        <f>Table62689345679[[#This Row],[Offer Value]]-Table62689345679[[#This Row],[PO Value]]</f>
        <v>285600</v>
      </c>
      <c r="W105" s="300"/>
      <c r="X105" s="300"/>
      <c r="Y105" s="610"/>
      <c r="Z105" s="319"/>
      <c r="AA105" s="602"/>
    </row>
    <row r="106" spans="1:27" ht="15.6">
      <c r="A106" s="937">
        <v>52</v>
      </c>
      <c r="B106" s="1446" t="s">
        <v>2015</v>
      </c>
      <c r="C106" s="944" t="s">
        <v>2019</v>
      </c>
      <c r="D106" s="1441" t="s">
        <v>1737</v>
      </c>
      <c r="E106" s="1592" t="s">
        <v>873</v>
      </c>
      <c r="F106" s="1592" t="s">
        <v>2020</v>
      </c>
      <c r="G106" s="1592">
        <v>8448031012</v>
      </c>
      <c r="H106" s="1787" t="s">
        <v>2021</v>
      </c>
      <c r="I106" s="1010" t="s">
        <v>2022</v>
      </c>
      <c r="J106" s="944" t="s">
        <v>73</v>
      </c>
      <c r="K106" s="944" t="s">
        <v>157</v>
      </c>
      <c r="L106" s="1783" t="s">
        <v>2023</v>
      </c>
      <c r="M106" s="1446" t="s">
        <v>2015</v>
      </c>
      <c r="N106" s="1446">
        <v>85000</v>
      </c>
      <c r="O106" s="1603" t="s">
        <v>28</v>
      </c>
      <c r="P106" s="1603" t="s">
        <v>30</v>
      </c>
      <c r="Q106" s="1054">
        <v>1</v>
      </c>
      <c r="R106" s="1784">
        <v>115487274</v>
      </c>
      <c r="S106" s="1582" t="s">
        <v>2024</v>
      </c>
      <c r="T106" s="1446">
        <v>81600</v>
      </c>
      <c r="U106" s="1446" t="s">
        <v>30</v>
      </c>
      <c r="V106" s="976">
        <v>0</v>
      </c>
      <c r="W106" s="1446"/>
      <c r="X106" s="1446"/>
      <c r="Y106" s="1788"/>
      <c r="Z106" s="977"/>
      <c r="AA106" s="1789"/>
    </row>
    <row r="107" spans="1:27" ht="15.6">
      <c r="A107" s="937"/>
      <c r="B107" s="1582"/>
      <c r="C107" s="944" t="s">
        <v>2019</v>
      </c>
      <c r="D107" s="1441" t="s">
        <v>1737</v>
      </c>
      <c r="E107" s="1592" t="s">
        <v>873</v>
      </c>
      <c r="F107" s="1592" t="s">
        <v>2020</v>
      </c>
      <c r="G107" s="1592">
        <v>8448031012</v>
      </c>
      <c r="H107" s="1786" t="s">
        <v>2021</v>
      </c>
      <c r="I107" s="1010" t="s">
        <v>2025</v>
      </c>
      <c r="J107" s="944" t="s">
        <v>73</v>
      </c>
      <c r="K107" s="944" t="s">
        <v>157</v>
      </c>
      <c r="L107" s="1783" t="s">
        <v>2023</v>
      </c>
      <c r="M107" s="1446" t="s">
        <v>2015</v>
      </c>
      <c r="N107" s="1446">
        <v>85000</v>
      </c>
      <c r="O107" s="1603" t="s">
        <v>28</v>
      </c>
      <c r="P107" s="1603" t="s">
        <v>30</v>
      </c>
      <c r="Q107" s="1054">
        <v>1</v>
      </c>
      <c r="R107" s="1784">
        <v>115487274</v>
      </c>
      <c r="S107" s="1582" t="s">
        <v>2024</v>
      </c>
      <c r="T107" s="1446">
        <v>81600</v>
      </c>
      <c r="U107" s="1446" t="s">
        <v>30</v>
      </c>
      <c r="V107" s="976">
        <v>0</v>
      </c>
      <c r="W107" s="1446"/>
      <c r="X107" s="1446"/>
      <c r="Y107" s="1788"/>
      <c r="Z107" s="977"/>
      <c r="AA107" s="1789"/>
    </row>
    <row r="108" spans="1:27" ht="15.6">
      <c r="A108" s="937"/>
      <c r="B108" s="1582"/>
      <c r="C108" s="944" t="s">
        <v>2019</v>
      </c>
      <c r="D108" s="1441" t="s">
        <v>1737</v>
      </c>
      <c r="E108" s="1592" t="s">
        <v>873</v>
      </c>
      <c r="F108" s="1592" t="s">
        <v>2020</v>
      </c>
      <c r="G108" s="1592">
        <v>8448031012</v>
      </c>
      <c r="H108" s="1786" t="s">
        <v>2021</v>
      </c>
      <c r="I108" s="1010" t="s">
        <v>2026</v>
      </c>
      <c r="J108" s="944" t="s">
        <v>73</v>
      </c>
      <c r="K108" s="944" t="s">
        <v>157</v>
      </c>
      <c r="L108" s="1783" t="s">
        <v>2023</v>
      </c>
      <c r="M108" s="1446" t="s">
        <v>2015</v>
      </c>
      <c r="N108" s="1446">
        <v>85000</v>
      </c>
      <c r="O108" s="1603" t="s">
        <v>28</v>
      </c>
      <c r="P108" s="1603" t="s">
        <v>30</v>
      </c>
      <c r="Q108" s="1054">
        <v>1</v>
      </c>
      <c r="R108" s="1784">
        <v>115487274</v>
      </c>
      <c r="S108" s="1582" t="s">
        <v>2024</v>
      </c>
      <c r="T108" s="1446">
        <v>81600</v>
      </c>
      <c r="U108" s="1446" t="s">
        <v>30</v>
      </c>
      <c r="V108" s="976">
        <v>0</v>
      </c>
      <c r="W108" s="1446"/>
      <c r="X108" s="1446"/>
      <c r="Y108" s="1788"/>
      <c r="Z108" s="977"/>
      <c r="AA108" s="1789"/>
    </row>
    <row r="109" spans="1:27" ht="15.6">
      <c r="A109" s="937">
        <v>53</v>
      </c>
      <c r="B109" s="1582" t="s">
        <v>2027</v>
      </c>
      <c r="C109" s="944" t="s">
        <v>984</v>
      </c>
      <c r="D109" s="1441" t="s">
        <v>1816</v>
      </c>
      <c r="E109" s="1592" t="s">
        <v>1744</v>
      </c>
      <c r="F109" s="1592" t="s">
        <v>1817</v>
      </c>
      <c r="G109" s="1592">
        <v>7624008077</v>
      </c>
      <c r="H109" s="1786" t="s">
        <v>1818</v>
      </c>
      <c r="I109" s="1010" t="s">
        <v>1819</v>
      </c>
      <c r="J109" s="944" t="s">
        <v>75</v>
      </c>
      <c r="K109" s="944" t="s">
        <v>138</v>
      </c>
      <c r="L109" s="944" t="s">
        <v>2028</v>
      </c>
      <c r="M109" s="1445" t="s">
        <v>2027</v>
      </c>
      <c r="N109" s="1446">
        <v>198600</v>
      </c>
      <c r="O109" s="1603" t="s">
        <v>28</v>
      </c>
      <c r="P109" s="1603" t="s">
        <v>30</v>
      </c>
      <c r="Q109" s="1054">
        <v>1</v>
      </c>
      <c r="R109" s="1784">
        <v>1500132699</v>
      </c>
      <c r="S109" s="1582">
        <v>45874</v>
      </c>
      <c r="T109" s="1446">
        <v>188670</v>
      </c>
      <c r="U109" s="1446" t="s">
        <v>30</v>
      </c>
      <c r="V109" s="976">
        <v>0</v>
      </c>
      <c r="W109" s="1446"/>
      <c r="X109" s="1446"/>
      <c r="Y109" s="1788"/>
      <c r="Z109" s="977"/>
      <c r="AA109" s="1789"/>
    </row>
    <row r="110" spans="1:27" ht="31.2">
      <c r="A110" s="937">
        <v>54</v>
      </c>
      <c r="B110" s="1582" t="s">
        <v>2003</v>
      </c>
      <c r="C110" s="944" t="s">
        <v>2029</v>
      </c>
      <c r="D110" s="1441" t="s">
        <v>1777</v>
      </c>
      <c r="E110" s="1592" t="s">
        <v>873</v>
      </c>
      <c r="F110" s="1592" t="s">
        <v>2030</v>
      </c>
      <c r="G110" s="1592" t="s">
        <v>2031</v>
      </c>
      <c r="H110" s="1787" t="s">
        <v>2032</v>
      </c>
      <c r="I110" s="1010" t="s">
        <v>2033</v>
      </c>
      <c r="J110" s="944" t="s">
        <v>75</v>
      </c>
      <c r="K110" s="944" t="s">
        <v>157</v>
      </c>
      <c r="L110" s="1443" t="s">
        <v>2034</v>
      </c>
      <c r="M110" s="1445" t="s">
        <v>2003</v>
      </c>
      <c r="N110" s="1446">
        <v>742000</v>
      </c>
      <c r="O110" s="1603" t="s">
        <v>28</v>
      </c>
      <c r="P110" s="1603" t="s">
        <v>30</v>
      </c>
      <c r="Q110" s="1054">
        <v>1</v>
      </c>
      <c r="R110" s="1784">
        <v>4510232266</v>
      </c>
      <c r="S110" s="1582">
        <v>45996</v>
      </c>
      <c r="T110" s="1446">
        <v>471295</v>
      </c>
      <c r="U110" s="1446" t="s">
        <v>30</v>
      </c>
      <c r="V110" s="1790">
        <v>0</v>
      </c>
      <c r="W110" s="1446"/>
      <c r="X110" s="1446"/>
      <c r="Y110" s="1788"/>
      <c r="Z110" s="977" t="s">
        <v>208</v>
      </c>
      <c r="AA110" s="1789" t="s">
        <v>208</v>
      </c>
    </row>
    <row r="111" spans="1:27" ht="31.2">
      <c r="A111" s="937">
        <v>55</v>
      </c>
      <c r="B111" s="1582">
        <v>45752</v>
      </c>
      <c r="C111" s="944" t="s">
        <v>1787</v>
      </c>
      <c r="D111" s="1441" t="s">
        <v>1777</v>
      </c>
      <c r="E111" s="1441" t="s">
        <v>873</v>
      </c>
      <c r="F111" s="1441" t="s">
        <v>1788</v>
      </c>
      <c r="G111" s="1010">
        <v>9722013361</v>
      </c>
      <c r="H111" s="1782" t="s">
        <v>1789</v>
      </c>
      <c r="I111" s="1010" t="s">
        <v>1998</v>
      </c>
      <c r="J111" s="944" t="s">
        <v>75</v>
      </c>
      <c r="K111" s="944" t="s">
        <v>138</v>
      </c>
      <c r="L111" s="1443" t="s">
        <v>2035</v>
      </c>
      <c r="M111" s="1445">
        <v>45752</v>
      </c>
      <c r="N111" s="1446">
        <v>410500</v>
      </c>
      <c r="O111" s="1603" t="s">
        <v>30</v>
      </c>
      <c r="P111" s="1603" t="s">
        <v>34</v>
      </c>
      <c r="Q111" s="1054">
        <v>1</v>
      </c>
      <c r="R111" s="1784" t="s">
        <v>2036</v>
      </c>
      <c r="S111" s="1446" t="s">
        <v>2037</v>
      </c>
      <c r="T111" s="1446">
        <v>198360</v>
      </c>
      <c r="U111" s="1446" t="s">
        <v>34</v>
      </c>
      <c r="V111" s="976">
        <v>0</v>
      </c>
      <c r="W111" s="1446"/>
      <c r="X111" s="1446"/>
      <c r="Y111" s="1788"/>
      <c r="Z111" s="977"/>
      <c r="AA111" s="1789"/>
    </row>
    <row r="112" spans="1:27" ht="15.6">
      <c r="A112" s="937">
        <v>56</v>
      </c>
      <c r="B112" s="1582">
        <v>45813</v>
      </c>
      <c r="C112" s="944" t="s">
        <v>1015</v>
      </c>
      <c r="D112" s="1441" t="s">
        <v>1777</v>
      </c>
      <c r="E112" s="1441" t="s">
        <v>1730</v>
      </c>
      <c r="F112" s="1441" t="s">
        <v>2038</v>
      </c>
      <c r="G112" s="1441">
        <v>8368448480</v>
      </c>
      <c r="H112" s="1787" t="s">
        <v>2039</v>
      </c>
      <c r="I112" s="1010" t="s">
        <v>2007</v>
      </c>
      <c r="J112" s="944" t="s">
        <v>75</v>
      </c>
      <c r="K112" s="944" t="s">
        <v>138</v>
      </c>
      <c r="L112" s="1443" t="s">
        <v>2040</v>
      </c>
      <c r="M112" s="1445">
        <v>45813</v>
      </c>
      <c r="N112" s="1446">
        <v>47080</v>
      </c>
      <c r="O112" s="1603" t="s">
        <v>30</v>
      </c>
      <c r="P112" s="1603" t="s">
        <v>34</v>
      </c>
      <c r="Q112" s="1054">
        <v>1</v>
      </c>
      <c r="R112" s="1784">
        <v>6500021694</v>
      </c>
      <c r="S112" s="1582">
        <v>45996</v>
      </c>
      <c r="T112" s="1446">
        <v>45197</v>
      </c>
      <c r="U112" s="1446" t="s">
        <v>30</v>
      </c>
      <c r="V112" s="976">
        <v>0</v>
      </c>
      <c r="W112" s="1446"/>
      <c r="X112" s="1446"/>
      <c r="Y112" s="1788"/>
      <c r="Z112" s="977"/>
      <c r="AA112" s="1789"/>
    </row>
    <row r="113" spans="1:27" ht="15.6">
      <c r="A113" s="937">
        <v>57</v>
      </c>
      <c r="B113" s="1446" t="s">
        <v>1541</v>
      </c>
      <c r="C113" s="944" t="s">
        <v>1850</v>
      </c>
      <c r="D113" s="1441" t="s">
        <v>1840</v>
      </c>
      <c r="E113" s="1441" t="s">
        <v>873</v>
      </c>
      <c r="F113" s="1441" t="s">
        <v>1851</v>
      </c>
      <c r="G113" s="1441">
        <v>9575300235</v>
      </c>
      <c r="H113" s="1320" t="s">
        <v>1852</v>
      </c>
      <c r="I113" s="1010" t="s">
        <v>1853</v>
      </c>
      <c r="J113" s="944" t="s">
        <v>75</v>
      </c>
      <c r="K113" s="944" t="s">
        <v>138</v>
      </c>
      <c r="L113" s="1443" t="s">
        <v>2041</v>
      </c>
      <c r="M113" s="1443" t="s">
        <v>1541</v>
      </c>
      <c r="N113" s="1446">
        <v>17900</v>
      </c>
      <c r="O113" s="1603" t="s">
        <v>30</v>
      </c>
      <c r="P113" s="1603" t="s">
        <v>34</v>
      </c>
      <c r="Q113" s="1054">
        <v>1</v>
      </c>
      <c r="R113" s="1784">
        <v>6405019827</v>
      </c>
      <c r="S113" s="1582" t="s">
        <v>1541</v>
      </c>
      <c r="T113" s="1446">
        <v>17900</v>
      </c>
      <c r="U113" s="1446" t="s">
        <v>34</v>
      </c>
      <c r="V113" s="976">
        <f>Table62689345679[[#This Row],[Offer Value]]-Table62689345679[[#This Row],[PO Value]]</f>
        <v>0</v>
      </c>
      <c r="W113" s="1446"/>
      <c r="X113" s="1446"/>
      <c r="Y113" s="1595"/>
      <c r="Z113" s="977"/>
      <c r="AA113" s="1789"/>
    </row>
    <row r="114" spans="1:27" ht="15.6">
      <c r="A114" s="106">
        <v>58</v>
      </c>
      <c r="B114" s="300" t="s">
        <v>1541</v>
      </c>
      <c r="C114" s="108" t="s">
        <v>2042</v>
      </c>
      <c r="D114" s="303" t="s">
        <v>1777</v>
      </c>
      <c r="E114" s="304" t="s">
        <v>277</v>
      </c>
      <c r="F114" s="304" t="s">
        <v>2043</v>
      </c>
      <c r="G114" s="304">
        <v>9913610133</v>
      </c>
      <c r="H114" s="182" t="s">
        <v>2044</v>
      </c>
      <c r="I114" s="105" t="s">
        <v>2045</v>
      </c>
      <c r="J114" s="108" t="s">
        <v>75</v>
      </c>
      <c r="K114" s="108" t="s">
        <v>157</v>
      </c>
      <c r="L114" s="178" t="s">
        <v>2046</v>
      </c>
      <c r="M114" s="178" t="s">
        <v>1541</v>
      </c>
      <c r="N114" s="300">
        <v>427190</v>
      </c>
      <c r="O114" s="483" t="s">
        <v>30</v>
      </c>
      <c r="P114" s="483"/>
      <c r="Q114" s="306">
        <v>0.5</v>
      </c>
      <c r="R114" s="302"/>
      <c r="S114" s="300"/>
      <c r="T114" s="300"/>
      <c r="U114" s="300"/>
      <c r="V114" s="284">
        <f>Table62689345679[[#This Row],[Offer Value]]-Table62689345679[[#This Row],[PO Value]]</f>
        <v>427190</v>
      </c>
      <c r="W114" s="300"/>
      <c r="X114" s="300"/>
      <c r="Y114" s="611"/>
      <c r="Z114" s="319" t="s">
        <v>208</v>
      </c>
      <c r="AA114" s="452"/>
    </row>
    <row r="115" spans="1:27" ht="15.6">
      <c r="A115" s="937">
        <v>59</v>
      </c>
      <c r="B115" s="1582" t="s">
        <v>1527</v>
      </c>
      <c r="C115" s="944" t="s">
        <v>1878</v>
      </c>
      <c r="D115" s="1441" t="s">
        <v>1879</v>
      </c>
      <c r="E115" s="1449" t="s">
        <v>277</v>
      </c>
      <c r="F115" s="1449" t="s">
        <v>1880</v>
      </c>
      <c r="G115" s="1449">
        <v>9414738104</v>
      </c>
      <c r="H115" s="1439" t="s">
        <v>1881</v>
      </c>
      <c r="I115" s="1449" t="s">
        <v>1882</v>
      </c>
      <c r="J115" s="944" t="s">
        <v>75</v>
      </c>
      <c r="K115" s="944" t="s">
        <v>138</v>
      </c>
      <c r="L115" s="1443" t="s">
        <v>2047</v>
      </c>
      <c r="M115" s="1445" t="s">
        <v>1527</v>
      </c>
      <c r="N115" s="1446">
        <v>246900</v>
      </c>
      <c r="O115" s="1603" t="s">
        <v>30</v>
      </c>
      <c r="P115" s="1603" t="s">
        <v>34</v>
      </c>
      <c r="Q115" s="1054">
        <v>1</v>
      </c>
      <c r="R115" s="1784">
        <v>2102501852</v>
      </c>
      <c r="S115" s="1582">
        <v>45997</v>
      </c>
      <c r="T115" s="1446">
        <v>234555</v>
      </c>
      <c r="U115" s="1446" t="s">
        <v>34</v>
      </c>
      <c r="V115" s="976">
        <v>0</v>
      </c>
      <c r="W115" s="1446"/>
      <c r="X115" s="1446"/>
      <c r="Y115" s="1595"/>
      <c r="Z115" s="977"/>
      <c r="AA115" s="1789"/>
    </row>
    <row r="116" spans="1:27" ht="15.6">
      <c r="A116" s="937">
        <v>60</v>
      </c>
      <c r="B116" s="1582" t="s">
        <v>1527</v>
      </c>
      <c r="C116" s="944" t="s">
        <v>2048</v>
      </c>
      <c r="D116" s="1441" t="s">
        <v>1777</v>
      </c>
      <c r="E116" s="1592" t="s">
        <v>2009</v>
      </c>
      <c r="F116" s="1592" t="s">
        <v>2049</v>
      </c>
      <c r="G116" s="1592">
        <v>9099032636</v>
      </c>
      <c r="H116" s="1787" t="s">
        <v>2050</v>
      </c>
      <c r="I116" s="1010" t="s">
        <v>2051</v>
      </c>
      <c r="J116" s="944" t="s">
        <v>73</v>
      </c>
      <c r="K116" s="944" t="s">
        <v>138</v>
      </c>
      <c r="L116" s="1443" t="s">
        <v>2052</v>
      </c>
      <c r="M116" s="1445" t="s">
        <v>1527</v>
      </c>
      <c r="N116" s="1446">
        <v>90000</v>
      </c>
      <c r="O116" s="1603" t="s">
        <v>30</v>
      </c>
      <c r="P116" s="1603" t="s">
        <v>34</v>
      </c>
      <c r="Q116" s="1054">
        <v>1</v>
      </c>
      <c r="R116" s="1784">
        <v>326050136</v>
      </c>
      <c r="S116" s="1582" t="s">
        <v>1491</v>
      </c>
      <c r="T116" s="1446">
        <v>90000</v>
      </c>
      <c r="U116" s="1446" t="s">
        <v>34</v>
      </c>
      <c r="V116" s="976">
        <f>Table62689345679[[#This Row],[Offer Value]]-Table62689345679[[#This Row],[PO Value]]</f>
        <v>0</v>
      </c>
      <c r="W116" s="1446"/>
      <c r="X116" s="1446"/>
      <c r="Y116" s="1788"/>
      <c r="Z116" s="977"/>
      <c r="AA116" s="1785"/>
    </row>
    <row r="117" spans="1:27" ht="21.75" customHeight="1">
      <c r="A117" s="937">
        <v>61</v>
      </c>
      <c r="B117" s="1582" t="s">
        <v>1527</v>
      </c>
      <c r="C117" s="944" t="s">
        <v>2053</v>
      </c>
      <c r="D117" s="1441" t="s">
        <v>1840</v>
      </c>
      <c r="E117" s="1592" t="s">
        <v>873</v>
      </c>
      <c r="F117" s="1592" t="s">
        <v>2054</v>
      </c>
      <c r="G117" s="1592">
        <v>7389445566</v>
      </c>
      <c r="H117" s="1787" t="s">
        <v>2055</v>
      </c>
      <c r="I117" s="1010" t="s">
        <v>2056</v>
      </c>
      <c r="J117" s="944" t="s">
        <v>73</v>
      </c>
      <c r="K117" s="944" t="s">
        <v>138</v>
      </c>
      <c r="L117" s="1443" t="s">
        <v>2057</v>
      </c>
      <c r="M117" s="1445" t="s">
        <v>1527</v>
      </c>
      <c r="N117" s="1446">
        <v>84480</v>
      </c>
      <c r="O117" s="1603" t="s">
        <v>30</v>
      </c>
      <c r="P117" s="1603" t="s">
        <v>34</v>
      </c>
      <c r="Q117" s="1054">
        <v>1</v>
      </c>
      <c r="R117" s="1784">
        <v>1421076377</v>
      </c>
      <c r="S117" s="1582">
        <v>45753</v>
      </c>
      <c r="T117" s="1446">
        <v>84480</v>
      </c>
      <c r="U117" s="1446" t="s">
        <v>34</v>
      </c>
      <c r="V117" s="976">
        <f>Table62689345679[[#This Row],[Offer Value]]-Table62689345679[[#This Row],[PO Value]]</f>
        <v>0</v>
      </c>
      <c r="W117" s="1446"/>
      <c r="X117" s="1446"/>
      <c r="Y117" s="1788"/>
      <c r="Z117" s="977"/>
      <c r="AA117" s="1785"/>
    </row>
    <row r="118" spans="1:27" ht="15.6">
      <c r="A118" s="937">
        <v>62</v>
      </c>
      <c r="B118" s="1582" t="s">
        <v>1527</v>
      </c>
      <c r="C118" s="944" t="s">
        <v>2058</v>
      </c>
      <c r="D118" s="1441" t="s">
        <v>1777</v>
      </c>
      <c r="E118" s="1592" t="s">
        <v>873</v>
      </c>
      <c r="F118" s="1592" t="s">
        <v>2059</v>
      </c>
      <c r="G118" s="1592">
        <v>9898877282</v>
      </c>
      <c r="H118" s="1787" t="s">
        <v>2060</v>
      </c>
      <c r="I118" s="1010" t="s">
        <v>2061</v>
      </c>
      <c r="J118" s="944" t="s">
        <v>73</v>
      </c>
      <c r="K118" s="944" t="s">
        <v>138</v>
      </c>
      <c r="L118" s="1443" t="s">
        <v>2062</v>
      </c>
      <c r="M118" s="1445" t="s">
        <v>1527</v>
      </c>
      <c r="N118" s="1446">
        <v>76440</v>
      </c>
      <c r="O118" s="1603" t="s">
        <v>30</v>
      </c>
      <c r="P118" s="1603" t="s">
        <v>34</v>
      </c>
      <c r="Q118" s="1054">
        <v>1</v>
      </c>
      <c r="R118" s="1784">
        <v>8480224138</v>
      </c>
      <c r="S118" s="1582">
        <v>45936</v>
      </c>
      <c r="T118" s="1446">
        <v>76440</v>
      </c>
      <c r="U118" s="1446" t="s">
        <v>34</v>
      </c>
      <c r="V118" s="976">
        <f>Table62689345679[[#This Row],[Offer Value]]-Table62689345679[[#This Row],[PO Value]]</f>
        <v>0</v>
      </c>
      <c r="W118" s="1446"/>
      <c r="X118" s="1446"/>
      <c r="Y118" s="1788"/>
      <c r="Z118" s="977"/>
      <c r="AA118" s="1785"/>
    </row>
    <row r="119" spans="1:27" ht="15.6">
      <c r="A119" s="937"/>
      <c r="B119" s="1446"/>
      <c r="C119" s="944" t="s">
        <v>2058</v>
      </c>
      <c r="D119" s="1441" t="s">
        <v>1777</v>
      </c>
      <c r="E119" s="1592" t="s">
        <v>873</v>
      </c>
      <c r="F119" s="1592" t="s">
        <v>2059</v>
      </c>
      <c r="G119" s="1592">
        <v>9898877282</v>
      </c>
      <c r="H119" s="1787" t="s">
        <v>2060</v>
      </c>
      <c r="I119" s="1010" t="s">
        <v>2063</v>
      </c>
      <c r="J119" s="944" t="s">
        <v>73</v>
      </c>
      <c r="K119" s="944" t="s">
        <v>138</v>
      </c>
      <c r="L119" s="1443" t="s">
        <v>2062</v>
      </c>
      <c r="M119" s="1445" t="s">
        <v>1527</v>
      </c>
      <c r="N119" s="1446">
        <v>76440</v>
      </c>
      <c r="O119" s="1603" t="s">
        <v>30</v>
      </c>
      <c r="P119" s="1603" t="s">
        <v>34</v>
      </c>
      <c r="Q119" s="1054">
        <v>1</v>
      </c>
      <c r="R119" s="1784">
        <v>8480224138</v>
      </c>
      <c r="S119" s="1582">
        <v>45936</v>
      </c>
      <c r="T119" s="1446">
        <v>76440</v>
      </c>
      <c r="U119" s="1446" t="s">
        <v>34</v>
      </c>
      <c r="V119" s="976">
        <f>Table62689345679[[#This Row],[Offer Value]]-Table62689345679[[#This Row],[PO Value]]</f>
        <v>0</v>
      </c>
      <c r="W119" s="1446"/>
      <c r="X119" s="1446"/>
      <c r="Y119" s="1788"/>
      <c r="Z119" s="977"/>
      <c r="AA119" s="1785"/>
    </row>
    <row r="120" spans="1:27" ht="15.6">
      <c r="A120" s="937"/>
      <c r="B120" s="1446"/>
      <c r="C120" s="944" t="s">
        <v>2058</v>
      </c>
      <c r="D120" s="1441" t="s">
        <v>1777</v>
      </c>
      <c r="E120" s="1592" t="s">
        <v>873</v>
      </c>
      <c r="F120" s="1592" t="s">
        <v>2059</v>
      </c>
      <c r="G120" s="1592">
        <v>9898877282</v>
      </c>
      <c r="H120" s="1787" t="s">
        <v>2060</v>
      </c>
      <c r="I120" s="1010" t="s">
        <v>2064</v>
      </c>
      <c r="J120" s="944" t="s">
        <v>73</v>
      </c>
      <c r="K120" s="944" t="s">
        <v>138</v>
      </c>
      <c r="L120" s="1443" t="s">
        <v>2062</v>
      </c>
      <c r="M120" s="1445" t="s">
        <v>1527</v>
      </c>
      <c r="N120" s="1446">
        <v>76440</v>
      </c>
      <c r="O120" s="1603" t="s">
        <v>30</v>
      </c>
      <c r="P120" s="1603" t="s">
        <v>34</v>
      </c>
      <c r="Q120" s="1054">
        <v>1</v>
      </c>
      <c r="R120" s="1784">
        <v>8480224138</v>
      </c>
      <c r="S120" s="1582">
        <v>45936</v>
      </c>
      <c r="T120" s="1446">
        <v>76440</v>
      </c>
      <c r="U120" s="1446" t="s">
        <v>34</v>
      </c>
      <c r="V120" s="976">
        <f>Table62689345679[[#This Row],[Offer Value]]-Table62689345679[[#This Row],[PO Value]]</f>
        <v>0</v>
      </c>
      <c r="W120" s="1446"/>
      <c r="X120" s="1446"/>
      <c r="Y120" s="1788"/>
      <c r="Z120" s="977"/>
      <c r="AA120" s="1785"/>
    </row>
    <row r="121" spans="1:27" ht="15.6">
      <c r="A121" s="937"/>
      <c r="B121" s="1446"/>
      <c r="C121" s="944" t="s">
        <v>2058</v>
      </c>
      <c r="D121" s="1441" t="s">
        <v>1777</v>
      </c>
      <c r="E121" s="1592" t="s">
        <v>873</v>
      </c>
      <c r="F121" s="1592" t="s">
        <v>2059</v>
      </c>
      <c r="G121" s="1592">
        <v>9898877282</v>
      </c>
      <c r="H121" s="1787" t="s">
        <v>2060</v>
      </c>
      <c r="I121" s="1010" t="s">
        <v>2065</v>
      </c>
      <c r="J121" s="944" t="s">
        <v>73</v>
      </c>
      <c r="K121" s="944" t="s">
        <v>138</v>
      </c>
      <c r="L121" s="1443" t="s">
        <v>2062</v>
      </c>
      <c r="M121" s="1445" t="s">
        <v>1527</v>
      </c>
      <c r="N121" s="1446">
        <v>76440</v>
      </c>
      <c r="O121" s="1603" t="s">
        <v>30</v>
      </c>
      <c r="P121" s="1603" t="s">
        <v>34</v>
      </c>
      <c r="Q121" s="1054">
        <v>1</v>
      </c>
      <c r="R121" s="1784">
        <v>8480224138</v>
      </c>
      <c r="S121" s="1582">
        <v>45936</v>
      </c>
      <c r="T121" s="1446">
        <v>76440</v>
      </c>
      <c r="U121" s="1446" t="s">
        <v>34</v>
      </c>
      <c r="V121" s="976">
        <f>Table62689345679[[#This Row],[Offer Value]]-Table62689345679[[#This Row],[PO Value]]</f>
        <v>0</v>
      </c>
      <c r="W121" s="1446"/>
      <c r="X121" s="1446"/>
      <c r="Y121" s="1788"/>
      <c r="Z121" s="977"/>
      <c r="AA121" s="1785"/>
    </row>
    <row r="122" spans="1:27" ht="15.6">
      <c r="A122" s="937"/>
      <c r="B122" s="1446"/>
      <c r="C122" s="944" t="s">
        <v>2058</v>
      </c>
      <c r="D122" s="1441" t="s">
        <v>1777</v>
      </c>
      <c r="E122" s="1592" t="s">
        <v>873</v>
      </c>
      <c r="F122" s="1592" t="s">
        <v>2059</v>
      </c>
      <c r="G122" s="1592">
        <v>9898877282</v>
      </c>
      <c r="H122" s="1787" t="s">
        <v>2060</v>
      </c>
      <c r="I122" s="1010" t="s">
        <v>2066</v>
      </c>
      <c r="J122" s="944" t="s">
        <v>73</v>
      </c>
      <c r="K122" s="944" t="s">
        <v>138</v>
      </c>
      <c r="L122" s="1443" t="s">
        <v>2062</v>
      </c>
      <c r="M122" s="1445" t="s">
        <v>1527</v>
      </c>
      <c r="N122" s="1446">
        <v>76440</v>
      </c>
      <c r="O122" s="1603" t="s">
        <v>30</v>
      </c>
      <c r="P122" s="1603" t="s">
        <v>34</v>
      </c>
      <c r="Q122" s="1054">
        <v>1</v>
      </c>
      <c r="R122" s="1784">
        <v>8480224138</v>
      </c>
      <c r="S122" s="1582">
        <v>45936</v>
      </c>
      <c r="T122" s="1446">
        <v>76440</v>
      </c>
      <c r="U122" s="1446" t="s">
        <v>34</v>
      </c>
      <c r="V122" s="976">
        <f>Table62689345679[[#This Row],[Offer Value]]-Table62689345679[[#This Row],[PO Value]]</f>
        <v>0</v>
      </c>
      <c r="W122" s="1446"/>
      <c r="X122" s="1446"/>
      <c r="Y122" s="1595"/>
      <c r="Z122" s="977"/>
      <c r="AA122" s="1785"/>
    </row>
    <row r="123" spans="1:27" ht="15.6">
      <c r="A123" s="937"/>
      <c r="B123" s="1446"/>
      <c r="C123" s="944" t="s">
        <v>2058</v>
      </c>
      <c r="D123" s="1441" t="s">
        <v>1777</v>
      </c>
      <c r="E123" s="1592" t="s">
        <v>873</v>
      </c>
      <c r="F123" s="1592" t="s">
        <v>2059</v>
      </c>
      <c r="G123" s="1592">
        <v>9898877282</v>
      </c>
      <c r="H123" s="1787" t="s">
        <v>2060</v>
      </c>
      <c r="I123" s="1010" t="s">
        <v>2067</v>
      </c>
      <c r="J123" s="944" t="s">
        <v>73</v>
      </c>
      <c r="K123" s="944" t="s">
        <v>138</v>
      </c>
      <c r="L123" s="1443" t="s">
        <v>2062</v>
      </c>
      <c r="M123" s="1445" t="s">
        <v>1527</v>
      </c>
      <c r="N123" s="1446">
        <v>76440</v>
      </c>
      <c r="O123" s="1603" t="s">
        <v>30</v>
      </c>
      <c r="P123" s="1603" t="s">
        <v>34</v>
      </c>
      <c r="Q123" s="1054">
        <v>1</v>
      </c>
      <c r="R123" s="1784">
        <v>8480224138</v>
      </c>
      <c r="S123" s="1582">
        <v>45936</v>
      </c>
      <c r="T123" s="1446">
        <v>76440</v>
      </c>
      <c r="U123" s="1446" t="s">
        <v>34</v>
      </c>
      <c r="V123" s="976">
        <f>Table62689345679[[#This Row],[Offer Value]]-Table62689345679[[#This Row],[PO Value]]</f>
        <v>0</v>
      </c>
      <c r="W123" s="1446"/>
      <c r="X123" s="1446"/>
      <c r="Y123" s="1595"/>
      <c r="Z123" s="977"/>
      <c r="AA123" s="1785"/>
    </row>
    <row r="124" spans="1:27" ht="15.6">
      <c r="A124" s="937"/>
      <c r="B124" s="1446"/>
      <c r="C124" s="944" t="s">
        <v>2058</v>
      </c>
      <c r="D124" s="1441" t="s">
        <v>1777</v>
      </c>
      <c r="E124" s="1592" t="s">
        <v>873</v>
      </c>
      <c r="F124" s="1592" t="s">
        <v>2059</v>
      </c>
      <c r="G124" s="1592">
        <v>9898877282</v>
      </c>
      <c r="H124" s="1787" t="s">
        <v>2060</v>
      </c>
      <c r="I124" s="1010" t="s">
        <v>2068</v>
      </c>
      <c r="J124" s="944" t="s">
        <v>73</v>
      </c>
      <c r="K124" s="944" t="s">
        <v>138</v>
      </c>
      <c r="L124" s="1443" t="s">
        <v>2062</v>
      </c>
      <c r="M124" s="1445" t="s">
        <v>1527</v>
      </c>
      <c r="N124" s="1446">
        <v>76440</v>
      </c>
      <c r="O124" s="1603" t="s">
        <v>30</v>
      </c>
      <c r="P124" s="1603" t="s">
        <v>34</v>
      </c>
      <c r="Q124" s="1054">
        <v>1</v>
      </c>
      <c r="R124" s="1784">
        <v>8480224138</v>
      </c>
      <c r="S124" s="1582">
        <v>45936</v>
      </c>
      <c r="T124" s="1446">
        <v>76440</v>
      </c>
      <c r="U124" s="1446" t="s">
        <v>34</v>
      </c>
      <c r="V124" s="976">
        <f>Table62689345679[[#This Row],[Offer Value]]-Table62689345679[[#This Row],[PO Value]]</f>
        <v>0</v>
      </c>
      <c r="W124" s="1446"/>
      <c r="X124" s="1446"/>
      <c r="Y124" s="1595"/>
      <c r="Z124" s="977"/>
      <c r="AA124" s="1789"/>
    </row>
    <row r="125" spans="1:27" ht="15.6">
      <c r="A125" s="937"/>
      <c r="B125" s="1446"/>
      <c r="C125" s="944" t="s">
        <v>2058</v>
      </c>
      <c r="D125" s="1441" t="s">
        <v>1777</v>
      </c>
      <c r="E125" s="1592" t="s">
        <v>873</v>
      </c>
      <c r="F125" s="1592" t="s">
        <v>2059</v>
      </c>
      <c r="G125" s="1592">
        <v>9898877282</v>
      </c>
      <c r="H125" s="1787" t="s">
        <v>2060</v>
      </c>
      <c r="I125" s="1010" t="s">
        <v>2069</v>
      </c>
      <c r="J125" s="944" t="s">
        <v>73</v>
      </c>
      <c r="K125" s="944" t="s">
        <v>138</v>
      </c>
      <c r="L125" s="1443" t="s">
        <v>2062</v>
      </c>
      <c r="M125" s="1445" t="s">
        <v>1527</v>
      </c>
      <c r="N125" s="1446">
        <v>76440</v>
      </c>
      <c r="O125" s="1603" t="s">
        <v>30</v>
      </c>
      <c r="P125" s="1603" t="s">
        <v>34</v>
      </c>
      <c r="Q125" s="1054">
        <v>1</v>
      </c>
      <c r="R125" s="1784">
        <v>8480224138</v>
      </c>
      <c r="S125" s="1582">
        <v>45936</v>
      </c>
      <c r="T125" s="1446">
        <v>76440</v>
      </c>
      <c r="U125" s="1446" t="s">
        <v>34</v>
      </c>
      <c r="V125" s="976">
        <f>Table62689345679[[#This Row],[Offer Value]]-Table62689345679[[#This Row],[PO Value]]</f>
        <v>0</v>
      </c>
      <c r="W125" s="1446"/>
      <c r="X125" s="1446"/>
      <c r="Y125" s="1595"/>
      <c r="Z125" s="977"/>
      <c r="AA125" s="1789"/>
    </row>
    <row r="126" spans="1:27" ht="15.6">
      <c r="A126" s="937"/>
      <c r="B126" s="1446"/>
      <c r="C126" s="944" t="s">
        <v>2058</v>
      </c>
      <c r="D126" s="1441" t="s">
        <v>1777</v>
      </c>
      <c r="E126" s="1592" t="s">
        <v>873</v>
      </c>
      <c r="F126" s="1592" t="s">
        <v>2059</v>
      </c>
      <c r="G126" s="1592">
        <v>9898877282</v>
      </c>
      <c r="H126" s="1787" t="s">
        <v>2060</v>
      </c>
      <c r="I126" s="1010" t="s">
        <v>2070</v>
      </c>
      <c r="J126" s="944" t="s">
        <v>73</v>
      </c>
      <c r="K126" s="944" t="s">
        <v>138</v>
      </c>
      <c r="L126" s="1443" t="s">
        <v>2062</v>
      </c>
      <c r="M126" s="1445" t="s">
        <v>1527</v>
      </c>
      <c r="N126" s="1446">
        <v>76440</v>
      </c>
      <c r="O126" s="1603" t="s">
        <v>30</v>
      </c>
      <c r="P126" s="1603" t="s">
        <v>34</v>
      </c>
      <c r="Q126" s="1054">
        <v>1</v>
      </c>
      <c r="R126" s="1784">
        <v>8480224138</v>
      </c>
      <c r="S126" s="1582">
        <v>45936</v>
      </c>
      <c r="T126" s="1446">
        <v>76440</v>
      </c>
      <c r="U126" s="1446" t="s">
        <v>34</v>
      </c>
      <c r="V126" s="976">
        <f>Table62689345679[[#This Row],[Offer Value]]-Table62689345679[[#This Row],[PO Value]]</f>
        <v>0</v>
      </c>
      <c r="W126" s="1446"/>
      <c r="X126" s="1446"/>
      <c r="Y126" s="1595"/>
      <c r="Z126" s="977"/>
      <c r="AA126" s="1785"/>
    </row>
    <row r="127" spans="1:27" ht="15.6">
      <c r="A127" s="937"/>
      <c r="B127" s="1446"/>
      <c r="C127" s="944" t="s">
        <v>2058</v>
      </c>
      <c r="D127" s="1441" t="s">
        <v>1777</v>
      </c>
      <c r="E127" s="1592" t="s">
        <v>873</v>
      </c>
      <c r="F127" s="1592" t="s">
        <v>2059</v>
      </c>
      <c r="G127" s="1592">
        <v>9898877282</v>
      </c>
      <c r="H127" s="1787" t="s">
        <v>2060</v>
      </c>
      <c r="I127" s="1010" t="s">
        <v>2071</v>
      </c>
      <c r="J127" s="944" t="s">
        <v>73</v>
      </c>
      <c r="K127" s="944" t="s">
        <v>138</v>
      </c>
      <c r="L127" s="1443" t="s">
        <v>2062</v>
      </c>
      <c r="M127" s="1445" t="s">
        <v>1527</v>
      </c>
      <c r="N127" s="1446">
        <v>76440</v>
      </c>
      <c r="O127" s="1603" t="s">
        <v>30</v>
      </c>
      <c r="P127" s="1603" t="s">
        <v>34</v>
      </c>
      <c r="Q127" s="1054">
        <v>1</v>
      </c>
      <c r="R127" s="1784">
        <v>8480224138</v>
      </c>
      <c r="S127" s="1582">
        <v>45936</v>
      </c>
      <c r="T127" s="1446">
        <v>76440</v>
      </c>
      <c r="U127" s="1446" t="s">
        <v>34</v>
      </c>
      <c r="V127" s="976">
        <f>Table62689345679[[#This Row],[Offer Value]]-Table62689345679[[#This Row],[PO Value]]</f>
        <v>0</v>
      </c>
      <c r="W127" s="1446"/>
      <c r="X127" s="1446"/>
      <c r="Y127" s="1595"/>
      <c r="Z127" s="977"/>
      <c r="AA127" s="1785"/>
    </row>
    <row r="128" spans="1:27" ht="15.6">
      <c r="A128" s="937">
        <v>63</v>
      </c>
      <c r="B128" s="1446" t="s">
        <v>2037</v>
      </c>
      <c r="C128" s="944" t="s">
        <v>1878</v>
      </c>
      <c r="D128" s="1441" t="s">
        <v>1777</v>
      </c>
      <c r="E128" s="1592" t="s">
        <v>1730</v>
      </c>
      <c r="F128" s="1592" t="s">
        <v>2072</v>
      </c>
      <c r="G128" s="1592">
        <v>9558210264</v>
      </c>
      <c r="H128" s="1787" t="s">
        <v>2073</v>
      </c>
      <c r="I128" s="1010" t="s">
        <v>1917</v>
      </c>
      <c r="J128" s="944" t="s">
        <v>77</v>
      </c>
      <c r="K128" s="944" t="s">
        <v>138</v>
      </c>
      <c r="L128" s="1783" t="s">
        <v>2074</v>
      </c>
      <c r="M128" s="1791">
        <v>45936</v>
      </c>
      <c r="N128" s="1446">
        <v>180000</v>
      </c>
      <c r="O128" s="1603" t="s">
        <v>34</v>
      </c>
      <c r="P128" s="1603" t="s">
        <v>34</v>
      </c>
      <c r="Q128" s="1054">
        <v>1</v>
      </c>
      <c r="R128" s="1784">
        <v>3102500584</v>
      </c>
      <c r="S128" s="1582" t="s">
        <v>2075</v>
      </c>
      <c r="T128" s="1446">
        <v>180000</v>
      </c>
      <c r="U128" s="1446" t="s">
        <v>34</v>
      </c>
      <c r="V128" s="976">
        <f>Table62689345679[[#This Row],[Offer Value]]-Table62689345679[[#This Row],[PO Value]]</f>
        <v>0</v>
      </c>
      <c r="W128" s="1446"/>
      <c r="X128" s="1446"/>
      <c r="Y128" s="1595"/>
      <c r="Z128" s="977"/>
      <c r="AA128" s="1785"/>
    </row>
    <row r="129" spans="1:27" ht="15.6">
      <c r="A129" s="937">
        <v>64</v>
      </c>
      <c r="B129" s="1582">
        <v>45722</v>
      </c>
      <c r="C129" s="944" t="s">
        <v>152</v>
      </c>
      <c r="D129" s="1441" t="s">
        <v>1737</v>
      </c>
      <c r="E129" s="1592" t="s">
        <v>873</v>
      </c>
      <c r="F129" s="1443" t="s">
        <v>1961</v>
      </c>
      <c r="G129" s="944" t="s">
        <v>1962</v>
      </c>
      <c r="H129" s="1782" t="s">
        <v>1963</v>
      </c>
      <c r="I129" s="944" t="s">
        <v>1964</v>
      </c>
      <c r="J129" s="944" t="s">
        <v>74</v>
      </c>
      <c r="K129" s="944" t="s">
        <v>138</v>
      </c>
      <c r="L129" s="1783" t="s">
        <v>2076</v>
      </c>
      <c r="M129" s="1791">
        <v>45722</v>
      </c>
      <c r="N129" s="1446">
        <v>243600</v>
      </c>
      <c r="O129" s="1603" t="s">
        <v>34</v>
      </c>
      <c r="P129" s="1603" t="s">
        <v>34</v>
      </c>
      <c r="Q129" s="1054">
        <v>1</v>
      </c>
      <c r="R129" s="1784">
        <v>39383774</v>
      </c>
      <c r="S129" s="1582">
        <v>45722</v>
      </c>
      <c r="T129" s="1446">
        <v>243600</v>
      </c>
      <c r="U129" s="1446" t="s">
        <v>34</v>
      </c>
      <c r="V129" s="976">
        <f>Table62689345679[[#This Row],[Offer Value]]-Table62689345679[[#This Row],[PO Value]]</f>
        <v>0</v>
      </c>
      <c r="W129" s="1446"/>
      <c r="X129" s="1446"/>
      <c r="Y129" s="1595"/>
      <c r="Z129" s="977"/>
      <c r="AA129" s="1785"/>
    </row>
    <row r="130" spans="1:27" ht="31.2">
      <c r="A130" s="937">
        <v>65</v>
      </c>
      <c r="B130" s="1582">
        <v>45754</v>
      </c>
      <c r="C130" s="944" t="s">
        <v>1870</v>
      </c>
      <c r="D130" s="1441" t="s">
        <v>1777</v>
      </c>
      <c r="E130" s="1592" t="s">
        <v>873</v>
      </c>
      <c r="F130" s="1443" t="s">
        <v>1953</v>
      </c>
      <c r="G130" s="944" t="s">
        <v>1954</v>
      </c>
      <c r="H130" s="1782" t="s">
        <v>1955</v>
      </c>
      <c r="I130" s="944" t="s">
        <v>1873</v>
      </c>
      <c r="J130" s="944" t="s">
        <v>73</v>
      </c>
      <c r="K130" s="944" t="s">
        <v>157</v>
      </c>
      <c r="L130" s="1783" t="s">
        <v>2077</v>
      </c>
      <c r="M130" s="1791">
        <v>45754</v>
      </c>
      <c r="N130" s="1446">
        <v>55000</v>
      </c>
      <c r="O130" s="1603" t="s">
        <v>37</v>
      </c>
      <c r="P130" s="1603" t="s">
        <v>37</v>
      </c>
      <c r="Q130" s="1054">
        <v>1</v>
      </c>
      <c r="R130" s="1784" t="s">
        <v>2078</v>
      </c>
      <c r="S130" s="1582">
        <v>45907</v>
      </c>
      <c r="T130" s="1446">
        <v>52800</v>
      </c>
      <c r="U130" s="1446" t="s">
        <v>37</v>
      </c>
      <c r="V130" s="976">
        <v>0</v>
      </c>
      <c r="W130" s="1446"/>
      <c r="X130" s="1446"/>
      <c r="Y130" s="1595"/>
      <c r="Z130" s="977"/>
      <c r="AA130" s="1785"/>
    </row>
    <row r="131" spans="1:27" ht="15.6">
      <c r="A131" s="937">
        <v>66</v>
      </c>
      <c r="B131" s="1582">
        <v>45968</v>
      </c>
      <c r="C131" s="944" t="s">
        <v>1758</v>
      </c>
      <c r="D131" s="1441" t="s">
        <v>1751</v>
      </c>
      <c r="E131" s="1592" t="s">
        <v>1730</v>
      </c>
      <c r="F131" s="1443" t="s">
        <v>1764</v>
      </c>
      <c r="G131" s="944">
        <v>8160147583</v>
      </c>
      <c r="H131" s="1782" t="s">
        <v>1765</v>
      </c>
      <c r="I131" s="944" t="s">
        <v>2079</v>
      </c>
      <c r="J131" s="944" t="s">
        <v>75</v>
      </c>
      <c r="K131" s="944" t="s">
        <v>157</v>
      </c>
      <c r="L131" s="1783" t="s">
        <v>2080</v>
      </c>
      <c r="M131" s="1791">
        <v>45968</v>
      </c>
      <c r="N131" s="1446">
        <v>74000</v>
      </c>
      <c r="O131" s="1603" t="s">
        <v>37</v>
      </c>
      <c r="P131" s="1603" t="s">
        <v>37</v>
      </c>
      <c r="Q131" s="1054">
        <v>1</v>
      </c>
      <c r="R131" s="1784" t="s">
        <v>2081</v>
      </c>
      <c r="S131" s="1582" t="s">
        <v>1228</v>
      </c>
      <c r="T131" s="1446">
        <v>148000</v>
      </c>
      <c r="U131" s="1446" t="s">
        <v>37</v>
      </c>
      <c r="V131" s="976">
        <v>0</v>
      </c>
      <c r="W131" s="1446"/>
      <c r="X131" s="1446"/>
      <c r="Y131" s="1595"/>
      <c r="Z131" s="977"/>
      <c r="AA131" s="1785"/>
    </row>
    <row r="132" spans="1:27" ht="15.6">
      <c r="A132" s="937">
        <v>67</v>
      </c>
      <c r="B132" s="1582">
        <v>45968</v>
      </c>
      <c r="C132" s="944" t="s">
        <v>2082</v>
      </c>
      <c r="D132" s="1441" t="s">
        <v>1751</v>
      </c>
      <c r="E132" s="1592" t="s">
        <v>873</v>
      </c>
      <c r="F132" s="1443" t="s">
        <v>2083</v>
      </c>
      <c r="G132" s="944">
        <v>9714726100</v>
      </c>
      <c r="H132" s="1782" t="s">
        <v>2084</v>
      </c>
      <c r="I132" s="944" t="s">
        <v>2085</v>
      </c>
      <c r="J132" s="944" t="s">
        <v>75</v>
      </c>
      <c r="K132" s="944" t="s">
        <v>157</v>
      </c>
      <c r="L132" s="1783" t="s">
        <v>2086</v>
      </c>
      <c r="M132" s="1791">
        <v>45968</v>
      </c>
      <c r="N132" s="1446">
        <v>648400</v>
      </c>
      <c r="O132" s="1603" t="s">
        <v>37</v>
      </c>
      <c r="P132" s="1603" t="s">
        <v>44</v>
      </c>
      <c r="Q132" s="1054">
        <v>1</v>
      </c>
      <c r="R132" s="1784" t="s">
        <v>2087</v>
      </c>
      <c r="S132" s="1582" t="s">
        <v>2088</v>
      </c>
      <c r="T132" s="1446">
        <v>246624</v>
      </c>
      <c r="U132" s="1446" t="s">
        <v>44</v>
      </c>
      <c r="V132" s="976">
        <v>0</v>
      </c>
      <c r="W132" s="1446"/>
      <c r="X132" s="1446"/>
      <c r="Y132" s="1595"/>
      <c r="Z132" s="977" t="s">
        <v>157</v>
      </c>
      <c r="AA132" s="1785"/>
    </row>
    <row r="133" spans="1:27" ht="15.6">
      <c r="A133" s="937">
        <v>68</v>
      </c>
      <c r="B133" s="1582">
        <v>45968</v>
      </c>
      <c r="C133" s="944" t="s">
        <v>2089</v>
      </c>
      <c r="D133" s="1441" t="s">
        <v>1888</v>
      </c>
      <c r="E133" s="1592" t="s">
        <v>1730</v>
      </c>
      <c r="F133" s="1443" t="s">
        <v>2090</v>
      </c>
      <c r="G133" s="944">
        <v>9284965234</v>
      </c>
      <c r="H133" s="1782" t="s">
        <v>2091</v>
      </c>
      <c r="I133" s="944">
        <v>150885</v>
      </c>
      <c r="J133" s="944" t="s">
        <v>75</v>
      </c>
      <c r="K133" s="944" t="s">
        <v>157</v>
      </c>
      <c r="L133" s="1783" t="s">
        <v>2092</v>
      </c>
      <c r="M133" s="1791">
        <v>45968</v>
      </c>
      <c r="N133" s="1446">
        <v>2861236</v>
      </c>
      <c r="O133" s="1603" t="s">
        <v>37</v>
      </c>
      <c r="P133" s="1603" t="s">
        <v>39</v>
      </c>
      <c r="Q133" s="1054">
        <v>1</v>
      </c>
      <c r="R133" s="1784">
        <v>4200064484</v>
      </c>
      <c r="S133" s="1582" t="s">
        <v>2093</v>
      </c>
      <c r="T133" s="1446">
        <v>463016</v>
      </c>
      <c r="U133" s="1446" t="s">
        <v>39</v>
      </c>
      <c r="V133" s="976">
        <v>0</v>
      </c>
      <c r="W133" s="1446"/>
      <c r="X133" s="1446"/>
      <c r="Y133" s="1595"/>
      <c r="Z133" s="977" t="s">
        <v>208</v>
      </c>
      <c r="AA133" s="1785" t="s">
        <v>208</v>
      </c>
    </row>
    <row r="134" spans="1:27" ht="15.6">
      <c r="A134" s="106">
        <v>69</v>
      </c>
      <c r="B134" s="300" t="s">
        <v>1228</v>
      </c>
      <c r="C134" s="108" t="s">
        <v>2058</v>
      </c>
      <c r="D134" s="303" t="s">
        <v>1777</v>
      </c>
      <c r="E134" s="304" t="s">
        <v>873</v>
      </c>
      <c r="F134" s="304" t="s">
        <v>2094</v>
      </c>
      <c r="G134" s="304" t="s">
        <v>2095</v>
      </c>
      <c r="H134" s="182" t="s">
        <v>2096</v>
      </c>
      <c r="I134" s="105" t="s">
        <v>2070</v>
      </c>
      <c r="J134" s="108" t="s">
        <v>75</v>
      </c>
      <c r="K134" s="108" t="s">
        <v>157</v>
      </c>
      <c r="L134" s="457" t="s">
        <v>2097</v>
      </c>
      <c r="M134" s="304" t="s">
        <v>1228</v>
      </c>
      <c r="N134" s="300">
        <v>165800</v>
      </c>
      <c r="O134" s="483" t="s">
        <v>37</v>
      </c>
      <c r="P134" s="483"/>
      <c r="Q134" s="306">
        <v>0.5</v>
      </c>
      <c r="R134" s="302"/>
      <c r="S134" s="301"/>
      <c r="T134" s="300"/>
      <c r="U134" s="300"/>
      <c r="V134" s="284">
        <f>Table62689345679[[#This Row],[Offer Value]]-Table62689345679[[#This Row],[PO Value]]</f>
        <v>165800</v>
      </c>
      <c r="W134" s="300"/>
      <c r="X134" s="300"/>
      <c r="Y134" s="614"/>
      <c r="Z134" s="318"/>
      <c r="AA134" s="601"/>
    </row>
    <row r="135" spans="1:27" ht="15.6">
      <c r="A135" s="937">
        <v>70</v>
      </c>
      <c r="B135" s="1582">
        <v>45816</v>
      </c>
      <c r="C135" s="944" t="s">
        <v>1758</v>
      </c>
      <c r="D135" s="1441" t="s">
        <v>1751</v>
      </c>
      <c r="E135" s="1592" t="s">
        <v>873</v>
      </c>
      <c r="F135" s="1443" t="s">
        <v>2098</v>
      </c>
      <c r="G135" s="944">
        <v>8155032377</v>
      </c>
      <c r="H135" s="1782" t="s">
        <v>2099</v>
      </c>
      <c r="I135" s="944" t="s">
        <v>2100</v>
      </c>
      <c r="J135" s="944" t="s">
        <v>75</v>
      </c>
      <c r="K135" s="944" t="s">
        <v>138</v>
      </c>
      <c r="L135" s="1783" t="s">
        <v>2101</v>
      </c>
      <c r="M135" s="1791">
        <v>45816</v>
      </c>
      <c r="N135" s="1446">
        <v>370100</v>
      </c>
      <c r="O135" s="1603" t="s">
        <v>39</v>
      </c>
      <c r="P135" s="1603" t="s">
        <v>39</v>
      </c>
      <c r="Q135" s="1566">
        <v>1</v>
      </c>
      <c r="R135" s="1784" t="s">
        <v>2102</v>
      </c>
      <c r="S135" s="1582" t="s">
        <v>1592</v>
      </c>
      <c r="T135" s="1446">
        <v>370100</v>
      </c>
      <c r="U135" s="1446" t="s">
        <v>39</v>
      </c>
      <c r="V135" s="976">
        <f>Table62689345679[[#This Row],[Offer Value]]-Table62689345679[[#This Row],[PO Value]]</f>
        <v>0</v>
      </c>
      <c r="W135" s="1446"/>
      <c r="X135" s="1446"/>
      <c r="Y135" s="1595"/>
      <c r="Z135" s="977"/>
      <c r="AA135" s="1785"/>
    </row>
    <row r="136" spans="1:27" ht="15.6">
      <c r="A136" s="937">
        <v>71</v>
      </c>
      <c r="B136" s="1582">
        <v>45816</v>
      </c>
      <c r="C136" s="944" t="s">
        <v>152</v>
      </c>
      <c r="D136" s="1441" t="s">
        <v>2103</v>
      </c>
      <c r="E136" s="1449" t="s">
        <v>290</v>
      </c>
      <c r="F136" s="1449" t="s">
        <v>2104</v>
      </c>
      <c r="G136" s="1449">
        <v>9099183804</v>
      </c>
      <c r="H136" s="1439" t="s">
        <v>2105</v>
      </c>
      <c r="I136" s="1010" t="s">
        <v>2106</v>
      </c>
      <c r="J136" s="944" t="s">
        <v>73</v>
      </c>
      <c r="K136" s="944" t="s">
        <v>157</v>
      </c>
      <c r="L136" s="1449" t="s">
        <v>2107</v>
      </c>
      <c r="M136" s="1791">
        <v>45816</v>
      </c>
      <c r="N136" s="937">
        <v>78750</v>
      </c>
      <c r="O136" s="1603" t="s">
        <v>39</v>
      </c>
      <c r="P136" s="1603" t="s">
        <v>44</v>
      </c>
      <c r="Q136" s="1321">
        <v>0.7</v>
      </c>
      <c r="R136" s="972">
        <v>7001113889</v>
      </c>
      <c r="S136" s="938">
        <v>45727</v>
      </c>
      <c r="T136" s="937">
        <v>78750</v>
      </c>
      <c r="U136" s="937" t="s">
        <v>49</v>
      </c>
      <c r="V136" s="976">
        <f>Table62689345679[[#This Row],[Offer Value]]-Table62689345679[[#This Row],[PO Value]]</f>
        <v>0</v>
      </c>
      <c r="W136" s="937"/>
      <c r="X136" s="937"/>
      <c r="Y136" s="1598"/>
      <c r="Z136" s="1544"/>
      <c r="AA136" s="2369"/>
    </row>
    <row r="137" spans="1:27" ht="15.6">
      <c r="A137" s="937">
        <v>72</v>
      </c>
      <c r="B137" s="1582">
        <v>45816</v>
      </c>
      <c r="C137" s="944" t="s">
        <v>152</v>
      </c>
      <c r="D137" s="1441" t="s">
        <v>2103</v>
      </c>
      <c r="E137" s="1449" t="s">
        <v>873</v>
      </c>
      <c r="F137" s="1449" t="s">
        <v>2108</v>
      </c>
      <c r="G137" s="1449">
        <v>9825619914</v>
      </c>
      <c r="H137" s="1439" t="s">
        <v>2109</v>
      </c>
      <c r="I137" s="1010" t="s">
        <v>2110</v>
      </c>
      <c r="J137" s="944" t="s">
        <v>73</v>
      </c>
      <c r="K137" s="944" t="s">
        <v>157</v>
      </c>
      <c r="L137" s="1449" t="s">
        <v>2111</v>
      </c>
      <c r="M137" s="1791">
        <v>45816</v>
      </c>
      <c r="N137" s="937">
        <v>78750</v>
      </c>
      <c r="O137" s="1603" t="s">
        <v>39</v>
      </c>
      <c r="P137" s="1603" t="s">
        <v>62</v>
      </c>
      <c r="Q137" s="1321">
        <v>0.7</v>
      </c>
      <c r="R137" s="972">
        <v>7001094920</v>
      </c>
      <c r="S137" s="938" t="s">
        <v>1637</v>
      </c>
      <c r="T137" s="937">
        <v>78750</v>
      </c>
      <c r="U137" s="937" t="s">
        <v>62</v>
      </c>
      <c r="V137" s="976">
        <f>Table62689345679[[#This Row],[Offer Value]]-Table62689345679[[#This Row],[PO Value]]</f>
        <v>0</v>
      </c>
      <c r="W137" s="937"/>
      <c r="X137" s="937"/>
      <c r="Y137" s="1598"/>
      <c r="Z137" s="1544"/>
      <c r="AA137" s="2369"/>
    </row>
    <row r="138" spans="1:27" ht="15.6">
      <c r="A138" s="937"/>
      <c r="B138" s="937"/>
      <c r="C138" s="944" t="s">
        <v>152</v>
      </c>
      <c r="D138" s="1441" t="s">
        <v>2103</v>
      </c>
      <c r="E138" s="1449" t="s">
        <v>873</v>
      </c>
      <c r="F138" s="1449" t="s">
        <v>2108</v>
      </c>
      <c r="G138" s="1449">
        <v>9825619914</v>
      </c>
      <c r="H138" s="1439" t="s">
        <v>2109</v>
      </c>
      <c r="I138" s="1010" t="s">
        <v>2112</v>
      </c>
      <c r="J138" s="944" t="s">
        <v>73</v>
      </c>
      <c r="K138" s="944" t="s">
        <v>157</v>
      </c>
      <c r="L138" s="1449" t="s">
        <v>2111</v>
      </c>
      <c r="M138" s="1582">
        <v>45816</v>
      </c>
      <c r="N138" s="937">
        <v>78750</v>
      </c>
      <c r="O138" s="1603" t="s">
        <v>39</v>
      </c>
      <c r="P138" s="1603" t="s">
        <v>62</v>
      </c>
      <c r="Q138" s="1321">
        <v>0.7</v>
      </c>
      <c r="R138" s="972">
        <v>7001175723</v>
      </c>
      <c r="S138" s="938" t="s">
        <v>2113</v>
      </c>
      <c r="T138" s="937">
        <v>78750</v>
      </c>
      <c r="U138" s="937" t="s">
        <v>62</v>
      </c>
      <c r="V138" s="976">
        <f>Table62689345679[[#This Row],[Offer Value]]-Table62689345679[[#This Row],[PO Value]]</f>
        <v>0</v>
      </c>
      <c r="W138" s="937"/>
      <c r="X138" s="937"/>
      <c r="Y138" s="1598"/>
      <c r="Z138" s="1544"/>
      <c r="AA138" s="2369"/>
    </row>
    <row r="139" spans="1:27" ht="15.6">
      <c r="A139" s="937">
        <v>73</v>
      </c>
      <c r="B139" s="1582">
        <v>45816</v>
      </c>
      <c r="C139" s="944" t="s">
        <v>1865</v>
      </c>
      <c r="D139" s="1441" t="s">
        <v>1737</v>
      </c>
      <c r="E139" s="1592" t="s">
        <v>2114</v>
      </c>
      <c r="F139" s="1443" t="s">
        <v>2115</v>
      </c>
      <c r="G139" s="944">
        <v>9834750412</v>
      </c>
      <c r="H139" s="1782" t="s">
        <v>2116</v>
      </c>
      <c r="I139" s="944" t="s">
        <v>1868</v>
      </c>
      <c r="J139" s="944" t="s">
        <v>73</v>
      </c>
      <c r="K139" s="944" t="s">
        <v>138</v>
      </c>
      <c r="L139" s="1783" t="s">
        <v>2117</v>
      </c>
      <c r="M139" s="1791">
        <v>45816</v>
      </c>
      <c r="N139" s="1446">
        <v>84000</v>
      </c>
      <c r="O139" s="1603" t="s">
        <v>39</v>
      </c>
      <c r="P139" s="1603" t="s">
        <v>44</v>
      </c>
      <c r="Q139" s="1566">
        <v>1</v>
      </c>
      <c r="R139" s="1784" t="s">
        <v>2118</v>
      </c>
      <c r="S139" s="1582">
        <v>45666</v>
      </c>
      <c r="T139" s="1446">
        <v>84000</v>
      </c>
      <c r="U139" s="1446" t="s">
        <v>44</v>
      </c>
      <c r="V139" s="976">
        <f>Table62689345679[[#This Row],[Offer Value]]-Table62689345679[[#This Row],[PO Value]]</f>
        <v>0</v>
      </c>
      <c r="W139" s="1446"/>
      <c r="X139" s="1446"/>
      <c r="Y139" s="1595"/>
      <c r="Z139" s="977"/>
      <c r="AA139" s="1785"/>
    </row>
    <row r="140" spans="1:27" ht="15.6">
      <c r="A140" s="937">
        <v>74</v>
      </c>
      <c r="B140" s="1582">
        <v>45816</v>
      </c>
      <c r="C140" s="944" t="s">
        <v>1931</v>
      </c>
      <c r="D140" s="1441" t="s">
        <v>1777</v>
      </c>
      <c r="E140" s="1592" t="s">
        <v>873</v>
      </c>
      <c r="F140" s="1443" t="s">
        <v>1932</v>
      </c>
      <c r="G140" s="944">
        <v>9376985284</v>
      </c>
      <c r="H140" s="1782" t="s">
        <v>1933</v>
      </c>
      <c r="I140" s="944" t="s">
        <v>1934</v>
      </c>
      <c r="J140" s="944" t="s">
        <v>75</v>
      </c>
      <c r="K140" s="944" t="s">
        <v>157</v>
      </c>
      <c r="L140" s="1783" t="s">
        <v>2119</v>
      </c>
      <c r="M140" s="1791">
        <v>45816</v>
      </c>
      <c r="N140" s="1446">
        <v>269640</v>
      </c>
      <c r="O140" s="1603" t="s">
        <v>39</v>
      </c>
      <c r="P140" s="1603" t="s">
        <v>39</v>
      </c>
      <c r="Q140" s="1566">
        <v>1</v>
      </c>
      <c r="R140" s="1784" t="s">
        <v>2120</v>
      </c>
      <c r="S140" s="1582" t="s">
        <v>1592</v>
      </c>
      <c r="T140" s="1446">
        <v>256158</v>
      </c>
      <c r="U140" s="1446" t="s">
        <v>39</v>
      </c>
      <c r="V140" s="976">
        <v>0</v>
      </c>
      <c r="W140" s="1446"/>
      <c r="X140" s="1446"/>
      <c r="Y140" s="1595"/>
      <c r="Z140" s="977"/>
      <c r="AA140" s="1785"/>
    </row>
    <row r="141" spans="1:27" ht="15.6">
      <c r="A141" s="937">
        <v>75</v>
      </c>
      <c r="B141" s="1582">
        <v>45877</v>
      </c>
      <c r="C141" s="944" t="s">
        <v>1157</v>
      </c>
      <c r="D141" s="1441" t="s">
        <v>1840</v>
      </c>
      <c r="E141" s="1592" t="s">
        <v>873</v>
      </c>
      <c r="F141" s="1443" t="s">
        <v>1841</v>
      </c>
      <c r="G141" s="944">
        <v>9575802320</v>
      </c>
      <c r="H141" s="1782" t="s">
        <v>1842</v>
      </c>
      <c r="I141" s="944" t="s">
        <v>1843</v>
      </c>
      <c r="J141" s="944" t="s">
        <v>75</v>
      </c>
      <c r="K141" s="944" t="s">
        <v>157</v>
      </c>
      <c r="L141" s="1783" t="s">
        <v>2121</v>
      </c>
      <c r="M141" s="1791">
        <v>45877</v>
      </c>
      <c r="N141" s="1446">
        <v>115300</v>
      </c>
      <c r="O141" s="1603" t="s">
        <v>39</v>
      </c>
      <c r="P141" s="1603" t="s">
        <v>44</v>
      </c>
      <c r="Q141" s="1566">
        <v>1</v>
      </c>
      <c r="R141" s="1784">
        <v>5700193371</v>
      </c>
      <c r="S141" s="1582">
        <v>45697</v>
      </c>
      <c r="T141" s="1446">
        <v>109535</v>
      </c>
      <c r="U141" s="1446" t="s">
        <v>44</v>
      </c>
      <c r="V141" s="976">
        <v>0</v>
      </c>
      <c r="W141" s="1446"/>
      <c r="X141" s="1446"/>
      <c r="Y141" s="1595"/>
      <c r="Z141" s="977"/>
      <c r="AA141" s="1785"/>
    </row>
    <row r="142" spans="1:27" ht="15.6">
      <c r="A142" s="106">
        <v>76</v>
      </c>
      <c r="B142" s="107">
        <v>45877</v>
      </c>
      <c r="C142" s="108" t="s">
        <v>2048</v>
      </c>
      <c r="D142" s="303" t="s">
        <v>1777</v>
      </c>
      <c r="E142" s="105" t="s">
        <v>1716</v>
      </c>
      <c r="F142" s="105" t="s">
        <v>2122</v>
      </c>
      <c r="G142" s="113">
        <v>9510689295</v>
      </c>
      <c r="H142" s="250" t="s">
        <v>2123</v>
      </c>
      <c r="I142" s="105" t="s">
        <v>2051</v>
      </c>
      <c r="J142" s="108" t="s">
        <v>75</v>
      </c>
      <c r="K142" s="108" t="s">
        <v>157</v>
      </c>
      <c r="L142" s="113" t="s">
        <v>2124</v>
      </c>
      <c r="M142" s="116">
        <v>45877</v>
      </c>
      <c r="N142" s="106">
        <v>50650</v>
      </c>
      <c r="O142" s="483" t="s">
        <v>39</v>
      </c>
      <c r="P142" s="483"/>
      <c r="Q142" s="109">
        <v>0.7</v>
      </c>
      <c r="R142" s="289"/>
      <c r="S142" s="107"/>
      <c r="T142" s="106"/>
      <c r="U142" s="106"/>
      <c r="V142" s="284">
        <f>Table62689345679[[#This Row],[Offer Value]]-Table62689345679[[#This Row],[PO Value]]</f>
        <v>50650</v>
      </c>
      <c r="W142" s="106"/>
      <c r="X142" s="106"/>
      <c r="Y142" s="617"/>
      <c r="Z142" s="257"/>
      <c r="AA142" s="603"/>
    </row>
    <row r="143" spans="1:27" ht="15.6">
      <c r="A143" s="106">
        <v>77</v>
      </c>
      <c r="B143" s="107">
        <v>45877</v>
      </c>
      <c r="C143" s="108" t="s">
        <v>1729</v>
      </c>
      <c r="D143" s="303" t="s">
        <v>1722</v>
      </c>
      <c r="E143" s="105" t="s">
        <v>1730</v>
      </c>
      <c r="F143" s="105" t="s">
        <v>1731</v>
      </c>
      <c r="G143" s="113">
        <v>9924214600</v>
      </c>
      <c r="H143" s="884" t="s">
        <v>1732</v>
      </c>
      <c r="I143" s="105" t="s">
        <v>1733</v>
      </c>
      <c r="J143" s="108" t="s">
        <v>75</v>
      </c>
      <c r="K143" s="108" t="s">
        <v>157</v>
      </c>
      <c r="L143" s="113" t="s">
        <v>2125</v>
      </c>
      <c r="M143" s="116">
        <v>45877</v>
      </c>
      <c r="N143" s="106">
        <v>50650</v>
      </c>
      <c r="O143" s="483" t="s">
        <v>39</v>
      </c>
      <c r="P143" s="483"/>
      <c r="Q143" s="109">
        <v>0.6</v>
      </c>
      <c r="R143" s="289"/>
      <c r="S143" s="107"/>
      <c r="T143" s="106"/>
      <c r="U143" s="106"/>
      <c r="V143" s="284">
        <f>Table62689345679[[#This Row],[Offer Value]]-Table62689345679[[#This Row],[PO Value]]</f>
        <v>50650</v>
      </c>
      <c r="W143" s="106"/>
      <c r="X143" s="106"/>
      <c r="Y143" s="217"/>
      <c r="Z143" s="257"/>
      <c r="AA143" s="603"/>
    </row>
    <row r="144" spans="1:27" ht="15.6">
      <c r="A144" s="937">
        <v>78</v>
      </c>
      <c r="B144" s="1582" t="s">
        <v>1598</v>
      </c>
      <c r="C144" s="944" t="s">
        <v>1743</v>
      </c>
      <c r="D144" s="1441" t="s">
        <v>2126</v>
      </c>
      <c r="E144" s="1592" t="s">
        <v>873</v>
      </c>
      <c r="F144" s="1443" t="s">
        <v>2127</v>
      </c>
      <c r="G144" s="944">
        <v>9687806743</v>
      </c>
      <c r="H144" s="1782" t="s">
        <v>2128</v>
      </c>
      <c r="I144" s="944" t="s">
        <v>1747</v>
      </c>
      <c r="J144" s="944" t="s">
        <v>73</v>
      </c>
      <c r="K144" s="944" t="s">
        <v>138</v>
      </c>
      <c r="L144" s="1783" t="s">
        <v>2129</v>
      </c>
      <c r="M144" s="1791" t="s">
        <v>1598</v>
      </c>
      <c r="N144" s="1446">
        <v>85000</v>
      </c>
      <c r="O144" s="1603" t="s">
        <v>39</v>
      </c>
      <c r="P144" s="1603" t="s">
        <v>44</v>
      </c>
      <c r="Q144" s="1566">
        <v>1</v>
      </c>
      <c r="R144" s="1784">
        <v>2710001257</v>
      </c>
      <c r="S144" s="1582" t="s">
        <v>2130</v>
      </c>
      <c r="T144" s="1446">
        <v>85000</v>
      </c>
      <c r="U144" s="1446" t="s">
        <v>44</v>
      </c>
      <c r="V144" s="976">
        <f>Table62689345679[[#This Row],[Offer Value]]-Table62689345679[[#This Row],[PO Value]]</f>
        <v>0</v>
      </c>
      <c r="W144" s="1446"/>
      <c r="X144" s="1446"/>
      <c r="Y144" s="1595"/>
      <c r="Z144" s="977"/>
      <c r="AA144" s="1785"/>
    </row>
    <row r="145" spans="1:27" ht="15.6">
      <c r="A145" s="937"/>
      <c r="B145" s="1582"/>
      <c r="C145" s="944" t="s">
        <v>1743</v>
      </c>
      <c r="D145" s="1441" t="s">
        <v>2126</v>
      </c>
      <c r="E145" s="1592" t="s">
        <v>873</v>
      </c>
      <c r="F145" s="1443" t="s">
        <v>2127</v>
      </c>
      <c r="G145" s="944">
        <v>9687806743</v>
      </c>
      <c r="H145" s="1782" t="s">
        <v>2128</v>
      </c>
      <c r="I145" s="944" t="s">
        <v>1749</v>
      </c>
      <c r="J145" s="944" t="s">
        <v>73</v>
      </c>
      <c r="K145" s="944" t="s">
        <v>138</v>
      </c>
      <c r="L145" s="1783" t="s">
        <v>2129</v>
      </c>
      <c r="M145" s="1791" t="s">
        <v>1598</v>
      </c>
      <c r="N145" s="1446">
        <v>85000</v>
      </c>
      <c r="O145" s="1603" t="s">
        <v>39</v>
      </c>
      <c r="P145" s="1603" t="s">
        <v>44</v>
      </c>
      <c r="Q145" s="1566">
        <v>1</v>
      </c>
      <c r="R145" s="1784">
        <v>2710001257</v>
      </c>
      <c r="S145" s="1582" t="s">
        <v>2130</v>
      </c>
      <c r="T145" s="1446">
        <v>85000</v>
      </c>
      <c r="U145" s="1446" t="s">
        <v>44</v>
      </c>
      <c r="V145" s="976">
        <f>Table62689345679[[#This Row],[Offer Value]]-Table62689345679[[#This Row],[PO Value]]</f>
        <v>0</v>
      </c>
      <c r="W145" s="1446"/>
      <c r="X145" s="1446"/>
      <c r="Y145" s="1595"/>
      <c r="Z145" s="977"/>
      <c r="AA145" s="1785"/>
    </row>
    <row r="146" spans="1:27" ht="15.6">
      <c r="A146" s="937">
        <v>79</v>
      </c>
      <c r="B146" s="1582" t="s">
        <v>1598</v>
      </c>
      <c r="C146" s="944" t="s">
        <v>2082</v>
      </c>
      <c r="D146" s="1441" t="s">
        <v>1751</v>
      </c>
      <c r="E146" s="1592" t="s">
        <v>1730</v>
      </c>
      <c r="F146" s="1443" t="s">
        <v>2131</v>
      </c>
      <c r="G146" s="944">
        <v>9909918878</v>
      </c>
      <c r="H146" s="1782" t="s">
        <v>2132</v>
      </c>
      <c r="I146" s="944" t="s">
        <v>2133</v>
      </c>
      <c r="J146" s="944" t="s">
        <v>75</v>
      </c>
      <c r="K146" s="944" t="s">
        <v>157</v>
      </c>
      <c r="L146" s="1783" t="s">
        <v>2134</v>
      </c>
      <c r="M146" s="1791" t="s">
        <v>2135</v>
      </c>
      <c r="N146" s="1446">
        <v>226800</v>
      </c>
      <c r="O146" s="1603" t="s">
        <v>39</v>
      </c>
      <c r="P146" s="1603" t="s">
        <v>39</v>
      </c>
      <c r="Q146" s="1566">
        <v>1</v>
      </c>
      <c r="R146" s="1784" t="s">
        <v>2136</v>
      </c>
      <c r="S146" s="1582">
        <v>45816</v>
      </c>
      <c r="T146" s="1446">
        <v>217728</v>
      </c>
      <c r="U146" s="1446" t="s">
        <v>39</v>
      </c>
      <c r="V146" s="976">
        <v>0</v>
      </c>
      <c r="W146" s="1446"/>
      <c r="X146" s="1446"/>
      <c r="Y146" s="1595"/>
      <c r="Z146" s="977"/>
      <c r="AA146" s="1785"/>
    </row>
    <row r="147" spans="1:27" ht="31.2">
      <c r="A147" s="937">
        <v>80</v>
      </c>
      <c r="B147" s="1582" t="s">
        <v>2137</v>
      </c>
      <c r="C147" s="944" t="s">
        <v>1758</v>
      </c>
      <c r="D147" s="1441" t="s">
        <v>1751</v>
      </c>
      <c r="E147" s="1592" t="s">
        <v>1744</v>
      </c>
      <c r="F147" s="1443" t="s">
        <v>1759</v>
      </c>
      <c r="G147" s="944">
        <v>9723071561</v>
      </c>
      <c r="H147" s="1782" t="s">
        <v>2138</v>
      </c>
      <c r="I147" s="944" t="s">
        <v>2139</v>
      </c>
      <c r="J147" s="944" t="s">
        <v>75</v>
      </c>
      <c r="K147" s="944" t="s">
        <v>138</v>
      </c>
      <c r="L147" s="1783" t="s">
        <v>2140</v>
      </c>
      <c r="M147" s="1791" t="s">
        <v>2137</v>
      </c>
      <c r="N147" s="1446">
        <v>245900</v>
      </c>
      <c r="O147" s="1603" t="s">
        <v>39</v>
      </c>
      <c r="P147" s="1603" t="s">
        <v>44</v>
      </c>
      <c r="Q147" s="1566">
        <v>1</v>
      </c>
      <c r="R147" s="1784" t="s">
        <v>2141</v>
      </c>
      <c r="S147" s="1582" t="s">
        <v>2142</v>
      </c>
      <c r="T147" s="1446">
        <v>245900</v>
      </c>
      <c r="U147" s="1446" t="s">
        <v>44</v>
      </c>
      <c r="V147" s="976">
        <f>Table62689345679[[#This Row],[Offer Value]]-Table62689345679[[#This Row],[PO Value]]</f>
        <v>0</v>
      </c>
      <c r="W147" s="1446"/>
      <c r="X147" s="1446"/>
      <c r="Y147" s="1595"/>
      <c r="Z147" s="977"/>
      <c r="AA147" s="1785"/>
    </row>
    <row r="148" spans="1:27" ht="31.2">
      <c r="A148" s="937">
        <v>81</v>
      </c>
      <c r="B148" s="1582" t="s">
        <v>2143</v>
      </c>
      <c r="C148" s="944" t="s">
        <v>1787</v>
      </c>
      <c r="D148" s="1441" t="s">
        <v>1777</v>
      </c>
      <c r="E148" s="1592" t="s">
        <v>1744</v>
      </c>
      <c r="F148" s="1443" t="s">
        <v>1788</v>
      </c>
      <c r="G148" s="944">
        <v>9722013361</v>
      </c>
      <c r="H148" s="1782" t="s">
        <v>1789</v>
      </c>
      <c r="I148" s="944" t="s">
        <v>1790</v>
      </c>
      <c r="J148" s="944" t="s">
        <v>75</v>
      </c>
      <c r="K148" s="944" t="s">
        <v>157</v>
      </c>
      <c r="L148" s="1783" t="s">
        <v>2144</v>
      </c>
      <c r="M148" s="1791" t="s">
        <v>2143</v>
      </c>
      <c r="N148" s="1446">
        <v>440300</v>
      </c>
      <c r="O148" s="1603" t="s">
        <v>39</v>
      </c>
      <c r="P148" s="1603" t="s">
        <v>39</v>
      </c>
      <c r="Q148" s="1566">
        <v>1</v>
      </c>
      <c r="R148" s="1784" t="s">
        <v>2145</v>
      </c>
      <c r="S148" s="1582" t="s">
        <v>1581</v>
      </c>
      <c r="T148" s="1446">
        <v>418285</v>
      </c>
      <c r="U148" s="1446" t="s">
        <v>39</v>
      </c>
      <c r="V148" s="976">
        <v>0</v>
      </c>
      <c r="W148" s="1446"/>
      <c r="X148" s="1446"/>
      <c r="Y148" s="1595"/>
      <c r="Z148" s="977" t="s">
        <v>208</v>
      </c>
      <c r="AA148" s="1785" t="s">
        <v>208</v>
      </c>
    </row>
    <row r="149" spans="1:27" ht="15.6">
      <c r="A149" s="937">
        <v>82</v>
      </c>
      <c r="B149" s="1582" t="s">
        <v>2146</v>
      </c>
      <c r="C149" s="944" t="s">
        <v>984</v>
      </c>
      <c r="D149" s="1441" t="s">
        <v>1816</v>
      </c>
      <c r="E149" s="1592" t="s">
        <v>1744</v>
      </c>
      <c r="F149" s="1443" t="s">
        <v>1817</v>
      </c>
      <c r="G149" s="944">
        <v>9974611898</v>
      </c>
      <c r="H149" s="1782" t="s">
        <v>1818</v>
      </c>
      <c r="I149" s="944" t="s">
        <v>2147</v>
      </c>
      <c r="J149" s="944" t="s">
        <v>75</v>
      </c>
      <c r="K149" s="944" t="s">
        <v>138</v>
      </c>
      <c r="L149" s="1783" t="s">
        <v>2148</v>
      </c>
      <c r="M149" s="1791" t="s">
        <v>2146</v>
      </c>
      <c r="N149" s="1446">
        <v>261400</v>
      </c>
      <c r="O149" s="1603" t="s">
        <v>39</v>
      </c>
      <c r="P149" s="1603" t="s">
        <v>39</v>
      </c>
      <c r="Q149" s="1566">
        <v>1</v>
      </c>
      <c r="R149" s="1784">
        <v>1500137725</v>
      </c>
      <c r="S149" s="1582" t="s">
        <v>2149</v>
      </c>
      <c r="T149" s="1446">
        <v>239875</v>
      </c>
      <c r="U149" s="1446" t="s">
        <v>39</v>
      </c>
      <c r="V149" s="976">
        <v>0</v>
      </c>
      <c r="W149" s="1446"/>
      <c r="X149" s="1446"/>
      <c r="Y149" s="1595"/>
      <c r="Z149" s="977"/>
      <c r="AA149" s="1785"/>
    </row>
    <row r="150" spans="1:27" ht="15.6">
      <c r="A150" s="937">
        <v>83</v>
      </c>
      <c r="B150" s="1582">
        <v>45666</v>
      </c>
      <c r="C150" s="944" t="s">
        <v>1758</v>
      </c>
      <c r="D150" s="1441" t="s">
        <v>1751</v>
      </c>
      <c r="E150" s="1592" t="s">
        <v>1730</v>
      </c>
      <c r="F150" s="1443" t="s">
        <v>1764</v>
      </c>
      <c r="G150" s="944">
        <v>8160147583</v>
      </c>
      <c r="H150" s="1782" t="s">
        <v>1765</v>
      </c>
      <c r="I150" s="944" t="s">
        <v>2150</v>
      </c>
      <c r="J150" s="944" t="s">
        <v>75</v>
      </c>
      <c r="K150" s="944" t="s">
        <v>138</v>
      </c>
      <c r="L150" s="1783" t="s">
        <v>2151</v>
      </c>
      <c r="M150" s="1791">
        <v>45666</v>
      </c>
      <c r="N150" s="1446">
        <v>197200</v>
      </c>
      <c r="O150" s="1603" t="s">
        <v>44</v>
      </c>
      <c r="P150" s="1603" t="s">
        <v>44</v>
      </c>
      <c r="Q150" s="1566">
        <v>1</v>
      </c>
      <c r="R150" s="1784" t="s">
        <v>2152</v>
      </c>
      <c r="S150" s="1582">
        <v>45725</v>
      </c>
      <c r="T150" s="1446">
        <v>197200</v>
      </c>
      <c r="U150" s="1446" t="s">
        <v>44</v>
      </c>
      <c r="V150" s="976">
        <f>Table62689345679[[#This Row],[Offer Value]]-Table62689345679[[#This Row],[PO Value]]</f>
        <v>0</v>
      </c>
      <c r="W150" s="1446"/>
      <c r="X150" s="1446"/>
      <c r="Y150" s="1595"/>
      <c r="Z150" s="977"/>
      <c r="AA150" s="1785"/>
    </row>
    <row r="151" spans="1:27" ht="15.6">
      <c r="A151" s="937">
        <v>84</v>
      </c>
      <c r="B151" s="1582">
        <v>45697</v>
      </c>
      <c r="C151" s="944" t="s">
        <v>1387</v>
      </c>
      <c r="D151" s="1441" t="s">
        <v>1737</v>
      </c>
      <c r="E151" s="1592" t="s">
        <v>277</v>
      </c>
      <c r="F151" s="1443" t="s">
        <v>2153</v>
      </c>
      <c r="G151" s="944">
        <v>7600027767</v>
      </c>
      <c r="H151" s="1782" t="s">
        <v>2154</v>
      </c>
      <c r="I151" s="944" t="s">
        <v>2155</v>
      </c>
      <c r="J151" s="944" t="s">
        <v>73</v>
      </c>
      <c r="K151" s="944" t="s">
        <v>138</v>
      </c>
      <c r="L151" s="1783" t="s">
        <v>2156</v>
      </c>
      <c r="M151" s="1791">
        <v>45697</v>
      </c>
      <c r="N151" s="1446">
        <v>90000</v>
      </c>
      <c r="O151" s="1603" t="s">
        <v>44</v>
      </c>
      <c r="P151" s="1603" t="s">
        <v>62</v>
      </c>
      <c r="Q151" s="1566">
        <v>0.9</v>
      </c>
      <c r="R151" s="1784">
        <v>2100055536</v>
      </c>
      <c r="S151" s="1582" t="s">
        <v>1520</v>
      </c>
      <c r="T151" s="1446">
        <v>90000</v>
      </c>
      <c r="U151" s="1446" t="s">
        <v>62</v>
      </c>
      <c r="V151" s="976">
        <f>Table62689345679[[#This Row],[Offer Value]]-Table62689345679[[#This Row],[PO Value]]</f>
        <v>0</v>
      </c>
      <c r="W151" s="1446"/>
      <c r="X151" s="1446"/>
      <c r="Y151" s="1595"/>
      <c r="Z151" s="977"/>
      <c r="AA151" s="937"/>
    </row>
    <row r="152" spans="1:27" ht="15.6">
      <c r="A152" s="937"/>
      <c r="B152" s="1582"/>
      <c r="C152" s="944" t="s">
        <v>1387</v>
      </c>
      <c r="D152" s="1441" t="s">
        <v>1737</v>
      </c>
      <c r="E152" s="1592" t="s">
        <v>277</v>
      </c>
      <c r="F152" s="1443" t="s">
        <v>2153</v>
      </c>
      <c r="G152" s="944">
        <v>7600027767</v>
      </c>
      <c r="H152" s="1782" t="s">
        <v>2154</v>
      </c>
      <c r="I152" s="944" t="s">
        <v>2157</v>
      </c>
      <c r="J152" s="944" t="s">
        <v>73</v>
      </c>
      <c r="K152" s="944" t="s">
        <v>138</v>
      </c>
      <c r="L152" s="1783" t="s">
        <v>2156</v>
      </c>
      <c r="M152" s="1791">
        <v>45697</v>
      </c>
      <c r="N152" s="1446">
        <v>90000</v>
      </c>
      <c r="O152" s="1603" t="s">
        <v>44</v>
      </c>
      <c r="P152" s="1603" t="s">
        <v>62</v>
      </c>
      <c r="Q152" s="1566">
        <v>0.9</v>
      </c>
      <c r="R152" s="1784">
        <v>2100055536</v>
      </c>
      <c r="S152" s="1582" t="s">
        <v>1520</v>
      </c>
      <c r="T152" s="1446">
        <v>90000</v>
      </c>
      <c r="U152" s="1446" t="s">
        <v>62</v>
      </c>
      <c r="V152" s="976">
        <f>Table62689345679[[#This Row],[Offer Value]]-Table62689345679[[#This Row],[PO Value]]</f>
        <v>0</v>
      </c>
      <c r="W152" s="1446"/>
      <c r="X152" s="1446"/>
      <c r="Y152" s="1595"/>
      <c r="Z152" s="977"/>
      <c r="AA152" s="937"/>
    </row>
    <row r="153" spans="1:27" ht="15.6">
      <c r="A153" s="937">
        <v>85</v>
      </c>
      <c r="B153" s="1582">
        <v>45697</v>
      </c>
      <c r="C153" s="944" t="s">
        <v>1750</v>
      </c>
      <c r="D153" s="1441" t="s">
        <v>1751</v>
      </c>
      <c r="E153" s="1592" t="s">
        <v>873</v>
      </c>
      <c r="F153" s="1443" t="s">
        <v>2158</v>
      </c>
      <c r="G153" s="944">
        <v>7990844521</v>
      </c>
      <c r="H153" s="1782" t="s">
        <v>2159</v>
      </c>
      <c r="I153" s="944" t="s">
        <v>1754</v>
      </c>
      <c r="J153" s="944" t="s">
        <v>73</v>
      </c>
      <c r="K153" s="944" t="s">
        <v>138</v>
      </c>
      <c r="L153" s="1783" t="s">
        <v>2160</v>
      </c>
      <c r="M153" s="1791">
        <v>45697</v>
      </c>
      <c r="N153" s="1446">
        <v>60400</v>
      </c>
      <c r="O153" s="1603" t="s">
        <v>44</v>
      </c>
      <c r="P153" s="1603" t="s">
        <v>44</v>
      </c>
      <c r="Q153" s="1566">
        <v>1</v>
      </c>
      <c r="R153" s="1784" t="s">
        <v>2161</v>
      </c>
      <c r="S153" s="1582">
        <v>45786</v>
      </c>
      <c r="T153" s="1446">
        <v>60400</v>
      </c>
      <c r="U153" s="1446" t="s">
        <v>44</v>
      </c>
      <c r="V153" s="976">
        <f>Table62689345679[[#This Row],[Offer Value]]-Table62689345679[[#This Row],[PO Value]]</f>
        <v>0</v>
      </c>
      <c r="W153" s="1446"/>
      <c r="X153" s="1446"/>
      <c r="Y153" s="1595"/>
      <c r="Z153" s="977"/>
      <c r="AA153" s="1785"/>
    </row>
    <row r="154" spans="1:27" ht="15.6">
      <c r="A154" s="937">
        <v>86</v>
      </c>
      <c r="B154" s="1582">
        <v>45756</v>
      </c>
      <c r="C154" s="944" t="s">
        <v>1758</v>
      </c>
      <c r="D154" s="1441" t="s">
        <v>1751</v>
      </c>
      <c r="E154" s="1592" t="s">
        <v>873</v>
      </c>
      <c r="F154" s="1443" t="s">
        <v>2098</v>
      </c>
      <c r="G154" s="944">
        <v>8155032377</v>
      </c>
      <c r="H154" s="1782" t="s">
        <v>2099</v>
      </c>
      <c r="I154" s="944" t="s">
        <v>2100</v>
      </c>
      <c r="J154" s="944" t="s">
        <v>79</v>
      </c>
      <c r="K154" s="944" t="s">
        <v>138</v>
      </c>
      <c r="L154" s="1783" t="s">
        <v>2162</v>
      </c>
      <c r="M154" s="1791">
        <v>45756</v>
      </c>
      <c r="N154" s="1446">
        <v>19500</v>
      </c>
      <c r="O154" s="1603" t="s">
        <v>44</v>
      </c>
      <c r="P154" s="1603" t="s">
        <v>44</v>
      </c>
      <c r="Q154" s="1566">
        <v>1</v>
      </c>
      <c r="R154" s="1784" t="s">
        <v>2163</v>
      </c>
      <c r="S154" s="1582">
        <v>45970</v>
      </c>
      <c r="T154" s="1446">
        <v>19500</v>
      </c>
      <c r="U154" s="1446" t="s">
        <v>44</v>
      </c>
      <c r="V154" s="976">
        <f>Table62689345679[[#This Row],[Offer Value]]-Table62689345679[[#This Row],[PO Value]]</f>
        <v>0</v>
      </c>
      <c r="W154" s="1446"/>
      <c r="X154" s="1446"/>
      <c r="Y154" s="1595"/>
      <c r="Z154" s="977"/>
      <c r="AA154" s="1785"/>
    </row>
    <row r="155" spans="1:27" ht="15.6">
      <c r="A155" s="937">
        <v>87</v>
      </c>
      <c r="B155" s="1582">
        <v>45847</v>
      </c>
      <c r="C155" s="944" t="s">
        <v>1758</v>
      </c>
      <c r="D155" s="1441" t="s">
        <v>1751</v>
      </c>
      <c r="E155" s="1592" t="s">
        <v>873</v>
      </c>
      <c r="F155" s="1443" t="s">
        <v>2164</v>
      </c>
      <c r="G155" s="944">
        <v>9909907838</v>
      </c>
      <c r="H155" s="1782" t="s">
        <v>2165</v>
      </c>
      <c r="I155" s="944" t="s">
        <v>2166</v>
      </c>
      <c r="J155" s="944" t="s">
        <v>74</v>
      </c>
      <c r="K155" s="944" t="s">
        <v>138</v>
      </c>
      <c r="L155" s="1783" t="s">
        <v>2167</v>
      </c>
      <c r="M155" s="1791">
        <v>45847</v>
      </c>
      <c r="N155" s="1446">
        <v>291800</v>
      </c>
      <c r="O155" s="1603" t="s">
        <v>44</v>
      </c>
      <c r="P155" s="1603" t="s">
        <v>44</v>
      </c>
      <c r="Q155" s="1566">
        <v>1</v>
      </c>
      <c r="R155" s="1784" t="s">
        <v>2168</v>
      </c>
      <c r="S155" s="1582" t="s">
        <v>2169</v>
      </c>
      <c r="T155" s="1446">
        <v>236064</v>
      </c>
      <c r="U155" s="1446" t="s">
        <v>44</v>
      </c>
      <c r="V155" s="976">
        <v>0</v>
      </c>
      <c r="W155" s="1446"/>
      <c r="X155" s="1446"/>
      <c r="Y155" s="1595"/>
      <c r="Z155" s="977"/>
      <c r="AA155" s="1785"/>
    </row>
    <row r="156" spans="1:27" ht="15.6">
      <c r="A156" s="937">
        <v>88</v>
      </c>
      <c r="B156" s="938">
        <v>45847</v>
      </c>
      <c r="C156" s="944" t="s">
        <v>2170</v>
      </c>
      <c r="D156" s="1441" t="s">
        <v>1777</v>
      </c>
      <c r="E156" s="1443" t="s">
        <v>873</v>
      </c>
      <c r="F156" s="1443" t="s">
        <v>2171</v>
      </c>
      <c r="G156" s="1443">
        <v>9898923100</v>
      </c>
      <c r="H156" s="1786" t="s">
        <v>2172</v>
      </c>
      <c r="I156" s="1010" t="s">
        <v>2173</v>
      </c>
      <c r="J156" s="944" t="s">
        <v>73</v>
      </c>
      <c r="K156" s="944" t="s">
        <v>157</v>
      </c>
      <c r="L156" s="1449" t="s">
        <v>2174</v>
      </c>
      <c r="M156" s="938">
        <v>45847</v>
      </c>
      <c r="N156" s="937">
        <v>88000</v>
      </c>
      <c r="O156" s="1603" t="s">
        <v>44</v>
      </c>
      <c r="P156" s="1603" t="s">
        <v>47</v>
      </c>
      <c r="Q156" s="1321">
        <v>0.6</v>
      </c>
      <c r="R156" s="972">
        <v>470075997</v>
      </c>
      <c r="S156" s="938">
        <v>45818</v>
      </c>
      <c r="T156" s="937">
        <v>88000</v>
      </c>
      <c r="U156" s="937" t="s">
        <v>47</v>
      </c>
      <c r="V156" s="976">
        <f>Table62689345679[[#This Row],[Offer Value]]-Table62689345679[[#This Row],[PO Value]]</f>
        <v>0</v>
      </c>
      <c r="W156" s="937"/>
      <c r="X156" s="937"/>
      <c r="Y156" s="1600"/>
      <c r="Z156" s="2368"/>
      <c r="AA156" s="2369"/>
    </row>
    <row r="157" spans="1:27" ht="15.6">
      <c r="A157" s="937"/>
      <c r="B157" s="938"/>
      <c r="C157" s="944" t="s">
        <v>2170</v>
      </c>
      <c r="D157" s="1441" t="s">
        <v>1777</v>
      </c>
      <c r="E157" s="1443" t="s">
        <v>873</v>
      </c>
      <c r="F157" s="1443" t="s">
        <v>2171</v>
      </c>
      <c r="G157" s="1443">
        <v>9898923100</v>
      </c>
      <c r="H157" s="1786" t="s">
        <v>2172</v>
      </c>
      <c r="I157" s="1010" t="s">
        <v>2175</v>
      </c>
      <c r="J157" s="944" t="s">
        <v>73</v>
      </c>
      <c r="K157" s="944" t="s">
        <v>157</v>
      </c>
      <c r="L157" s="1449" t="s">
        <v>2174</v>
      </c>
      <c r="M157" s="938">
        <v>45847</v>
      </c>
      <c r="N157" s="937">
        <v>88000</v>
      </c>
      <c r="O157" s="1603" t="s">
        <v>44</v>
      </c>
      <c r="P157" s="1603" t="s">
        <v>47</v>
      </c>
      <c r="Q157" s="1321">
        <v>0.6</v>
      </c>
      <c r="R157" s="972">
        <v>470075997</v>
      </c>
      <c r="S157" s="938">
        <v>45818</v>
      </c>
      <c r="T157" s="937">
        <v>88000</v>
      </c>
      <c r="U157" s="937" t="s">
        <v>47</v>
      </c>
      <c r="V157" s="976">
        <f>Table62689345679[[#This Row],[Offer Value]]-Table62689345679[[#This Row],[PO Value]]</f>
        <v>0</v>
      </c>
      <c r="W157" s="937"/>
      <c r="X157" s="937"/>
      <c r="Y157" s="1601"/>
      <c r="Z157" s="2368"/>
      <c r="AA157" s="2369"/>
    </row>
    <row r="158" spans="1:27" ht="31.2">
      <c r="A158" s="106">
        <v>89</v>
      </c>
      <c r="B158" s="107">
        <v>45878</v>
      </c>
      <c r="C158" s="108" t="s">
        <v>1855</v>
      </c>
      <c r="D158" s="303" t="s">
        <v>1737</v>
      </c>
      <c r="E158" s="105" t="s">
        <v>873</v>
      </c>
      <c r="F158" s="178" t="s">
        <v>1919</v>
      </c>
      <c r="G158" s="178">
        <v>8460155846</v>
      </c>
      <c r="H158" s="316" t="s">
        <v>1920</v>
      </c>
      <c r="I158" s="105" t="s">
        <v>2176</v>
      </c>
      <c r="J158" s="108" t="s">
        <v>74</v>
      </c>
      <c r="K158" s="108" t="s">
        <v>138</v>
      </c>
      <c r="L158" s="113" t="s">
        <v>2177</v>
      </c>
      <c r="M158" s="116">
        <v>45878</v>
      </c>
      <c r="N158" s="106">
        <v>423800</v>
      </c>
      <c r="O158" s="483" t="s">
        <v>44</v>
      </c>
      <c r="P158" s="483" t="s">
        <v>62</v>
      </c>
      <c r="Q158" s="109">
        <v>0.6</v>
      </c>
      <c r="R158" s="289"/>
      <c r="S158" s="107"/>
      <c r="T158" s="106"/>
      <c r="U158" s="106"/>
      <c r="V158" s="284">
        <f>Table62689345679[[#This Row],[Offer Value]]-Table62689345679[[#This Row],[PO Value]]</f>
        <v>423800</v>
      </c>
      <c r="W158" s="106"/>
      <c r="X158" s="106"/>
      <c r="Y158" s="617"/>
      <c r="Z158" s="257"/>
      <c r="AA158" s="603"/>
    </row>
    <row r="159" spans="1:27" ht="18">
      <c r="A159" s="937">
        <v>90</v>
      </c>
      <c r="B159" s="938" t="s">
        <v>2178</v>
      </c>
      <c r="C159" s="944" t="s">
        <v>1952</v>
      </c>
      <c r="D159" s="1441" t="s">
        <v>1777</v>
      </c>
      <c r="E159" s="944" t="s">
        <v>873</v>
      </c>
      <c r="F159" s="1592" t="s">
        <v>1953</v>
      </c>
      <c r="G159" s="1443" t="s">
        <v>1954</v>
      </c>
      <c r="H159" s="1786" t="s">
        <v>1955</v>
      </c>
      <c r="I159" s="1010" t="s">
        <v>1956</v>
      </c>
      <c r="J159" s="944" t="s">
        <v>74</v>
      </c>
      <c r="K159" s="944" t="s">
        <v>138</v>
      </c>
      <c r="L159" s="2366" t="s">
        <v>2179</v>
      </c>
      <c r="M159" s="1003" t="s">
        <v>2178</v>
      </c>
      <c r="N159" s="937">
        <v>366200</v>
      </c>
      <c r="O159" s="1603" t="s">
        <v>44</v>
      </c>
      <c r="P159" s="1603" t="s">
        <v>44</v>
      </c>
      <c r="Q159" s="1566">
        <v>1</v>
      </c>
      <c r="R159" s="972" t="s">
        <v>2180</v>
      </c>
      <c r="S159" s="938">
        <v>45667</v>
      </c>
      <c r="T159" s="937">
        <v>344288</v>
      </c>
      <c r="U159" s="937" t="s">
        <v>47</v>
      </c>
      <c r="V159" s="976">
        <v>0</v>
      </c>
      <c r="W159" s="937"/>
      <c r="X159" s="937"/>
      <c r="Y159" s="1600"/>
      <c r="Z159" s="2368"/>
      <c r="AA159" s="2369"/>
    </row>
    <row r="160" spans="1:27" ht="31.8">
      <c r="A160" s="937">
        <v>91</v>
      </c>
      <c r="B160" s="938">
        <v>45667</v>
      </c>
      <c r="C160" s="944" t="s">
        <v>2089</v>
      </c>
      <c r="D160" s="1441" t="s">
        <v>1888</v>
      </c>
      <c r="E160" s="944" t="s">
        <v>1730</v>
      </c>
      <c r="F160" s="1443" t="s">
        <v>2181</v>
      </c>
      <c r="G160" s="1010">
        <v>7400202818</v>
      </c>
      <c r="H160" s="1320" t="s">
        <v>2182</v>
      </c>
      <c r="I160" s="1010">
        <v>150885</v>
      </c>
      <c r="J160" s="944" t="s">
        <v>75</v>
      </c>
      <c r="K160" s="944" t="s">
        <v>157</v>
      </c>
      <c r="L160" s="2366" t="s">
        <v>2183</v>
      </c>
      <c r="M160" s="1003">
        <v>45667</v>
      </c>
      <c r="N160" s="937">
        <v>1826880</v>
      </c>
      <c r="O160" s="1603" t="s">
        <v>47</v>
      </c>
      <c r="P160" s="1603" t="s">
        <v>47</v>
      </c>
      <c r="Q160" s="1321">
        <v>0.7</v>
      </c>
      <c r="R160" s="2367">
        <v>4400017535</v>
      </c>
      <c r="S160" s="938" t="s">
        <v>1645</v>
      </c>
      <c r="T160" s="937">
        <v>1735536</v>
      </c>
      <c r="U160" s="937" t="s">
        <v>47</v>
      </c>
      <c r="V160" s="976">
        <v>0</v>
      </c>
      <c r="W160" s="937"/>
      <c r="X160" s="937"/>
      <c r="Y160" s="1600"/>
      <c r="Z160" s="2368"/>
      <c r="AA160" s="2369"/>
    </row>
    <row r="161" spans="1:27" ht="15.6">
      <c r="A161" s="937">
        <v>92</v>
      </c>
      <c r="B161" s="938">
        <v>45698</v>
      </c>
      <c r="C161" s="944" t="s">
        <v>2082</v>
      </c>
      <c r="D161" s="1441" t="s">
        <v>1751</v>
      </c>
      <c r="E161" s="944" t="s">
        <v>1730</v>
      </c>
      <c r="F161" s="944" t="s">
        <v>2131</v>
      </c>
      <c r="G161" s="944">
        <v>9909918878</v>
      </c>
      <c r="H161" s="1506" t="s">
        <v>2132</v>
      </c>
      <c r="I161" s="1010" t="s">
        <v>2184</v>
      </c>
      <c r="J161" s="944" t="s">
        <v>75</v>
      </c>
      <c r="K161" s="944" t="s">
        <v>157</v>
      </c>
      <c r="L161" s="1449" t="s">
        <v>2185</v>
      </c>
      <c r="M161" s="1003" t="s">
        <v>2186</v>
      </c>
      <c r="N161" s="937">
        <v>729480</v>
      </c>
      <c r="O161" s="1603" t="s">
        <v>47</v>
      </c>
      <c r="P161" s="1603" t="s">
        <v>49</v>
      </c>
      <c r="Q161" s="1321">
        <v>0.6</v>
      </c>
      <c r="R161" s="972" t="s">
        <v>2187</v>
      </c>
      <c r="S161" s="938">
        <v>45757</v>
      </c>
      <c r="T161" s="937">
        <v>659400</v>
      </c>
      <c r="U161" s="937" t="s">
        <v>47</v>
      </c>
      <c r="V161" s="976">
        <v>0</v>
      </c>
      <c r="W161" s="937"/>
      <c r="X161" s="937"/>
      <c r="Y161" s="1600"/>
      <c r="Z161" s="2368"/>
      <c r="AA161" s="2369"/>
    </row>
    <row r="162" spans="1:27" ht="15.6">
      <c r="A162" s="2997">
        <v>93</v>
      </c>
      <c r="B162" s="938">
        <v>45698</v>
      </c>
      <c r="C162" s="944" t="s">
        <v>2082</v>
      </c>
      <c r="D162" s="1441" t="s">
        <v>1751</v>
      </c>
      <c r="E162" s="944" t="s">
        <v>1730</v>
      </c>
      <c r="F162" s="944" t="s">
        <v>2131</v>
      </c>
      <c r="G162" s="944">
        <v>9909918878</v>
      </c>
      <c r="H162" s="1506" t="s">
        <v>2132</v>
      </c>
      <c r="I162" s="1010" t="s">
        <v>2184</v>
      </c>
      <c r="J162" s="944" t="s">
        <v>75</v>
      </c>
      <c r="K162" s="944" t="s">
        <v>157</v>
      </c>
      <c r="L162" s="1449" t="s">
        <v>2188</v>
      </c>
      <c r="M162" s="938">
        <v>45698</v>
      </c>
      <c r="N162" s="937">
        <v>25050</v>
      </c>
      <c r="O162" s="1603" t="s">
        <v>47</v>
      </c>
      <c r="P162" s="1603" t="s">
        <v>49</v>
      </c>
      <c r="Q162" s="1321">
        <v>0.6</v>
      </c>
      <c r="R162" s="972" t="s">
        <v>2187</v>
      </c>
      <c r="S162" s="938">
        <v>45757</v>
      </c>
      <c r="T162" s="937">
        <v>13128</v>
      </c>
      <c r="U162" s="937" t="s">
        <v>47</v>
      </c>
      <c r="V162" s="976">
        <v>0</v>
      </c>
      <c r="W162" s="2998"/>
      <c r="X162" s="2998"/>
      <c r="Y162" s="1600"/>
      <c r="Z162" s="2368"/>
      <c r="AA162" s="2369"/>
    </row>
    <row r="163" spans="1:27" ht="15.6">
      <c r="A163" s="937">
        <v>94</v>
      </c>
      <c r="B163" s="938">
        <v>45698</v>
      </c>
      <c r="C163" s="944" t="s">
        <v>1700</v>
      </c>
      <c r="D163" s="1441" t="s">
        <v>1701</v>
      </c>
      <c r="E163" s="944" t="s">
        <v>873</v>
      </c>
      <c r="F163" s="944" t="s">
        <v>2189</v>
      </c>
      <c r="G163" s="944">
        <v>7226982211</v>
      </c>
      <c r="H163" s="1506" t="s">
        <v>1703</v>
      </c>
      <c r="I163" s="1010" t="s">
        <v>1704</v>
      </c>
      <c r="J163" s="944" t="s">
        <v>73</v>
      </c>
      <c r="K163" s="944" t="s">
        <v>138</v>
      </c>
      <c r="L163" s="1449" t="s">
        <v>2190</v>
      </c>
      <c r="M163" s="938">
        <v>45698</v>
      </c>
      <c r="N163" s="937">
        <v>85560</v>
      </c>
      <c r="O163" s="1603" t="s">
        <v>47</v>
      </c>
      <c r="P163" s="1603" t="s">
        <v>47</v>
      </c>
      <c r="Q163" s="1321">
        <v>0.9</v>
      </c>
      <c r="R163" s="972">
        <v>4900003846</v>
      </c>
      <c r="S163" s="938">
        <v>45788</v>
      </c>
      <c r="T163" s="937">
        <v>85560</v>
      </c>
      <c r="U163" s="937" t="s">
        <v>49</v>
      </c>
      <c r="V163" s="976">
        <f>Table62689345679[[#This Row],[Offer Value]]-Table62689345679[[#This Row],[PO Value]]</f>
        <v>0</v>
      </c>
      <c r="W163" s="937"/>
      <c r="X163" s="937"/>
      <c r="Y163" s="1600"/>
      <c r="Z163" s="2368"/>
      <c r="AA163" s="2369"/>
    </row>
    <row r="164" spans="1:27" ht="15.6">
      <c r="A164" s="937">
        <v>95</v>
      </c>
      <c r="B164" s="938">
        <v>45698</v>
      </c>
      <c r="C164" s="944" t="s">
        <v>984</v>
      </c>
      <c r="D164" s="1441" t="s">
        <v>1777</v>
      </c>
      <c r="E164" s="944" t="s">
        <v>873</v>
      </c>
      <c r="F164" s="944" t="s">
        <v>1817</v>
      </c>
      <c r="G164" s="944">
        <v>7624008077</v>
      </c>
      <c r="H164" s="1506" t="s">
        <v>1818</v>
      </c>
      <c r="I164" s="1010" t="s">
        <v>2191</v>
      </c>
      <c r="J164" s="944" t="s">
        <v>73</v>
      </c>
      <c r="K164" s="944" t="s">
        <v>138</v>
      </c>
      <c r="L164" s="1449" t="s">
        <v>2192</v>
      </c>
      <c r="M164" s="938">
        <v>45698</v>
      </c>
      <c r="N164" s="937">
        <v>71250</v>
      </c>
      <c r="O164" s="1603" t="s">
        <v>47</v>
      </c>
      <c r="P164" s="1603" t="s">
        <v>62</v>
      </c>
      <c r="Q164" s="1321">
        <v>0.9</v>
      </c>
      <c r="R164" s="972">
        <v>1600036220</v>
      </c>
      <c r="S164" s="938">
        <v>45912</v>
      </c>
      <c r="T164" s="937">
        <v>71250</v>
      </c>
      <c r="U164" s="937" t="s">
        <v>62</v>
      </c>
      <c r="V164" s="976">
        <f>Table62689345679[[#This Row],[Offer Value]]-Table62689345679[[#This Row],[PO Value]]</f>
        <v>0</v>
      </c>
      <c r="W164" s="937"/>
      <c r="X164" s="937"/>
      <c r="Y164" s="1600"/>
      <c r="Z164" s="2368"/>
      <c r="AA164" s="2369"/>
    </row>
    <row r="165" spans="1:27" ht="18">
      <c r="A165" s="937">
        <v>96</v>
      </c>
      <c r="B165" s="938">
        <v>45698</v>
      </c>
      <c r="C165" s="944" t="s">
        <v>1941</v>
      </c>
      <c r="D165" s="1441" t="s">
        <v>1816</v>
      </c>
      <c r="E165" s="944" t="s">
        <v>873</v>
      </c>
      <c r="F165" s="944" t="s">
        <v>1966</v>
      </c>
      <c r="G165" s="944" t="s">
        <v>1967</v>
      </c>
      <c r="H165" s="1506" t="s">
        <v>1968</v>
      </c>
      <c r="I165" s="1010" t="s">
        <v>1969</v>
      </c>
      <c r="J165" s="944" t="s">
        <v>74</v>
      </c>
      <c r="K165" s="944" t="s">
        <v>138</v>
      </c>
      <c r="L165" s="2366" t="s">
        <v>2193</v>
      </c>
      <c r="M165" s="938">
        <v>45698</v>
      </c>
      <c r="N165" s="937">
        <v>592600</v>
      </c>
      <c r="O165" s="1603" t="s">
        <v>47</v>
      </c>
      <c r="P165" s="1603" t="s">
        <v>47</v>
      </c>
      <c r="Q165" s="1321">
        <v>0.6</v>
      </c>
      <c r="R165" s="972" t="s">
        <v>2194</v>
      </c>
      <c r="S165" s="938" t="s">
        <v>1631</v>
      </c>
      <c r="T165" s="937">
        <v>261820</v>
      </c>
      <c r="U165" s="937" t="s">
        <v>47</v>
      </c>
      <c r="V165" s="976">
        <v>0</v>
      </c>
      <c r="W165" s="937"/>
      <c r="X165" s="937"/>
      <c r="Y165" s="1600"/>
      <c r="Z165" s="2368"/>
      <c r="AA165" s="2369"/>
    </row>
    <row r="166" spans="1:27" ht="18">
      <c r="A166" s="106">
        <v>97</v>
      </c>
      <c r="B166" s="107">
        <v>45787</v>
      </c>
      <c r="C166" s="108" t="s">
        <v>2042</v>
      </c>
      <c r="D166" s="303" t="s">
        <v>1777</v>
      </c>
      <c r="E166" s="108" t="s">
        <v>1723</v>
      </c>
      <c r="F166" s="108" t="s">
        <v>2195</v>
      </c>
      <c r="G166" s="108">
        <v>9327468808</v>
      </c>
      <c r="H166" s="251" t="s">
        <v>2196</v>
      </c>
      <c r="I166" s="105" t="s">
        <v>2045</v>
      </c>
      <c r="J166" s="108" t="s">
        <v>73</v>
      </c>
      <c r="K166" s="108" t="s">
        <v>138</v>
      </c>
      <c r="L166" s="366" t="s">
        <v>2197</v>
      </c>
      <c r="M166" s="116">
        <v>45787</v>
      </c>
      <c r="N166" s="106">
        <v>55000</v>
      </c>
      <c r="O166" s="483" t="s">
        <v>47</v>
      </c>
      <c r="P166" s="483"/>
      <c r="Q166" s="109">
        <v>0.6</v>
      </c>
      <c r="R166" s="289"/>
      <c r="S166" s="107"/>
      <c r="T166" s="106"/>
      <c r="U166" s="106"/>
      <c r="V166" s="284">
        <f>Table62689345679[[#This Row],[Offer Value]]-Table62689345679[[#This Row],[PO Value]]</f>
        <v>55000</v>
      </c>
      <c r="W166" s="106"/>
      <c r="X166" s="106"/>
      <c r="Y166" s="217"/>
      <c r="Z166" s="257"/>
      <c r="AA166" s="603"/>
    </row>
    <row r="167" spans="1:27" ht="18">
      <c r="A167" s="106"/>
      <c r="B167" s="106"/>
      <c r="C167" s="108" t="s">
        <v>2042</v>
      </c>
      <c r="D167" s="303" t="s">
        <v>1777</v>
      </c>
      <c r="E167" s="108" t="s">
        <v>1723</v>
      </c>
      <c r="F167" s="108" t="s">
        <v>2195</v>
      </c>
      <c r="G167" s="108">
        <v>9327468808</v>
      </c>
      <c r="H167" s="2365" t="s">
        <v>2196</v>
      </c>
      <c r="I167" s="105" t="s">
        <v>2198</v>
      </c>
      <c r="J167" s="108" t="s">
        <v>73</v>
      </c>
      <c r="K167" s="108" t="s">
        <v>138</v>
      </c>
      <c r="L167" s="366" t="s">
        <v>2197</v>
      </c>
      <c r="M167" s="116">
        <v>45787</v>
      </c>
      <c r="N167" s="106">
        <v>55000</v>
      </c>
      <c r="O167" s="483" t="s">
        <v>47</v>
      </c>
      <c r="P167" s="483"/>
      <c r="Q167" s="109">
        <v>0.6</v>
      </c>
      <c r="R167" s="289"/>
      <c r="S167" s="107"/>
      <c r="T167" s="106"/>
      <c r="U167" s="106"/>
      <c r="V167" s="284">
        <f>Table62689345679[[#This Row],[Offer Value]]-Table62689345679[[#This Row],[PO Value]]</f>
        <v>55000</v>
      </c>
      <c r="W167" s="106"/>
      <c r="X167" s="106"/>
      <c r="Y167" s="217"/>
      <c r="Z167" s="257"/>
      <c r="AA167" s="603"/>
    </row>
    <row r="168" spans="1:27" ht="46.8">
      <c r="A168" s="937">
        <v>98</v>
      </c>
      <c r="B168" s="938">
        <v>45787</v>
      </c>
      <c r="C168" s="944" t="s">
        <v>1795</v>
      </c>
      <c r="D168" s="1441" t="s">
        <v>1777</v>
      </c>
      <c r="E168" s="1449" t="s">
        <v>873</v>
      </c>
      <c r="F168" s="1449" t="s">
        <v>2016</v>
      </c>
      <c r="G168" s="1592" t="s">
        <v>2199</v>
      </c>
      <c r="H168" s="1787" t="s">
        <v>2017</v>
      </c>
      <c r="I168" s="1010" t="s">
        <v>1798</v>
      </c>
      <c r="J168" s="944" t="s">
        <v>73</v>
      </c>
      <c r="K168" s="944" t="s">
        <v>138</v>
      </c>
      <c r="L168" s="2366" t="s">
        <v>2200</v>
      </c>
      <c r="M168" s="1003">
        <v>45787</v>
      </c>
      <c r="N168" s="937">
        <v>55000</v>
      </c>
      <c r="O168" s="1603" t="s">
        <v>47</v>
      </c>
      <c r="P168" s="1603" t="s">
        <v>47</v>
      </c>
      <c r="Q168" s="1321">
        <v>1</v>
      </c>
      <c r="R168" s="2367" t="s">
        <v>2201</v>
      </c>
      <c r="S168" s="938">
        <v>45848</v>
      </c>
      <c r="T168" s="937">
        <v>52800</v>
      </c>
      <c r="U168" s="937" t="s">
        <v>47</v>
      </c>
      <c r="V168" s="976">
        <v>0</v>
      </c>
      <c r="W168" s="937"/>
      <c r="X168" s="937"/>
      <c r="Y168" s="1601"/>
      <c r="Z168" s="2368"/>
      <c r="AA168" s="2369"/>
    </row>
    <row r="169" spans="1:27" ht="18">
      <c r="A169" s="106">
        <v>99</v>
      </c>
      <c r="B169" s="107">
        <v>45848</v>
      </c>
      <c r="C169" s="108" t="s">
        <v>1769</v>
      </c>
      <c r="D169" s="303" t="s">
        <v>1751</v>
      </c>
      <c r="E169" s="105" t="s">
        <v>1730</v>
      </c>
      <c r="F169" s="113" t="s">
        <v>2202</v>
      </c>
      <c r="G169" s="113">
        <v>9726567697</v>
      </c>
      <c r="H169" s="248" t="s">
        <v>2203</v>
      </c>
      <c r="I169" s="105" t="s">
        <v>2204</v>
      </c>
      <c r="J169" s="108" t="s">
        <v>75</v>
      </c>
      <c r="K169" s="108" t="s">
        <v>138</v>
      </c>
      <c r="L169" s="366" t="s">
        <v>2205</v>
      </c>
      <c r="M169" s="116">
        <v>45848</v>
      </c>
      <c r="N169" s="106">
        <v>330000</v>
      </c>
      <c r="O169" s="483" t="s">
        <v>47</v>
      </c>
      <c r="P169" s="483"/>
      <c r="Q169" s="109">
        <v>0.5</v>
      </c>
      <c r="R169" s="289"/>
      <c r="S169" s="107"/>
      <c r="T169" s="106"/>
      <c r="U169" s="106"/>
      <c r="V169" s="284">
        <f>Table62689345679[[#This Row],[Offer Value]]-Table62689345679[[#This Row],[PO Value]]</f>
        <v>330000</v>
      </c>
      <c r="W169" s="106"/>
      <c r="X169" s="106"/>
      <c r="Y169" s="217"/>
      <c r="Z169" s="257"/>
      <c r="AA169" s="603"/>
    </row>
    <row r="170" spans="1:27" ht="18">
      <c r="A170" s="937">
        <v>100</v>
      </c>
      <c r="B170" s="938">
        <v>45910</v>
      </c>
      <c r="C170" s="944" t="s">
        <v>1758</v>
      </c>
      <c r="D170" s="1441" t="s">
        <v>1751</v>
      </c>
      <c r="E170" s="1010" t="s">
        <v>873</v>
      </c>
      <c r="F170" s="1449" t="s">
        <v>2164</v>
      </c>
      <c r="G170" s="1449">
        <v>9909907838</v>
      </c>
      <c r="H170" s="1439" t="s">
        <v>2165</v>
      </c>
      <c r="I170" s="1010" t="s">
        <v>2166</v>
      </c>
      <c r="J170" s="944" t="s">
        <v>79</v>
      </c>
      <c r="K170" s="944" t="s">
        <v>138</v>
      </c>
      <c r="L170" s="2366" t="s">
        <v>2206</v>
      </c>
      <c r="M170" s="1003">
        <v>45910</v>
      </c>
      <c r="N170" s="937">
        <v>19500</v>
      </c>
      <c r="O170" s="1603" t="s">
        <v>47</v>
      </c>
      <c r="P170" s="1603" t="s">
        <v>47</v>
      </c>
      <c r="Q170" s="1321">
        <v>0.9</v>
      </c>
      <c r="R170" s="972" t="s">
        <v>2207</v>
      </c>
      <c r="S170" s="938" t="s">
        <v>1988</v>
      </c>
      <c r="T170" s="937">
        <v>19500</v>
      </c>
      <c r="U170" s="937" t="s">
        <v>47</v>
      </c>
      <c r="V170" s="976">
        <f>Table62689345679[[#This Row],[Offer Value]]-Table62689345679[[#This Row],[PO Value]]</f>
        <v>0</v>
      </c>
      <c r="W170" s="937"/>
      <c r="X170" s="937"/>
      <c r="Y170" s="1600"/>
      <c r="Z170" s="2368"/>
      <c r="AA170" s="2369"/>
    </row>
    <row r="171" spans="1:27" ht="18">
      <c r="A171" s="106">
        <v>101</v>
      </c>
      <c r="B171" s="106" t="s">
        <v>2208</v>
      </c>
      <c r="C171" s="108" t="s">
        <v>2170</v>
      </c>
      <c r="D171" s="303" t="s">
        <v>1777</v>
      </c>
      <c r="E171" s="178" t="s">
        <v>873</v>
      </c>
      <c r="F171" s="178" t="s">
        <v>2171</v>
      </c>
      <c r="G171" s="178">
        <v>9898923100</v>
      </c>
      <c r="H171" s="316" t="s">
        <v>2172</v>
      </c>
      <c r="I171" s="105" t="s">
        <v>2173</v>
      </c>
      <c r="J171" s="108" t="s">
        <v>79</v>
      </c>
      <c r="K171" s="108" t="s">
        <v>138</v>
      </c>
      <c r="L171" s="366" t="s">
        <v>2209</v>
      </c>
      <c r="M171" s="116" t="s">
        <v>2208</v>
      </c>
      <c r="N171" s="106">
        <v>30500</v>
      </c>
      <c r="O171" s="483" t="s">
        <v>47</v>
      </c>
      <c r="P171" s="483"/>
      <c r="Q171" s="109">
        <v>0.5</v>
      </c>
      <c r="R171" s="289"/>
      <c r="S171" s="107"/>
      <c r="T171" s="106"/>
      <c r="U171" s="106"/>
      <c r="V171" s="284">
        <f>Table62689345679[[#This Row],[Offer Value]]-Table62689345679[[#This Row],[PO Value]]</f>
        <v>30500</v>
      </c>
      <c r="W171" s="106"/>
      <c r="X171" s="106"/>
      <c r="Y171" s="217"/>
      <c r="Z171" s="257"/>
      <c r="AA171" s="603"/>
    </row>
    <row r="172" spans="1:27" ht="18">
      <c r="A172" s="106">
        <v>102</v>
      </c>
      <c r="B172" s="107">
        <v>45758</v>
      </c>
      <c r="C172" s="108" t="s">
        <v>1721</v>
      </c>
      <c r="D172" s="303" t="s">
        <v>1722</v>
      </c>
      <c r="E172" s="178" t="s">
        <v>1723</v>
      </c>
      <c r="F172" s="178" t="s">
        <v>1724</v>
      </c>
      <c r="G172" s="178">
        <v>9426806524</v>
      </c>
      <c r="H172" s="316" t="s">
        <v>1725</v>
      </c>
      <c r="I172" s="105" t="s">
        <v>1726</v>
      </c>
      <c r="J172" s="108" t="s">
        <v>73</v>
      </c>
      <c r="K172" s="108" t="s">
        <v>138</v>
      </c>
      <c r="L172" s="366" t="s">
        <v>2210</v>
      </c>
      <c r="M172" s="116">
        <v>45758</v>
      </c>
      <c r="N172" s="106">
        <v>86000</v>
      </c>
      <c r="O172" s="483" t="s">
        <v>49</v>
      </c>
      <c r="P172" s="483" t="s">
        <v>62</v>
      </c>
      <c r="Q172" s="109">
        <v>0.7</v>
      </c>
      <c r="R172" s="289"/>
      <c r="S172" s="107"/>
      <c r="T172" s="106"/>
      <c r="U172" s="106"/>
      <c r="V172" s="284">
        <f>Table62689345679[[#This Row],[Offer Value]]-Table62689345679[[#This Row],[PO Value]]</f>
        <v>86000</v>
      </c>
      <c r="W172" s="106"/>
      <c r="X172" s="106"/>
      <c r="Y172" s="217"/>
      <c r="Z172" s="257"/>
      <c r="AA172" s="603"/>
    </row>
    <row r="173" spans="1:27" ht="18">
      <c r="A173" s="937">
        <v>103</v>
      </c>
      <c r="B173" s="938">
        <v>45758</v>
      </c>
      <c r="C173" s="944" t="s">
        <v>1729</v>
      </c>
      <c r="D173" s="1441" t="s">
        <v>1722</v>
      </c>
      <c r="E173" s="1010" t="s">
        <v>1730</v>
      </c>
      <c r="F173" s="1443" t="s">
        <v>1731</v>
      </c>
      <c r="G173" s="1443">
        <v>9924214600</v>
      </c>
      <c r="H173" s="1786" t="s">
        <v>1732</v>
      </c>
      <c r="I173" s="1010" t="s">
        <v>1733</v>
      </c>
      <c r="J173" s="944" t="s">
        <v>73</v>
      </c>
      <c r="K173" s="944" t="s">
        <v>138</v>
      </c>
      <c r="L173" s="2366" t="s">
        <v>2211</v>
      </c>
      <c r="M173" s="1003">
        <v>45758</v>
      </c>
      <c r="N173" s="937">
        <v>86000</v>
      </c>
      <c r="O173" s="1603" t="s">
        <v>49</v>
      </c>
      <c r="P173" s="1603" t="s">
        <v>62</v>
      </c>
      <c r="Q173" s="1321">
        <v>0.7</v>
      </c>
      <c r="R173" s="972" t="s">
        <v>2212</v>
      </c>
      <c r="S173" s="938">
        <v>46003</v>
      </c>
      <c r="T173" s="937">
        <v>86000</v>
      </c>
      <c r="U173" s="937" t="s">
        <v>62</v>
      </c>
      <c r="V173" s="976">
        <f>Table62689345679[[#This Row],[Offer Value]]-Table62689345679[[#This Row],[PO Value]]</f>
        <v>0</v>
      </c>
      <c r="W173" s="937"/>
      <c r="X173" s="937"/>
      <c r="Y173" s="1600"/>
      <c r="Z173" s="2368"/>
      <c r="AA173" s="2369"/>
    </row>
    <row r="174" spans="1:27" ht="18">
      <c r="A174" s="106">
        <v>104</v>
      </c>
      <c r="B174" s="107">
        <v>45758</v>
      </c>
      <c r="C174" s="108" t="s">
        <v>2170</v>
      </c>
      <c r="D174" s="303" t="s">
        <v>1777</v>
      </c>
      <c r="E174" s="105" t="s">
        <v>873</v>
      </c>
      <c r="F174" s="113" t="s">
        <v>2213</v>
      </c>
      <c r="G174" s="113">
        <v>9924484458</v>
      </c>
      <c r="H174" s="248" t="s">
        <v>2214</v>
      </c>
      <c r="I174" s="105" t="s">
        <v>2215</v>
      </c>
      <c r="J174" s="108" t="s">
        <v>73</v>
      </c>
      <c r="K174" s="108" t="s">
        <v>138</v>
      </c>
      <c r="L174" s="366" t="s">
        <v>2216</v>
      </c>
      <c r="M174" s="116">
        <v>45758</v>
      </c>
      <c r="N174" s="106">
        <v>66000</v>
      </c>
      <c r="O174" s="483" t="s">
        <v>49</v>
      </c>
      <c r="P174" s="483" t="s">
        <v>62</v>
      </c>
      <c r="Q174" s="109">
        <v>0.7</v>
      </c>
      <c r="R174" s="289"/>
      <c r="S174" s="107"/>
      <c r="T174" s="106"/>
      <c r="U174" s="106"/>
      <c r="V174" s="284">
        <f>Table62689345679[[#This Row],[Offer Value]]-Table62689345679[[#This Row],[PO Value]]</f>
        <v>66000</v>
      </c>
      <c r="W174" s="106"/>
      <c r="X174" s="106"/>
      <c r="Y174" s="217"/>
      <c r="Z174" s="257"/>
      <c r="AA174" s="603"/>
    </row>
    <row r="175" spans="1:27" ht="18">
      <c r="A175" s="106"/>
      <c r="B175" s="106"/>
      <c r="C175" s="108" t="s">
        <v>2170</v>
      </c>
      <c r="D175" s="303" t="s">
        <v>1777</v>
      </c>
      <c r="E175" s="105" t="s">
        <v>873</v>
      </c>
      <c r="F175" s="113" t="s">
        <v>2213</v>
      </c>
      <c r="G175" s="113">
        <v>9924484458</v>
      </c>
      <c r="H175" s="248" t="s">
        <v>2214</v>
      </c>
      <c r="I175" s="105" t="s">
        <v>2217</v>
      </c>
      <c r="J175" s="108" t="s">
        <v>73</v>
      </c>
      <c r="K175" s="108" t="s">
        <v>138</v>
      </c>
      <c r="L175" s="366" t="s">
        <v>2216</v>
      </c>
      <c r="M175" s="116">
        <v>45758</v>
      </c>
      <c r="N175" s="106">
        <v>66000</v>
      </c>
      <c r="O175" s="483" t="s">
        <v>49</v>
      </c>
      <c r="P175" s="483" t="s">
        <v>62</v>
      </c>
      <c r="Q175" s="109">
        <v>0.7</v>
      </c>
      <c r="R175" s="289"/>
      <c r="S175" s="107"/>
      <c r="T175" s="106"/>
      <c r="U175" s="106"/>
      <c r="V175" s="284">
        <f>Table62689345679[[#This Row],[Offer Value]]-Table62689345679[[#This Row],[PO Value]]</f>
        <v>66000</v>
      </c>
      <c r="W175" s="106"/>
      <c r="X175" s="106"/>
      <c r="Y175" s="217"/>
      <c r="Z175" s="257"/>
      <c r="AA175" s="603"/>
    </row>
    <row r="176" spans="1:27" ht="18">
      <c r="A176" s="106"/>
      <c r="B176" s="106"/>
      <c r="C176" s="108" t="s">
        <v>2170</v>
      </c>
      <c r="D176" s="303" t="s">
        <v>1777</v>
      </c>
      <c r="E176" s="105" t="s">
        <v>873</v>
      </c>
      <c r="F176" s="113" t="s">
        <v>2213</v>
      </c>
      <c r="G176" s="113">
        <v>9924484458</v>
      </c>
      <c r="H176" s="248" t="s">
        <v>2214</v>
      </c>
      <c r="I176" s="105" t="s">
        <v>2218</v>
      </c>
      <c r="J176" s="108" t="s">
        <v>73</v>
      </c>
      <c r="K176" s="108" t="s">
        <v>138</v>
      </c>
      <c r="L176" s="366" t="s">
        <v>2216</v>
      </c>
      <c r="M176" s="116">
        <v>45758</v>
      </c>
      <c r="N176" s="106">
        <v>66000</v>
      </c>
      <c r="O176" s="483" t="s">
        <v>49</v>
      </c>
      <c r="P176" s="483" t="s">
        <v>62</v>
      </c>
      <c r="Q176" s="109">
        <v>0.7</v>
      </c>
      <c r="R176" s="289"/>
      <c r="S176" s="107"/>
      <c r="T176" s="106"/>
      <c r="U176" s="106"/>
      <c r="V176" s="284">
        <f>Table62689345679[[#This Row],[Offer Value]]-Table62689345679[[#This Row],[PO Value]]</f>
        <v>66000</v>
      </c>
      <c r="W176" s="106"/>
      <c r="X176" s="106"/>
      <c r="Y176" s="217"/>
      <c r="Z176" s="257"/>
      <c r="AA176" s="603"/>
    </row>
    <row r="177" spans="1:27" ht="18">
      <c r="A177" s="106"/>
      <c r="B177" s="106"/>
      <c r="C177" s="108" t="s">
        <v>2170</v>
      </c>
      <c r="D177" s="303" t="s">
        <v>1777</v>
      </c>
      <c r="E177" s="105" t="s">
        <v>873</v>
      </c>
      <c r="F177" s="113" t="s">
        <v>2213</v>
      </c>
      <c r="G177" s="113">
        <v>9924484458</v>
      </c>
      <c r="H177" s="248" t="s">
        <v>2214</v>
      </c>
      <c r="I177" s="105" t="s">
        <v>2219</v>
      </c>
      <c r="J177" s="108" t="s">
        <v>73</v>
      </c>
      <c r="K177" s="108" t="s">
        <v>138</v>
      </c>
      <c r="L177" s="366" t="s">
        <v>2216</v>
      </c>
      <c r="M177" s="116">
        <v>45758</v>
      </c>
      <c r="N177" s="106">
        <v>66000</v>
      </c>
      <c r="O177" s="483" t="s">
        <v>49</v>
      </c>
      <c r="P177" s="483" t="s">
        <v>62</v>
      </c>
      <c r="Q177" s="109">
        <v>0.7</v>
      </c>
      <c r="R177" s="289"/>
      <c r="S177" s="107"/>
      <c r="T177" s="106"/>
      <c r="U177" s="106"/>
      <c r="V177" s="284">
        <f>Table62689345679[[#This Row],[Offer Value]]-Table62689345679[[#This Row],[PO Value]]</f>
        <v>66000</v>
      </c>
      <c r="W177" s="106"/>
      <c r="X177" s="106"/>
      <c r="Y177" s="217"/>
      <c r="Z177" s="257"/>
      <c r="AA177" s="603"/>
    </row>
    <row r="178" spans="1:27" ht="18">
      <c r="A178" s="106"/>
      <c r="B178" s="106"/>
      <c r="C178" s="108" t="s">
        <v>2170</v>
      </c>
      <c r="D178" s="303" t="s">
        <v>1777</v>
      </c>
      <c r="E178" s="105" t="s">
        <v>873</v>
      </c>
      <c r="F178" s="113" t="s">
        <v>2213</v>
      </c>
      <c r="G178" s="113">
        <v>9924484458</v>
      </c>
      <c r="H178" s="248" t="s">
        <v>2214</v>
      </c>
      <c r="I178" s="105" t="s">
        <v>2220</v>
      </c>
      <c r="J178" s="108" t="s">
        <v>73</v>
      </c>
      <c r="K178" s="108" t="s">
        <v>138</v>
      </c>
      <c r="L178" s="366" t="s">
        <v>2216</v>
      </c>
      <c r="M178" s="116">
        <v>45758</v>
      </c>
      <c r="N178" s="106">
        <v>66000</v>
      </c>
      <c r="O178" s="483" t="s">
        <v>49</v>
      </c>
      <c r="P178" s="483" t="s">
        <v>62</v>
      </c>
      <c r="Q178" s="109">
        <v>0.7</v>
      </c>
      <c r="R178" s="289"/>
      <c r="S178" s="107"/>
      <c r="T178" s="106"/>
      <c r="U178" s="106"/>
      <c r="V178" s="284">
        <f>Table62689345679[[#This Row],[Offer Value]]-Table62689345679[[#This Row],[PO Value]]</f>
        <v>66000</v>
      </c>
      <c r="W178" s="106"/>
      <c r="X178" s="106"/>
      <c r="Y178" s="217"/>
      <c r="Z178" s="257"/>
      <c r="AA178" s="603"/>
    </row>
    <row r="179" spans="1:27" ht="18">
      <c r="A179" s="106"/>
      <c r="B179" s="106"/>
      <c r="C179" s="108" t="s">
        <v>2170</v>
      </c>
      <c r="D179" s="303" t="s">
        <v>1777</v>
      </c>
      <c r="E179" s="105" t="s">
        <v>873</v>
      </c>
      <c r="F179" s="113" t="s">
        <v>2213</v>
      </c>
      <c r="G179" s="113">
        <v>9924484458</v>
      </c>
      <c r="H179" s="248" t="s">
        <v>2214</v>
      </c>
      <c r="I179" s="105" t="s">
        <v>2221</v>
      </c>
      <c r="J179" s="108" t="s">
        <v>73</v>
      </c>
      <c r="K179" s="108" t="s">
        <v>138</v>
      </c>
      <c r="L179" s="366" t="s">
        <v>2216</v>
      </c>
      <c r="M179" s="116">
        <v>45758</v>
      </c>
      <c r="N179" s="106">
        <v>66000</v>
      </c>
      <c r="O179" s="483" t="s">
        <v>49</v>
      </c>
      <c r="P179" s="483" t="s">
        <v>62</v>
      </c>
      <c r="Q179" s="109">
        <v>0.7</v>
      </c>
      <c r="R179" s="289"/>
      <c r="S179" s="107"/>
      <c r="T179" s="106"/>
      <c r="U179" s="106"/>
      <c r="V179" s="284">
        <f>Table62689345679[[#This Row],[Offer Value]]-Table62689345679[[#This Row],[PO Value]]</f>
        <v>66000</v>
      </c>
      <c r="W179" s="106"/>
      <c r="X179" s="106"/>
      <c r="Y179" s="217"/>
      <c r="Z179" s="257"/>
      <c r="AA179" s="603"/>
    </row>
    <row r="180" spans="1:27" ht="18">
      <c r="A180" s="106"/>
      <c r="B180" s="106"/>
      <c r="C180" s="108" t="s">
        <v>2170</v>
      </c>
      <c r="D180" s="303" t="s">
        <v>1777</v>
      </c>
      <c r="E180" s="105" t="s">
        <v>873</v>
      </c>
      <c r="F180" s="113" t="s">
        <v>2213</v>
      </c>
      <c r="G180" s="113">
        <v>9924484458</v>
      </c>
      <c r="H180" s="248" t="s">
        <v>2214</v>
      </c>
      <c r="I180" s="105" t="s">
        <v>2222</v>
      </c>
      <c r="J180" s="108" t="s">
        <v>73</v>
      </c>
      <c r="K180" s="108" t="s">
        <v>138</v>
      </c>
      <c r="L180" s="366" t="s">
        <v>2216</v>
      </c>
      <c r="M180" s="116">
        <v>45758</v>
      </c>
      <c r="N180" s="106">
        <v>66000</v>
      </c>
      <c r="O180" s="483" t="s">
        <v>49</v>
      </c>
      <c r="P180" s="483" t="s">
        <v>62</v>
      </c>
      <c r="Q180" s="109">
        <v>0.7</v>
      </c>
      <c r="R180" s="289"/>
      <c r="S180" s="107"/>
      <c r="T180" s="106"/>
      <c r="U180" s="106"/>
      <c r="V180" s="284">
        <f>Table62689345679[[#This Row],[Offer Value]]-Table62689345679[[#This Row],[PO Value]]</f>
        <v>66000</v>
      </c>
      <c r="W180" s="106"/>
      <c r="X180" s="106"/>
      <c r="Y180" s="617"/>
      <c r="Z180" s="257"/>
      <c r="AA180" s="603"/>
    </row>
    <row r="181" spans="1:27" ht="18">
      <c r="A181" s="106"/>
      <c r="B181" s="106"/>
      <c r="C181" s="108" t="s">
        <v>2170</v>
      </c>
      <c r="D181" s="303" t="s">
        <v>1777</v>
      </c>
      <c r="E181" s="105" t="s">
        <v>873</v>
      </c>
      <c r="F181" s="113" t="s">
        <v>2213</v>
      </c>
      <c r="G181" s="113">
        <v>9924484458</v>
      </c>
      <c r="H181" s="248" t="s">
        <v>2214</v>
      </c>
      <c r="I181" s="105" t="s">
        <v>2223</v>
      </c>
      <c r="J181" s="108" t="s">
        <v>73</v>
      </c>
      <c r="K181" s="108" t="s">
        <v>138</v>
      </c>
      <c r="L181" s="366" t="s">
        <v>2216</v>
      </c>
      <c r="M181" s="116">
        <v>45758</v>
      </c>
      <c r="N181" s="106">
        <v>66000</v>
      </c>
      <c r="O181" s="483" t="s">
        <v>49</v>
      </c>
      <c r="P181" s="483" t="s">
        <v>62</v>
      </c>
      <c r="Q181" s="109">
        <v>0.7</v>
      </c>
      <c r="R181" s="289"/>
      <c r="S181" s="107"/>
      <c r="T181" s="106"/>
      <c r="U181" s="106"/>
      <c r="V181" s="284">
        <f>Table62689345679[[#This Row],[Offer Value]]-Table62689345679[[#This Row],[PO Value]]</f>
        <v>66000</v>
      </c>
      <c r="W181" s="106"/>
      <c r="X181" s="106"/>
      <c r="Y181" s="617"/>
      <c r="Z181" s="257"/>
      <c r="AA181" s="603"/>
    </row>
    <row r="182" spans="1:27" ht="18">
      <c r="A182" s="106"/>
      <c r="B182" s="106"/>
      <c r="C182" s="108" t="s">
        <v>2170</v>
      </c>
      <c r="D182" s="303" t="s">
        <v>1777</v>
      </c>
      <c r="E182" s="105" t="s">
        <v>873</v>
      </c>
      <c r="F182" s="113" t="s">
        <v>2213</v>
      </c>
      <c r="G182" s="113">
        <v>9924484458</v>
      </c>
      <c r="H182" s="248" t="s">
        <v>2214</v>
      </c>
      <c r="I182" s="105" t="s">
        <v>2224</v>
      </c>
      <c r="J182" s="108" t="s">
        <v>73</v>
      </c>
      <c r="K182" s="108" t="s">
        <v>138</v>
      </c>
      <c r="L182" s="366" t="s">
        <v>2216</v>
      </c>
      <c r="M182" s="116">
        <v>45758</v>
      </c>
      <c r="N182" s="106">
        <v>66000</v>
      </c>
      <c r="O182" s="483" t="s">
        <v>49</v>
      </c>
      <c r="P182" s="483" t="s">
        <v>62</v>
      </c>
      <c r="Q182" s="109">
        <v>0.7</v>
      </c>
      <c r="R182" s="256"/>
      <c r="S182" s="107"/>
      <c r="T182" s="106"/>
      <c r="U182" s="106"/>
      <c r="V182" s="284">
        <f>Table62689345679[[#This Row],[Offer Value]]-Table62689345679[[#This Row],[PO Value]]</f>
        <v>66000</v>
      </c>
      <c r="W182" s="106"/>
      <c r="X182" s="106"/>
      <c r="Y182" s="617"/>
      <c r="Z182" s="257"/>
      <c r="AA182" s="603"/>
    </row>
    <row r="183" spans="1:27" ht="18">
      <c r="A183" s="106"/>
      <c r="B183" s="106"/>
      <c r="C183" s="108" t="s">
        <v>2170</v>
      </c>
      <c r="D183" s="303" t="s">
        <v>1777</v>
      </c>
      <c r="E183" s="105" t="s">
        <v>873</v>
      </c>
      <c r="F183" s="113" t="s">
        <v>2213</v>
      </c>
      <c r="G183" s="113">
        <v>9924484458</v>
      </c>
      <c r="H183" s="248" t="s">
        <v>2214</v>
      </c>
      <c r="I183" s="105" t="s">
        <v>2225</v>
      </c>
      <c r="J183" s="108" t="s">
        <v>73</v>
      </c>
      <c r="K183" s="108" t="s">
        <v>138</v>
      </c>
      <c r="L183" s="366" t="s">
        <v>2216</v>
      </c>
      <c r="M183" s="116">
        <v>45758</v>
      </c>
      <c r="N183" s="106">
        <v>66000</v>
      </c>
      <c r="O183" s="483" t="s">
        <v>49</v>
      </c>
      <c r="P183" s="483" t="s">
        <v>62</v>
      </c>
      <c r="Q183" s="109">
        <v>0.7</v>
      </c>
      <c r="R183" s="289"/>
      <c r="S183" s="107"/>
      <c r="T183" s="106"/>
      <c r="U183" s="106"/>
      <c r="V183" s="284">
        <f>Table62689345679[[#This Row],[Offer Value]]-Table62689345679[[#This Row],[PO Value]]</f>
        <v>66000</v>
      </c>
      <c r="W183" s="106"/>
      <c r="X183" s="106"/>
      <c r="Y183" s="617"/>
      <c r="Z183" s="257"/>
      <c r="AA183" s="603"/>
    </row>
    <row r="184" spans="1:27" ht="18">
      <c r="A184" s="937">
        <v>105</v>
      </c>
      <c r="B184" s="938">
        <v>45788</v>
      </c>
      <c r="C184" s="944" t="s">
        <v>1832</v>
      </c>
      <c r="D184" s="1441" t="s">
        <v>1777</v>
      </c>
      <c r="E184" s="944" t="s">
        <v>873</v>
      </c>
      <c r="F184" s="1010" t="s">
        <v>1833</v>
      </c>
      <c r="G184" s="1449">
        <v>8469867330</v>
      </c>
      <c r="H184" s="1439" t="s">
        <v>1834</v>
      </c>
      <c r="I184" s="1010" t="s">
        <v>1835</v>
      </c>
      <c r="J184" s="944" t="s">
        <v>77</v>
      </c>
      <c r="K184" s="944" t="s">
        <v>138</v>
      </c>
      <c r="L184" s="2366" t="s">
        <v>2226</v>
      </c>
      <c r="M184" s="1003">
        <v>45788</v>
      </c>
      <c r="N184" s="937">
        <v>245600</v>
      </c>
      <c r="O184" s="1603" t="s">
        <v>49</v>
      </c>
      <c r="P184" s="1603" t="s">
        <v>49</v>
      </c>
      <c r="Q184" s="1321">
        <v>0.9</v>
      </c>
      <c r="R184" s="972">
        <v>4518076824</v>
      </c>
      <c r="S184" s="938">
        <v>45972</v>
      </c>
      <c r="T184" s="937">
        <v>245600</v>
      </c>
      <c r="U184" s="937" t="s">
        <v>49</v>
      </c>
      <c r="V184" s="976">
        <f>Table62689345679[[#This Row],[Offer Value]]-Table62689345679[[#This Row],[PO Value]]</f>
        <v>0</v>
      </c>
      <c r="W184" s="937"/>
      <c r="X184" s="937"/>
      <c r="Y184" s="1601"/>
      <c r="Z184" s="2368"/>
      <c r="AA184" s="2369"/>
    </row>
    <row r="185" spans="1:27" ht="18">
      <c r="A185" s="937">
        <v>106</v>
      </c>
      <c r="B185" s="938" t="s">
        <v>2227</v>
      </c>
      <c r="C185" s="944" t="s">
        <v>1801</v>
      </c>
      <c r="D185" s="1441" t="s">
        <v>1777</v>
      </c>
      <c r="E185" s="944" t="s">
        <v>873</v>
      </c>
      <c r="F185" s="944" t="s">
        <v>2228</v>
      </c>
      <c r="G185" s="944">
        <v>9376197507</v>
      </c>
      <c r="H185" s="1506" t="s">
        <v>1803</v>
      </c>
      <c r="I185" s="1010" t="s">
        <v>1804</v>
      </c>
      <c r="J185" s="944" t="s">
        <v>75</v>
      </c>
      <c r="K185" s="944" t="s">
        <v>138</v>
      </c>
      <c r="L185" s="2366" t="s">
        <v>2229</v>
      </c>
      <c r="M185" s="1003" t="s">
        <v>2227</v>
      </c>
      <c r="N185" s="937">
        <v>97800</v>
      </c>
      <c r="O185" s="1603" t="s">
        <v>49</v>
      </c>
      <c r="P185" s="1603" t="s">
        <v>62</v>
      </c>
      <c r="Q185" s="1321">
        <v>0.7</v>
      </c>
      <c r="R185" s="972" t="s">
        <v>2230</v>
      </c>
      <c r="S185" s="938" t="s">
        <v>2231</v>
      </c>
      <c r="T185" s="937">
        <v>97800</v>
      </c>
      <c r="U185" s="937" t="s">
        <v>49</v>
      </c>
      <c r="V185" s="976">
        <f>Table62689345679[[#This Row],[Offer Value]]-Table62689345679[[#This Row],[PO Value]]</f>
        <v>0</v>
      </c>
      <c r="W185" s="937"/>
      <c r="X185" s="937"/>
      <c r="Y185" s="1600"/>
      <c r="Z185" s="2368"/>
      <c r="AA185" s="2369"/>
    </row>
    <row r="186" spans="1:27" ht="18">
      <c r="A186" s="937">
        <v>107</v>
      </c>
      <c r="B186" s="937" t="s">
        <v>1683</v>
      </c>
      <c r="C186" s="944" t="s">
        <v>1769</v>
      </c>
      <c r="D186" s="1441" t="s">
        <v>1751</v>
      </c>
      <c r="E186" s="944" t="s">
        <v>873</v>
      </c>
      <c r="F186" s="944" t="s">
        <v>2232</v>
      </c>
      <c r="G186" s="944" t="s">
        <v>1771</v>
      </c>
      <c r="H186" s="1506" t="s">
        <v>1772</v>
      </c>
      <c r="I186" s="1010" t="s">
        <v>1773</v>
      </c>
      <c r="J186" s="944" t="s">
        <v>75</v>
      </c>
      <c r="K186" s="944" t="s">
        <v>138</v>
      </c>
      <c r="L186" s="2366" t="s">
        <v>2233</v>
      </c>
      <c r="M186" s="1003" t="s">
        <v>1683</v>
      </c>
      <c r="N186" s="937">
        <v>245900</v>
      </c>
      <c r="O186" s="1603" t="s">
        <v>62</v>
      </c>
      <c r="P186" s="1603" t="s">
        <v>62</v>
      </c>
      <c r="Q186" s="1321">
        <v>0.7</v>
      </c>
      <c r="R186" s="2367" t="s">
        <v>2234</v>
      </c>
      <c r="S186" s="938" t="s">
        <v>696</v>
      </c>
      <c r="T186" s="937">
        <v>236064</v>
      </c>
      <c r="U186" s="937" t="s">
        <v>62</v>
      </c>
      <c r="V186" s="976">
        <v>0</v>
      </c>
      <c r="W186" s="937"/>
      <c r="X186" s="937"/>
      <c r="Y186" s="1601"/>
      <c r="Z186" s="2368"/>
      <c r="AA186" s="2369"/>
    </row>
    <row r="187" spans="1:27" ht="31.2">
      <c r="A187" s="106">
        <v>108</v>
      </c>
      <c r="B187" s="106" t="s">
        <v>2235</v>
      </c>
      <c r="C187" s="108" t="s">
        <v>1787</v>
      </c>
      <c r="D187" s="303" t="s">
        <v>1777</v>
      </c>
      <c r="E187" s="105" t="s">
        <v>873</v>
      </c>
      <c r="F187" s="113" t="s">
        <v>1788</v>
      </c>
      <c r="G187" s="113">
        <v>9722013361</v>
      </c>
      <c r="H187" s="248" t="s">
        <v>1789</v>
      </c>
      <c r="I187" s="105" t="s">
        <v>1790</v>
      </c>
      <c r="J187" s="108" t="s">
        <v>73</v>
      </c>
      <c r="K187" s="108" t="s">
        <v>138</v>
      </c>
      <c r="L187" s="366" t="s">
        <v>2236</v>
      </c>
      <c r="M187" s="116" t="s">
        <v>2235</v>
      </c>
      <c r="N187" s="106">
        <v>58500</v>
      </c>
      <c r="O187" s="483" t="s">
        <v>62</v>
      </c>
      <c r="P187" s="483" t="s">
        <v>62</v>
      </c>
      <c r="Q187" s="109">
        <v>0.6</v>
      </c>
      <c r="R187" s="289"/>
      <c r="S187" s="107"/>
      <c r="T187" s="106"/>
      <c r="U187" s="106"/>
      <c r="V187" s="284">
        <f>Table62689345679[[#This Row],[Offer Value]]-Table62689345679[[#This Row],[PO Value]]</f>
        <v>58500</v>
      </c>
      <c r="W187" s="106"/>
      <c r="X187" s="106"/>
      <c r="Y187" s="217"/>
      <c r="Z187" s="257"/>
      <c r="AA187" s="603"/>
    </row>
    <row r="188" spans="1:27" ht="18">
      <c r="A188" s="106"/>
      <c r="B188" s="106"/>
      <c r="C188" s="108"/>
      <c r="D188" s="303" t="s">
        <v>1777</v>
      </c>
      <c r="E188" s="105" t="s">
        <v>873</v>
      </c>
      <c r="F188" s="113" t="s">
        <v>1788</v>
      </c>
      <c r="G188" s="113">
        <v>9722013361</v>
      </c>
      <c r="H188" s="248" t="s">
        <v>1789</v>
      </c>
      <c r="I188" s="105" t="s">
        <v>1793</v>
      </c>
      <c r="J188" s="108" t="s">
        <v>73</v>
      </c>
      <c r="K188" s="108" t="s">
        <v>138</v>
      </c>
      <c r="L188" s="366" t="s">
        <v>2236</v>
      </c>
      <c r="M188" s="116" t="s">
        <v>2235</v>
      </c>
      <c r="N188" s="106">
        <v>58500</v>
      </c>
      <c r="O188" s="483" t="s">
        <v>62</v>
      </c>
      <c r="P188" s="483" t="s">
        <v>62</v>
      </c>
      <c r="Q188" s="109">
        <v>0.6</v>
      </c>
      <c r="R188" s="289"/>
      <c r="S188" s="107"/>
      <c r="T188" s="106"/>
      <c r="U188" s="106"/>
      <c r="V188" s="284">
        <f>Table62689345679[[#This Row],[Offer Value]]-Table62689345679[[#This Row],[PO Value]]</f>
        <v>58500</v>
      </c>
      <c r="W188" s="106"/>
      <c r="X188" s="106"/>
      <c r="Y188" s="217"/>
      <c r="Z188" s="257"/>
      <c r="AA188" s="603"/>
    </row>
    <row r="189" spans="1:27" ht="18">
      <c r="A189" s="106"/>
      <c r="B189" s="107"/>
      <c r="C189" s="108"/>
      <c r="D189" s="303" t="s">
        <v>1777</v>
      </c>
      <c r="E189" s="105" t="s">
        <v>873</v>
      </c>
      <c r="F189" s="113" t="s">
        <v>1788</v>
      </c>
      <c r="G189" s="113">
        <v>9722013361</v>
      </c>
      <c r="H189" s="248" t="s">
        <v>1789</v>
      </c>
      <c r="I189" s="105" t="s">
        <v>1794</v>
      </c>
      <c r="J189" s="108" t="s">
        <v>73</v>
      </c>
      <c r="K189" s="108" t="s">
        <v>138</v>
      </c>
      <c r="L189" s="366" t="s">
        <v>2236</v>
      </c>
      <c r="M189" s="116" t="s">
        <v>2235</v>
      </c>
      <c r="N189" s="106">
        <v>58500</v>
      </c>
      <c r="O189" s="483" t="s">
        <v>62</v>
      </c>
      <c r="P189" s="483" t="s">
        <v>62</v>
      </c>
      <c r="Q189" s="109">
        <v>0.6</v>
      </c>
      <c r="R189" s="289"/>
      <c r="S189" s="107"/>
      <c r="T189" s="106"/>
      <c r="U189" s="106"/>
      <c r="V189" s="284">
        <f>Table62689345679[[#This Row],[Offer Value]]-Table62689345679[[#This Row],[PO Value]]</f>
        <v>58500</v>
      </c>
      <c r="W189" s="106"/>
      <c r="X189" s="106"/>
      <c r="Y189" s="217"/>
      <c r="Z189" s="257"/>
      <c r="AA189" s="603"/>
    </row>
    <row r="190" spans="1:27" ht="18">
      <c r="A190" s="106"/>
      <c r="B190" s="107"/>
      <c r="C190" s="108"/>
      <c r="D190" s="303" t="s">
        <v>1777</v>
      </c>
      <c r="E190" s="105" t="s">
        <v>873</v>
      </c>
      <c r="F190" s="113" t="s">
        <v>1788</v>
      </c>
      <c r="G190" s="113">
        <v>9722013361</v>
      </c>
      <c r="H190" s="248" t="s">
        <v>1789</v>
      </c>
      <c r="I190" s="105" t="s">
        <v>1991</v>
      </c>
      <c r="J190" s="108" t="s">
        <v>73</v>
      </c>
      <c r="K190" s="108" t="s">
        <v>138</v>
      </c>
      <c r="L190" s="366" t="s">
        <v>2236</v>
      </c>
      <c r="M190" s="116" t="s">
        <v>2235</v>
      </c>
      <c r="N190" s="106">
        <v>58500</v>
      </c>
      <c r="O190" s="483" t="s">
        <v>62</v>
      </c>
      <c r="P190" s="483" t="s">
        <v>62</v>
      </c>
      <c r="Q190" s="109">
        <v>0.6</v>
      </c>
      <c r="R190" s="289"/>
      <c r="S190" s="107"/>
      <c r="T190" s="106"/>
      <c r="U190" s="106"/>
      <c r="V190" s="284">
        <f>Table62689345679[[#This Row],[Offer Value]]-Table62689345679[[#This Row],[PO Value]]</f>
        <v>58500</v>
      </c>
      <c r="W190" s="106"/>
      <c r="X190" s="106"/>
      <c r="Y190" s="217"/>
      <c r="Z190" s="257"/>
      <c r="AA190" s="603"/>
    </row>
    <row r="191" spans="1:27" ht="18">
      <c r="A191" s="106"/>
      <c r="B191" s="107"/>
      <c r="C191" s="108"/>
      <c r="D191" s="303" t="s">
        <v>1777</v>
      </c>
      <c r="E191" s="105" t="s">
        <v>873</v>
      </c>
      <c r="F191" s="113" t="s">
        <v>1788</v>
      </c>
      <c r="G191" s="113">
        <v>9722013361</v>
      </c>
      <c r="H191" s="248" t="s">
        <v>1789</v>
      </c>
      <c r="I191" s="105" t="s">
        <v>1996</v>
      </c>
      <c r="J191" s="108" t="s">
        <v>73</v>
      </c>
      <c r="K191" s="108" t="s">
        <v>138</v>
      </c>
      <c r="L191" s="366" t="s">
        <v>2236</v>
      </c>
      <c r="M191" s="116" t="s">
        <v>2235</v>
      </c>
      <c r="N191" s="106">
        <v>58500</v>
      </c>
      <c r="O191" s="483" t="s">
        <v>62</v>
      </c>
      <c r="P191" s="483" t="s">
        <v>62</v>
      </c>
      <c r="Q191" s="109">
        <v>0.6</v>
      </c>
      <c r="R191" s="256"/>
      <c r="S191" s="107"/>
      <c r="T191" s="106"/>
      <c r="U191" s="106"/>
      <c r="V191" s="284">
        <f>Table62689345679[[#This Row],[Offer Value]]-Table62689345679[[#This Row],[PO Value]]</f>
        <v>58500</v>
      </c>
      <c r="W191" s="106"/>
      <c r="X191" s="106"/>
      <c r="Y191" s="617"/>
      <c r="Z191" s="257"/>
      <c r="AA191" s="603"/>
    </row>
    <row r="192" spans="1:27" ht="18">
      <c r="A192" s="106"/>
      <c r="B192" s="107"/>
      <c r="C192" s="108"/>
      <c r="D192" s="303" t="s">
        <v>1777</v>
      </c>
      <c r="E192" s="105" t="s">
        <v>873</v>
      </c>
      <c r="F192" s="113" t="s">
        <v>1788</v>
      </c>
      <c r="G192" s="113">
        <v>9722013361</v>
      </c>
      <c r="H192" s="248" t="s">
        <v>1789</v>
      </c>
      <c r="I192" s="105" t="s">
        <v>1997</v>
      </c>
      <c r="J192" s="108" t="s">
        <v>73</v>
      </c>
      <c r="K192" s="108" t="s">
        <v>138</v>
      </c>
      <c r="L192" s="366" t="s">
        <v>2236</v>
      </c>
      <c r="M192" s="116" t="s">
        <v>2235</v>
      </c>
      <c r="N192" s="106">
        <v>58500</v>
      </c>
      <c r="O192" s="483" t="s">
        <v>62</v>
      </c>
      <c r="P192" s="483" t="s">
        <v>62</v>
      </c>
      <c r="Q192" s="109">
        <v>0.6</v>
      </c>
      <c r="R192" s="289"/>
      <c r="S192" s="107"/>
      <c r="T192" s="106"/>
      <c r="U192" s="106"/>
      <c r="V192" s="284">
        <f>Table62689345679[[#This Row],[Offer Value]]-Table62689345679[[#This Row],[PO Value]]</f>
        <v>58500</v>
      </c>
      <c r="W192" s="106"/>
      <c r="X192" s="106"/>
      <c r="Y192" s="217"/>
      <c r="Z192" s="257"/>
      <c r="AA192" s="603"/>
    </row>
    <row r="193" spans="1:27" ht="18">
      <c r="A193" s="106"/>
      <c r="B193" s="106"/>
      <c r="C193" s="108"/>
      <c r="D193" s="303" t="s">
        <v>1777</v>
      </c>
      <c r="E193" s="105" t="s">
        <v>873</v>
      </c>
      <c r="F193" s="113" t="s">
        <v>1788</v>
      </c>
      <c r="G193" s="113">
        <v>9722013361</v>
      </c>
      <c r="H193" s="248" t="s">
        <v>1789</v>
      </c>
      <c r="I193" s="105" t="s">
        <v>1998</v>
      </c>
      <c r="J193" s="108" t="s">
        <v>73</v>
      </c>
      <c r="K193" s="108" t="s">
        <v>138</v>
      </c>
      <c r="L193" s="366" t="s">
        <v>2236</v>
      </c>
      <c r="M193" s="116" t="s">
        <v>2235</v>
      </c>
      <c r="N193" s="106">
        <v>58500</v>
      </c>
      <c r="O193" s="483" t="s">
        <v>62</v>
      </c>
      <c r="P193" s="483" t="s">
        <v>62</v>
      </c>
      <c r="Q193" s="109">
        <v>0.6</v>
      </c>
      <c r="R193" s="289"/>
      <c r="S193" s="107"/>
      <c r="T193" s="106"/>
      <c r="U193" s="106"/>
      <c r="V193" s="284">
        <f>Table62689345679[[#This Row],[Offer Value]]-Table62689345679[[#This Row],[PO Value]]</f>
        <v>58500</v>
      </c>
      <c r="W193" s="106"/>
      <c r="X193" s="106"/>
      <c r="Y193" s="217"/>
      <c r="Z193" s="257"/>
      <c r="AA193" s="603"/>
    </row>
    <row r="194" spans="1:27" ht="18">
      <c r="A194" s="106">
        <v>109</v>
      </c>
      <c r="B194" s="106" t="s">
        <v>2235</v>
      </c>
      <c r="C194" s="108" t="s">
        <v>1776</v>
      </c>
      <c r="D194" s="303" t="s">
        <v>1777</v>
      </c>
      <c r="E194" s="105" t="s">
        <v>873</v>
      </c>
      <c r="F194" s="113" t="s">
        <v>1778</v>
      </c>
      <c r="G194" s="113">
        <v>9898646272</v>
      </c>
      <c r="H194" s="248" t="s">
        <v>1779</v>
      </c>
      <c r="I194" s="105" t="s">
        <v>1780</v>
      </c>
      <c r="J194" s="108" t="s">
        <v>73</v>
      </c>
      <c r="K194" s="108" t="s">
        <v>138</v>
      </c>
      <c r="L194" s="366" t="s">
        <v>2237</v>
      </c>
      <c r="M194" s="116" t="s">
        <v>2235</v>
      </c>
      <c r="N194" s="106">
        <v>57500</v>
      </c>
      <c r="O194" s="483" t="s">
        <v>62</v>
      </c>
      <c r="P194" s="483" t="s">
        <v>62</v>
      </c>
      <c r="Q194" s="109">
        <v>0.6</v>
      </c>
      <c r="R194" s="289"/>
      <c r="S194" s="107"/>
      <c r="T194" s="106"/>
      <c r="U194" s="106"/>
      <c r="V194" s="284">
        <f>Table62689345679[[#This Row],[Offer Value]]-Table62689345679[[#This Row],[PO Value]]</f>
        <v>57500</v>
      </c>
      <c r="W194" s="106"/>
      <c r="X194" s="106"/>
      <c r="Y194" s="217"/>
      <c r="Z194" s="257"/>
      <c r="AA194" s="603"/>
    </row>
    <row r="195" spans="1:27" ht="18">
      <c r="A195" s="106"/>
      <c r="B195" s="106"/>
      <c r="C195" s="108"/>
      <c r="D195" s="303"/>
      <c r="E195" s="105" t="s">
        <v>873</v>
      </c>
      <c r="F195" s="113" t="s">
        <v>1778</v>
      </c>
      <c r="G195" s="113">
        <v>9898646272</v>
      </c>
      <c r="H195" s="248" t="s">
        <v>1779</v>
      </c>
      <c r="I195" s="105" t="s">
        <v>1783</v>
      </c>
      <c r="J195" s="108" t="s">
        <v>73</v>
      </c>
      <c r="K195" s="108" t="s">
        <v>138</v>
      </c>
      <c r="L195" s="366" t="s">
        <v>2237</v>
      </c>
      <c r="M195" s="116" t="s">
        <v>2235</v>
      </c>
      <c r="N195" s="106">
        <v>57500</v>
      </c>
      <c r="O195" s="483" t="s">
        <v>62</v>
      </c>
      <c r="P195" s="483" t="s">
        <v>62</v>
      </c>
      <c r="Q195" s="109">
        <v>0.6</v>
      </c>
      <c r="R195" s="256"/>
      <c r="S195" s="107"/>
      <c r="T195" s="106"/>
      <c r="U195" s="106"/>
      <c r="V195" s="284">
        <f>Table62689345679[[#This Row],[Offer Value]]-Table62689345679[[#This Row],[PO Value]]</f>
        <v>57500</v>
      </c>
      <c r="W195" s="106"/>
      <c r="X195" s="106"/>
      <c r="Y195" s="617"/>
      <c r="Z195" s="257"/>
      <c r="AA195" s="603"/>
    </row>
    <row r="196" spans="1:27" ht="18">
      <c r="A196" s="106"/>
      <c r="B196" s="106"/>
      <c r="C196" s="108"/>
      <c r="D196" s="303"/>
      <c r="E196" s="105" t="s">
        <v>873</v>
      </c>
      <c r="F196" s="113" t="s">
        <v>1778</v>
      </c>
      <c r="G196" s="113">
        <v>9898646272</v>
      </c>
      <c r="H196" s="248" t="s">
        <v>1779</v>
      </c>
      <c r="I196" s="105" t="s">
        <v>1784</v>
      </c>
      <c r="J196" s="108" t="s">
        <v>73</v>
      </c>
      <c r="K196" s="108" t="s">
        <v>138</v>
      </c>
      <c r="L196" s="366" t="s">
        <v>2237</v>
      </c>
      <c r="M196" s="116" t="s">
        <v>2235</v>
      </c>
      <c r="N196" s="106">
        <v>57500</v>
      </c>
      <c r="O196" s="483" t="s">
        <v>62</v>
      </c>
      <c r="P196" s="483" t="s">
        <v>62</v>
      </c>
      <c r="Q196" s="109">
        <v>0.6</v>
      </c>
      <c r="R196" s="256"/>
      <c r="S196" s="107"/>
      <c r="T196" s="106"/>
      <c r="U196" s="106"/>
      <c r="V196" s="284">
        <f>Table62689345679[[#This Row],[Offer Value]]-Table62689345679[[#This Row],[PO Value]]</f>
        <v>57500</v>
      </c>
      <c r="W196" s="106"/>
      <c r="X196" s="106"/>
      <c r="Y196" s="617"/>
      <c r="Z196" s="257"/>
      <c r="AA196" s="603"/>
    </row>
    <row r="197" spans="1:27" ht="18">
      <c r="A197" s="106"/>
      <c r="B197" s="106"/>
      <c r="C197" s="108"/>
      <c r="D197" s="303"/>
      <c r="E197" s="105" t="s">
        <v>873</v>
      </c>
      <c r="F197" s="113" t="s">
        <v>1778</v>
      </c>
      <c r="G197" s="113">
        <v>9898646272</v>
      </c>
      <c r="H197" s="248" t="s">
        <v>1779</v>
      </c>
      <c r="I197" s="105" t="s">
        <v>1785</v>
      </c>
      <c r="J197" s="108" t="s">
        <v>73</v>
      </c>
      <c r="K197" s="108" t="s">
        <v>138</v>
      </c>
      <c r="L197" s="366" t="s">
        <v>2237</v>
      </c>
      <c r="M197" s="116" t="s">
        <v>2235</v>
      </c>
      <c r="N197" s="106">
        <v>57500</v>
      </c>
      <c r="O197" s="483" t="s">
        <v>62</v>
      </c>
      <c r="P197" s="483" t="s">
        <v>62</v>
      </c>
      <c r="Q197" s="109">
        <v>0.6</v>
      </c>
      <c r="R197" s="289"/>
      <c r="S197" s="107"/>
      <c r="T197" s="106"/>
      <c r="U197" s="106"/>
      <c r="V197" s="284">
        <f>Table62689345679[[#This Row],[Offer Value]]-Table62689345679[[#This Row],[PO Value]]</f>
        <v>57500</v>
      </c>
      <c r="W197" s="106"/>
      <c r="X197" s="106"/>
      <c r="Y197" s="217"/>
      <c r="Z197" s="257"/>
      <c r="AA197" s="603"/>
    </row>
    <row r="198" spans="1:27" ht="18">
      <c r="A198" s="106"/>
      <c r="B198" s="106"/>
      <c r="C198" s="108"/>
      <c r="D198" s="303"/>
      <c r="E198" s="105" t="s">
        <v>873</v>
      </c>
      <c r="F198" s="113" t="s">
        <v>1778</v>
      </c>
      <c r="G198" s="113">
        <v>9898646272</v>
      </c>
      <c r="H198" s="248" t="s">
        <v>1779</v>
      </c>
      <c r="I198" s="105" t="s">
        <v>1786</v>
      </c>
      <c r="J198" s="108" t="s">
        <v>73</v>
      </c>
      <c r="K198" s="108" t="s">
        <v>138</v>
      </c>
      <c r="L198" s="366" t="s">
        <v>2237</v>
      </c>
      <c r="M198" s="116" t="s">
        <v>2235</v>
      </c>
      <c r="N198" s="106">
        <v>57500</v>
      </c>
      <c r="O198" s="483" t="s">
        <v>62</v>
      </c>
      <c r="P198" s="483" t="s">
        <v>62</v>
      </c>
      <c r="Q198" s="109">
        <v>0.6</v>
      </c>
      <c r="R198" s="289"/>
      <c r="S198" s="107"/>
      <c r="T198" s="106"/>
      <c r="U198" s="106"/>
      <c r="V198" s="284">
        <f>Table62689345679[[#This Row],[Offer Value]]-Table62689345679[[#This Row],[PO Value]]</f>
        <v>57500</v>
      </c>
      <c r="W198" s="106"/>
      <c r="X198" s="106"/>
      <c r="Y198" s="217"/>
      <c r="Z198" s="257"/>
      <c r="AA198" s="603"/>
    </row>
    <row r="199" spans="1:27" ht="18">
      <c r="A199" s="937">
        <v>110</v>
      </c>
      <c r="B199" s="937" t="s">
        <v>2235</v>
      </c>
      <c r="C199" s="944" t="s">
        <v>1736</v>
      </c>
      <c r="D199" s="1441" t="s">
        <v>1737</v>
      </c>
      <c r="E199" s="944" t="s">
        <v>873</v>
      </c>
      <c r="F199" s="1449" t="s">
        <v>1738</v>
      </c>
      <c r="G199" s="1449">
        <v>8072231531</v>
      </c>
      <c r="H199" s="1439" t="s">
        <v>1739</v>
      </c>
      <c r="I199" s="1010" t="s">
        <v>1740</v>
      </c>
      <c r="J199" s="944" t="s">
        <v>73</v>
      </c>
      <c r="K199" s="944" t="s">
        <v>138</v>
      </c>
      <c r="L199" s="2366" t="s">
        <v>2238</v>
      </c>
      <c r="M199" s="1003" t="s">
        <v>2235</v>
      </c>
      <c r="N199" s="937">
        <v>90000</v>
      </c>
      <c r="O199" s="1603" t="s">
        <v>62</v>
      </c>
      <c r="P199" s="1603" t="s">
        <v>62</v>
      </c>
      <c r="Q199" s="1321">
        <v>0.6</v>
      </c>
      <c r="R199" s="972">
        <v>6800050248</v>
      </c>
      <c r="S199" s="938" t="s">
        <v>696</v>
      </c>
      <c r="T199" s="937">
        <v>90000</v>
      </c>
      <c r="U199" s="937" t="s">
        <v>62</v>
      </c>
      <c r="V199" s="976">
        <f>Table62689345679[[#This Row],[Offer Value]]-Table62689345679[[#This Row],[PO Value]]</f>
        <v>0</v>
      </c>
      <c r="W199" s="937"/>
      <c r="X199" s="937"/>
      <c r="Y199" s="1600"/>
      <c r="Z199" s="2368"/>
      <c r="AA199" s="2369"/>
    </row>
    <row r="200" spans="1:27" ht="18">
      <c r="A200" s="106">
        <v>111</v>
      </c>
      <c r="B200" s="106" t="s">
        <v>2239</v>
      </c>
      <c r="C200" s="108" t="s">
        <v>711</v>
      </c>
      <c r="D200" s="303" t="s">
        <v>1701</v>
      </c>
      <c r="E200" s="108" t="s">
        <v>1159</v>
      </c>
      <c r="F200" s="113" t="s">
        <v>1706</v>
      </c>
      <c r="G200" s="113">
        <v>9033953449</v>
      </c>
      <c r="H200" s="248" t="s">
        <v>1707</v>
      </c>
      <c r="I200" s="105" t="s">
        <v>1708</v>
      </c>
      <c r="J200" s="108" t="s">
        <v>73</v>
      </c>
      <c r="K200" s="108" t="s">
        <v>138</v>
      </c>
      <c r="L200" s="366" t="s">
        <v>2240</v>
      </c>
      <c r="M200" s="105" t="s">
        <v>2239</v>
      </c>
      <c r="N200" s="106">
        <v>58000</v>
      </c>
      <c r="O200" s="483" t="s">
        <v>62</v>
      </c>
      <c r="P200" s="483" t="s">
        <v>62</v>
      </c>
      <c r="Q200" s="109">
        <v>0.6</v>
      </c>
      <c r="R200" s="256"/>
      <c r="S200" s="107"/>
      <c r="T200" s="106"/>
      <c r="U200" s="106"/>
      <c r="V200" s="284">
        <f>Table62689345679[[#This Row],[Offer Value]]-Table62689345679[[#This Row],[PO Value]]</f>
        <v>58000</v>
      </c>
      <c r="W200" s="106"/>
      <c r="X200" s="106"/>
      <c r="Y200" s="617"/>
      <c r="Z200" s="257"/>
      <c r="AA200" s="603"/>
    </row>
    <row r="201" spans="1:27" ht="18">
      <c r="A201" s="106"/>
      <c r="B201" s="106"/>
      <c r="C201" s="108"/>
      <c r="D201" s="303" t="s">
        <v>1701</v>
      </c>
      <c r="E201" s="108" t="s">
        <v>1159</v>
      </c>
      <c r="F201" s="113" t="s">
        <v>1706</v>
      </c>
      <c r="G201" s="113">
        <v>9033953449</v>
      </c>
      <c r="H201" s="248" t="s">
        <v>1707</v>
      </c>
      <c r="I201" s="105" t="s">
        <v>1713</v>
      </c>
      <c r="J201" s="108" t="s">
        <v>73</v>
      </c>
      <c r="K201" s="108" t="s">
        <v>138</v>
      </c>
      <c r="L201" s="366" t="s">
        <v>2240</v>
      </c>
      <c r="M201" s="105" t="s">
        <v>2239</v>
      </c>
      <c r="N201" s="106">
        <v>58000</v>
      </c>
      <c r="O201" s="483" t="s">
        <v>62</v>
      </c>
      <c r="P201" s="483" t="s">
        <v>62</v>
      </c>
      <c r="Q201" s="109">
        <v>0.6</v>
      </c>
      <c r="R201" s="289"/>
      <c r="S201" s="107"/>
      <c r="T201" s="106"/>
      <c r="U201" s="106"/>
      <c r="V201" s="284">
        <f>Table62689345679[[#This Row],[Offer Value]]-Table62689345679[[#This Row],[PO Value]]</f>
        <v>58000</v>
      </c>
      <c r="W201" s="106"/>
      <c r="X201" s="106"/>
      <c r="Y201" s="217"/>
      <c r="Z201" s="257"/>
      <c r="AA201" s="603"/>
    </row>
    <row r="202" spans="1:27" ht="18">
      <c r="A202" s="106"/>
      <c r="B202" s="106"/>
      <c r="C202" s="108"/>
      <c r="D202" s="303" t="s">
        <v>1701</v>
      </c>
      <c r="E202" s="108" t="s">
        <v>1159</v>
      </c>
      <c r="F202" s="113" t="s">
        <v>1706</v>
      </c>
      <c r="G202" s="113">
        <v>9033953449</v>
      </c>
      <c r="H202" s="248" t="s">
        <v>1707</v>
      </c>
      <c r="I202" s="105" t="s">
        <v>1714</v>
      </c>
      <c r="J202" s="108" t="s">
        <v>73</v>
      </c>
      <c r="K202" s="108" t="s">
        <v>138</v>
      </c>
      <c r="L202" s="366" t="s">
        <v>2240</v>
      </c>
      <c r="M202" s="105" t="s">
        <v>2239</v>
      </c>
      <c r="N202" s="106">
        <v>58000</v>
      </c>
      <c r="O202" s="483" t="s">
        <v>62</v>
      </c>
      <c r="P202" s="483" t="s">
        <v>62</v>
      </c>
      <c r="Q202" s="109">
        <v>0.6</v>
      </c>
      <c r="R202" s="256"/>
      <c r="S202" s="107"/>
      <c r="T202" s="106"/>
      <c r="U202" s="106"/>
      <c r="V202" s="284">
        <f>Table62689345679[[#This Row],[Offer Value]]-Table62689345679[[#This Row],[PO Value]]</f>
        <v>58000</v>
      </c>
      <c r="W202" s="106"/>
      <c r="X202" s="106"/>
      <c r="Y202" s="617"/>
      <c r="Z202" s="257"/>
      <c r="AA202" s="603"/>
    </row>
    <row r="203" spans="1:27" ht="18">
      <c r="A203" s="106">
        <v>112</v>
      </c>
      <c r="B203" s="106" t="s">
        <v>2239</v>
      </c>
      <c r="C203" s="108" t="s">
        <v>1850</v>
      </c>
      <c r="D203" s="303" t="s">
        <v>1840</v>
      </c>
      <c r="E203" s="108" t="s">
        <v>873</v>
      </c>
      <c r="F203" s="113" t="s">
        <v>1851</v>
      </c>
      <c r="G203" s="113">
        <v>9575300235</v>
      </c>
      <c r="H203" s="248" t="s">
        <v>1852</v>
      </c>
      <c r="I203" s="105" t="s">
        <v>1853</v>
      </c>
      <c r="J203" s="108" t="s">
        <v>73</v>
      </c>
      <c r="K203" s="108" t="s">
        <v>138</v>
      </c>
      <c r="L203" s="366" t="s">
        <v>2241</v>
      </c>
      <c r="M203" s="105" t="s">
        <v>2239</v>
      </c>
      <c r="N203" s="106">
        <v>60000</v>
      </c>
      <c r="O203" s="483" t="s">
        <v>62</v>
      </c>
      <c r="P203" s="483" t="s">
        <v>62</v>
      </c>
      <c r="Q203" s="109">
        <v>0.6</v>
      </c>
      <c r="R203" s="289"/>
      <c r="S203" s="107"/>
      <c r="T203" s="106"/>
      <c r="U203" s="106"/>
      <c r="V203" s="284">
        <f>Table62689345679[[#This Row],[Offer Value]]-Table62689345679[[#This Row],[PO Value]]</f>
        <v>60000</v>
      </c>
      <c r="W203" s="110"/>
      <c r="X203" s="110"/>
      <c r="Y203" s="217"/>
      <c r="Z203" s="353"/>
      <c r="AA203" s="603"/>
    </row>
    <row r="204" spans="1:27" ht="18">
      <c r="A204" s="106">
        <v>113</v>
      </c>
      <c r="B204" s="106" t="s">
        <v>2239</v>
      </c>
      <c r="C204" s="108" t="s">
        <v>1758</v>
      </c>
      <c r="D204" s="303" t="s">
        <v>1751</v>
      </c>
      <c r="E204" s="108" t="s">
        <v>1730</v>
      </c>
      <c r="F204" s="113" t="s">
        <v>1764</v>
      </c>
      <c r="G204" s="113">
        <v>8160147583</v>
      </c>
      <c r="H204" s="248" t="s">
        <v>1765</v>
      </c>
      <c r="I204" s="105" t="s">
        <v>2242</v>
      </c>
      <c r="J204" s="108" t="s">
        <v>75</v>
      </c>
      <c r="K204" s="108" t="s">
        <v>157</v>
      </c>
      <c r="L204" s="366" t="s">
        <v>2243</v>
      </c>
      <c r="M204" s="105" t="s">
        <v>2239</v>
      </c>
      <c r="N204" s="106">
        <v>175600</v>
      </c>
      <c r="O204" s="483" t="s">
        <v>62</v>
      </c>
      <c r="P204" s="483" t="s">
        <v>62</v>
      </c>
      <c r="Q204" s="109">
        <v>0.6</v>
      </c>
      <c r="R204" s="289"/>
      <c r="S204" s="107"/>
      <c r="T204" s="106"/>
      <c r="U204" s="106"/>
      <c r="V204" s="284">
        <f>Table62689345679[[#This Row],[Offer Value]]-Table62689345679[[#This Row],[PO Value]]</f>
        <v>175600</v>
      </c>
      <c r="W204" s="106"/>
      <c r="X204" s="106"/>
      <c r="Y204" s="217"/>
      <c r="Z204" s="257"/>
      <c r="AA204" s="603"/>
    </row>
    <row r="205" spans="1:27" ht="18">
      <c r="A205" s="106"/>
      <c r="B205" s="106"/>
      <c r="C205" s="108"/>
      <c r="D205" s="303"/>
      <c r="E205" s="105"/>
      <c r="F205" s="105"/>
      <c r="G205" s="105"/>
      <c r="H205" s="248"/>
      <c r="I205" s="105"/>
      <c r="J205" s="108"/>
      <c r="K205" s="108"/>
      <c r="L205" s="366"/>
      <c r="M205" s="116"/>
      <c r="N205" s="106"/>
      <c r="O205" s="483"/>
      <c r="P205" s="483"/>
      <c r="Q205" s="109"/>
      <c r="R205" s="289"/>
      <c r="S205" s="107"/>
      <c r="T205" s="106"/>
      <c r="U205" s="106"/>
      <c r="V205" s="127">
        <f>Table62689345679[[#This Row],[PO Value]]-Table62689345679[[#This Row],[Offer Value]]</f>
        <v>0</v>
      </c>
      <c r="W205" s="106"/>
      <c r="X205" s="106"/>
      <c r="Y205" s="217"/>
      <c r="Z205" s="257"/>
      <c r="AA205" s="603"/>
    </row>
    <row r="206" spans="1:27" ht="15.6">
      <c r="A206" s="106"/>
      <c r="B206" s="106"/>
      <c r="C206" s="108"/>
      <c r="D206" s="303"/>
      <c r="E206" s="105"/>
      <c r="F206" s="105"/>
      <c r="G206" s="105"/>
      <c r="H206" s="248"/>
      <c r="I206" s="105"/>
      <c r="J206" s="108"/>
      <c r="K206" s="108"/>
      <c r="L206" s="105"/>
      <c r="M206" s="105"/>
      <c r="N206" s="106"/>
      <c r="O206" s="483"/>
      <c r="P206" s="483"/>
      <c r="Q206" s="109"/>
      <c r="R206" s="256"/>
      <c r="S206" s="107"/>
      <c r="T206" s="106"/>
      <c r="U206" s="106"/>
      <c r="V206" s="127">
        <f>Table62689345679[[#This Row],[PO Value]]-Table62689345679[[#This Row],[Offer Value]]</f>
        <v>0</v>
      </c>
      <c r="W206" s="106"/>
      <c r="X206" s="106"/>
      <c r="Y206" s="617"/>
      <c r="Z206" s="257"/>
      <c r="AA206" s="603"/>
    </row>
    <row r="207" spans="1:27" ht="15.6">
      <c r="A207" s="106"/>
      <c r="B207" s="106"/>
      <c r="C207" s="108"/>
      <c r="D207" s="303"/>
      <c r="E207" s="105"/>
      <c r="F207" s="105"/>
      <c r="G207" s="105"/>
      <c r="H207" s="248"/>
      <c r="I207" s="105"/>
      <c r="J207" s="108"/>
      <c r="K207" s="108"/>
      <c r="L207" s="105"/>
      <c r="M207" s="105"/>
      <c r="N207" s="106"/>
      <c r="O207" s="483"/>
      <c r="P207" s="483"/>
      <c r="Q207" s="109"/>
      <c r="R207" s="289"/>
      <c r="S207" s="107"/>
      <c r="T207" s="106"/>
      <c r="U207" s="106"/>
      <c r="V207" s="127">
        <f>Table62689345679[[#This Row],[PO Value]]-Table62689345679[[#This Row],[Offer Value]]</f>
        <v>0</v>
      </c>
      <c r="W207" s="106"/>
      <c r="X207" s="106"/>
      <c r="Y207" s="217"/>
      <c r="Z207" s="257"/>
      <c r="AA207" s="603"/>
    </row>
    <row r="208" spans="1:27" ht="15.6">
      <c r="A208" s="106"/>
      <c r="B208" s="106"/>
      <c r="C208" s="108"/>
      <c r="D208" s="303"/>
      <c r="E208" s="105"/>
      <c r="F208" s="105"/>
      <c r="G208" s="105"/>
      <c r="H208" s="248"/>
      <c r="I208" s="105"/>
      <c r="J208" s="108"/>
      <c r="K208" s="108"/>
      <c r="L208" s="105"/>
      <c r="M208" s="105"/>
      <c r="N208" s="106"/>
      <c r="O208" s="483"/>
      <c r="P208" s="483"/>
      <c r="Q208" s="109"/>
      <c r="R208" s="289"/>
      <c r="S208" s="107"/>
      <c r="T208" s="106"/>
      <c r="U208" s="106"/>
      <c r="V208" s="127">
        <f>Table62689345679[[#This Row],[PO Value]]-Table62689345679[[#This Row],[Offer Value]]</f>
        <v>0</v>
      </c>
      <c r="W208" s="106"/>
      <c r="X208" s="106"/>
      <c r="Y208" s="217"/>
      <c r="Z208" s="257"/>
      <c r="AA208" s="603"/>
    </row>
    <row r="209" spans="1:27" ht="18">
      <c r="A209" s="106"/>
      <c r="B209" s="106"/>
      <c r="C209" s="108"/>
      <c r="D209" s="303"/>
      <c r="E209" s="108"/>
      <c r="F209" s="108"/>
      <c r="G209" s="108"/>
      <c r="H209" s="251"/>
      <c r="I209" s="105"/>
      <c r="J209" s="108"/>
      <c r="K209" s="108"/>
      <c r="L209" s="366"/>
      <c r="M209" s="105"/>
      <c r="N209" s="106"/>
      <c r="O209" s="483"/>
      <c r="P209" s="483"/>
      <c r="Q209" s="109"/>
      <c r="R209" s="289"/>
      <c r="S209" s="107"/>
      <c r="T209" s="106"/>
      <c r="U209" s="106"/>
      <c r="V209" s="127">
        <f>Table62689345679[[#This Row],[PO Value]]-Table62689345679[[#This Row],[Offer Value]]</f>
        <v>0</v>
      </c>
      <c r="W209" s="106"/>
      <c r="X209" s="106"/>
      <c r="Y209" s="217"/>
      <c r="Z209" s="257"/>
      <c r="AA209" s="603"/>
    </row>
    <row r="210" spans="1:27" ht="18">
      <c r="A210" s="106"/>
      <c r="B210" s="106"/>
      <c r="C210" s="108"/>
      <c r="D210" s="303"/>
      <c r="E210" s="108"/>
      <c r="F210" s="108"/>
      <c r="G210" s="108"/>
      <c r="H210" s="251"/>
      <c r="I210" s="105"/>
      <c r="J210" s="108"/>
      <c r="K210" s="108"/>
      <c r="L210" s="366"/>
      <c r="M210" s="105"/>
      <c r="N210" s="106"/>
      <c r="O210" s="483"/>
      <c r="P210" s="483"/>
      <c r="Q210" s="109"/>
      <c r="R210" s="289"/>
      <c r="S210" s="107"/>
      <c r="T210" s="106"/>
      <c r="U210" s="106"/>
      <c r="V210" s="127">
        <f>Table62689345679[[#This Row],[PO Value]]-Table62689345679[[#This Row],[Offer Value]]</f>
        <v>0</v>
      </c>
      <c r="W210" s="106"/>
      <c r="X210" s="106"/>
      <c r="Y210" s="217"/>
      <c r="Z210" s="257"/>
      <c r="AA210" s="603"/>
    </row>
    <row r="211" spans="1:27" ht="18">
      <c r="A211" s="106"/>
      <c r="B211" s="106"/>
      <c r="C211" s="108"/>
      <c r="D211" s="303"/>
      <c r="E211" s="105"/>
      <c r="F211" s="105"/>
      <c r="G211" s="105"/>
      <c r="H211" s="250"/>
      <c r="I211" s="105"/>
      <c r="J211" s="108"/>
      <c r="K211" s="108"/>
      <c r="L211" s="366"/>
      <c r="M211" s="105"/>
      <c r="N211" s="106"/>
      <c r="O211" s="483"/>
      <c r="P211" s="483"/>
      <c r="Q211" s="109"/>
      <c r="R211" s="256"/>
      <c r="S211" s="107"/>
      <c r="T211" s="106"/>
      <c r="U211" s="106"/>
      <c r="V211" s="127">
        <f>Table62689345679[[#This Row],[PO Value]]-Table62689345679[[#This Row],[Offer Value]]</f>
        <v>0</v>
      </c>
      <c r="W211" s="106"/>
      <c r="X211" s="106"/>
      <c r="Y211" s="617"/>
      <c r="Z211" s="257"/>
      <c r="AA211" s="603"/>
    </row>
    <row r="212" spans="1:27" ht="18">
      <c r="A212" s="106"/>
      <c r="B212" s="106"/>
      <c r="C212" s="108"/>
      <c r="D212" s="303"/>
      <c r="E212" s="105"/>
      <c r="F212" s="105"/>
      <c r="G212" s="105"/>
      <c r="H212" s="250"/>
      <c r="I212" s="105"/>
      <c r="J212" s="108"/>
      <c r="K212" s="108"/>
      <c r="L212" s="366"/>
      <c r="M212" s="105"/>
      <c r="N212" s="106"/>
      <c r="O212" s="483"/>
      <c r="P212" s="483"/>
      <c r="Q212" s="109"/>
      <c r="R212" s="256"/>
      <c r="S212" s="107"/>
      <c r="T212" s="106"/>
      <c r="U212" s="106"/>
      <c r="V212" s="127">
        <f>Table62689345679[[#This Row],[PO Value]]-Table62689345679[[#This Row],[Offer Value]]</f>
        <v>0</v>
      </c>
      <c r="W212" s="106"/>
      <c r="X212" s="106"/>
      <c r="Y212" s="217"/>
      <c r="Z212" s="257"/>
      <c r="AA212" s="603"/>
    </row>
    <row r="213" spans="1:27" ht="18">
      <c r="A213" s="106"/>
      <c r="B213" s="106"/>
      <c r="C213" s="108"/>
      <c r="D213" s="303"/>
      <c r="E213" s="105"/>
      <c r="F213" s="105"/>
      <c r="G213" s="105"/>
      <c r="H213" s="250"/>
      <c r="I213" s="105"/>
      <c r="J213" s="108"/>
      <c r="K213" s="108"/>
      <c r="L213" s="366"/>
      <c r="M213" s="105"/>
      <c r="N213" s="106"/>
      <c r="O213" s="483"/>
      <c r="P213" s="483"/>
      <c r="Q213" s="109"/>
      <c r="R213" s="256"/>
      <c r="S213" s="107"/>
      <c r="T213" s="106"/>
      <c r="U213" s="106"/>
      <c r="V213" s="127">
        <f>Table62689345679[[#This Row],[PO Value]]-Table62689345679[[#This Row],[Offer Value]]</f>
        <v>0</v>
      </c>
      <c r="W213" s="106"/>
      <c r="X213" s="106"/>
      <c r="Y213" s="217"/>
      <c r="Z213" s="257"/>
      <c r="AA213" s="603"/>
    </row>
    <row r="214" spans="1:27" ht="18">
      <c r="A214" s="106"/>
      <c r="B214" s="106"/>
      <c r="C214" s="108"/>
      <c r="D214" s="303"/>
      <c r="E214" s="108"/>
      <c r="F214" s="108"/>
      <c r="G214" s="108"/>
      <c r="H214" s="251"/>
      <c r="I214" s="105"/>
      <c r="J214" s="108"/>
      <c r="K214" s="108"/>
      <c r="L214" s="366"/>
      <c r="M214" s="105"/>
      <c r="N214" s="106"/>
      <c r="O214" s="483"/>
      <c r="P214" s="483"/>
      <c r="Q214" s="109"/>
      <c r="R214" s="256"/>
      <c r="S214" s="107"/>
      <c r="T214" s="106"/>
      <c r="U214" s="106"/>
      <c r="V214" s="127">
        <f>Table62689345679[[#This Row],[PO Value]]-Table62689345679[[#This Row],[Offer Value]]</f>
        <v>0</v>
      </c>
      <c r="W214" s="106"/>
      <c r="X214" s="106"/>
      <c r="Y214" s="617"/>
      <c r="Z214" s="257"/>
      <c r="AA214" s="603"/>
    </row>
    <row r="215" spans="1:27" ht="18">
      <c r="A215" s="106"/>
      <c r="B215" s="106"/>
      <c r="C215" s="108"/>
      <c r="D215" s="303"/>
      <c r="E215" s="108"/>
      <c r="F215" s="108"/>
      <c r="G215" s="108"/>
      <c r="H215" s="251"/>
      <c r="I215" s="105"/>
      <c r="J215" s="108"/>
      <c r="K215" s="108"/>
      <c r="L215" s="366"/>
      <c r="M215" s="105"/>
      <c r="N215" s="106"/>
      <c r="O215" s="483"/>
      <c r="P215" s="483"/>
      <c r="Q215" s="109"/>
      <c r="R215" s="256"/>
      <c r="S215" s="107"/>
      <c r="T215" s="106"/>
      <c r="U215" s="106"/>
      <c r="V215" s="127">
        <f>Table62689345679[[#This Row],[PO Value]]-Table62689345679[[#This Row],[Offer Value]]</f>
        <v>0</v>
      </c>
      <c r="W215" s="106"/>
      <c r="X215" s="106"/>
      <c r="Y215" s="617"/>
      <c r="Z215" s="257"/>
      <c r="AA215" s="603"/>
    </row>
    <row r="216" spans="1:27" ht="18">
      <c r="A216" s="106"/>
      <c r="B216" s="106"/>
      <c r="C216" s="108"/>
      <c r="D216" s="303"/>
      <c r="E216" s="108"/>
      <c r="F216" s="108"/>
      <c r="G216" s="108"/>
      <c r="H216" s="251"/>
      <c r="I216" s="105"/>
      <c r="J216" s="108"/>
      <c r="K216" s="108"/>
      <c r="L216" s="366"/>
      <c r="M216" s="105"/>
      <c r="N216" s="106"/>
      <c r="O216" s="483"/>
      <c r="P216" s="483"/>
      <c r="Q216" s="109"/>
      <c r="R216" s="256"/>
      <c r="S216" s="107"/>
      <c r="T216" s="106"/>
      <c r="U216" s="106"/>
      <c r="V216" s="127">
        <f>Table62689345679[[#This Row],[PO Value]]-Table62689345679[[#This Row],[Offer Value]]</f>
        <v>0</v>
      </c>
      <c r="W216" s="106"/>
      <c r="X216" s="106"/>
      <c r="Y216" s="217"/>
      <c r="Z216" s="257"/>
      <c r="AA216" s="603"/>
    </row>
    <row r="217" spans="1:27" ht="18">
      <c r="A217" s="106"/>
      <c r="B217" s="106"/>
      <c r="C217" s="108"/>
      <c r="D217" s="303"/>
      <c r="E217" s="108"/>
      <c r="F217" s="108"/>
      <c r="G217" s="108"/>
      <c r="H217" s="251"/>
      <c r="I217" s="105"/>
      <c r="J217" s="108"/>
      <c r="K217" s="108"/>
      <c r="L217" s="366"/>
      <c r="M217" s="105"/>
      <c r="N217" s="106"/>
      <c r="O217" s="483"/>
      <c r="P217" s="483"/>
      <c r="Q217" s="109"/>
      <c r="R217" s="256"/>
      <c r="S217" s="107"/>
      <c r="T217" s="106"/>
      <c r="U217" s="106"/>
      <c r="V217" s="127">
        <f>Table62689345679[[#This Row],[PO Value]]-Table62689345679[[#This Row],[Offer Value]]</f>
        <v>0</v>
      </c>
      <c r="W217" s="106"/>
      <c r="X217" s="106"/>
      <c r="Y217" s="617"/>
      <c r="Z217" s="257"/>
      <c r="AA217" s="603"/>
    </row>
    <row r="218" spans="1:27" ht="18">
      <c r="A218" s="106"/>
      <c r="B218" s="106"/>
      <c r="C218" s="108"/>
      <c r="D218" s="303"/>
      <c r="E218" s="108"/>
      <c r="F218" s="108"/>
      <c r="G218" s="108"/>
      <c r="H218" s="251"/>
      <c r="I218" s="105"/>
      <c r="J218" s="108"/>
      <c r="K218" s="108"/>
      <c r="L218" s="366"/>
      <c r="M218" s="105"/>
      <c r="N218" s="106"/>
      <c r="O218" s="483"/>
      <c r="P218" s="483"/>
      <c r="Q218" s="109"/>
      <c r="R218" s="256"/>
      <c r="S218" s="107"/>
      <c r="T218" s="106"/>
      <c r="U218" s="106"/>
      <c r="V218" s="127">
        <f>Table62689345679[[#This Row],[PO Value]]-Table62689345679[[#This Row],[Offer Value]]</f>
        <v>0</v>
      </c>
      <c r="W218" s="106"/>
      <c r="X218" s="106"/>
      <c r="Y218" s="617"/>
      <c r="Z218" s="257"/>
      <c r="AA218" s="603"/>
    </row>
    <row r="219" spans="1:27" ht="18">
      <c r="A219" s="106"/>
      <c r="B219" s="106"/>
      <c r="C219" s="108"/>
      <c r="D219" s="303"/>
      <c r="E219" s="108"/>
      <c r="F219" s="108"/>
      <c r="G219" s="108"/>
      <c r="H219" s="251"/>
      <c r="I219" s="105"/>
      <c r="J219" s="108"/>
      <c r="K219" s="108"/>
      <c r="L219" s="366"/>
      <c r="M219" s="105"/>
      <c r="N219" s="106"/>
      <c r="O219" s="483"/>
      <c r="P219" s="483"/>
      <c r="Q219" s="109"/>
      <c r="R219" s="256"/>
      <c r="S219" s="107"/>
      <c r="T219" s="106"/>
      <c r="U219" s="106"/>
      <c r="V219" s="127">
        <f>Table62689345679[[#This Row],[PO Value]]-Table62689345679[[#This Row],[Offer Value]]</f>
        <v>0</v>
      </c>
      <c r="W219" s="106"/>
      <c r="X219" s="106"/>
      <c r="Y219" s="617"/>
      <c r="Z219" s="257"/>
      <c r="AA219" s="603"/>
    </row>
    <row r="220" spans="1:27" ht="18">
      <c r="A220" s="106"/>
      <c r="B220" s="106"/>
      <c r="C220" s="108"/>
      <c r="D220" s="303"/>
      <c r="E220" s="304"/>
      <c r="F220" s="304"/>
      <c r="G220" s="304"/>
      <c r="H220" s="182"/>
      <c r="I220" s="105"/>
      <c r="J220" s="108"/>
      <c r="K220" s="108"/>
      <c r="L220" s="366"/>
      <c r="M220" s="116"/>
      <c r="N220" s="106"/>
      <c r="O220" s="483"/>
      <c r="P220" s="483"/>
      <c r="Q220" s="109"/>
      <c r="R220" s="289"/>
      <c r="S220" s="107"/>
      <c r="T220" s="106"/>
      <c r="U220" s="106"/>
      <c r="V220" s="127">
        <f>Table62689345679[[#This Row],[PO Value]]-Table62689345679[[#This Row],[Offer Value]]</f>
        <v>0</v>
      </c>
      <c r="W220" s="106"/>
      <c r="X220" s="106"/>
      <c r="Y220" s="217"/>
      <c r="Z220" s="257"/>
      <c r="AA220" s="603"/>
    </row>
    <row r="221" spans="1:27" ht="18">
      <c r="A221" s="106"/>
      <c r="B221" s="107"/>
      <c r="C221" s="108"/>
      <c r="D221" s="303"/>
      <c r="E221" s="304"/>
      <c r="F221" s="304"/>
      <c r="G221" s="304"/>
      <c r="H221" s="182"/>
      <c r="I221" s="105"/>
      <c r="J221" s="108"/>
      <c r="K221" s="108"/>
      <c r="L221" s="366"/>
      <c r="M221" s="116"/>
      <c r="N221" s="106"/>
      <c r="O221" s="483"/>
      <c r="P221" s="483"/>
      <c r="Q221" s="109"/>
      <c r="R221" s="289"/>
      <c r="S221" s="107"/>
      <c r="T221" s="106"/>
      <c r="U221" s="106"/>
      <c r="V221" s="127">
        <f>Table62689345679[[#This Row],[PO Value]]-Table62689345679[[#This Row],[Offer Value]]</f>
        <v>0</v>
      </c>
      <c r="W221" s="106"/>
      <c r="X221" s="106"/>
      <c r="Y221" s="217"/>
      <c r="Z221" s="257"/>
      <c r="AA221" s="603"/>
    </row>
    <row r="222" spans="1:27" ht="18">
      <c r="A222" s="106"/>
      <c r="B222" s="107"/>
      <c r="C222" s="108"/>
      <c r="D222" s="303"/>
      <c r="E222" s="304"/>
      <c r="F222" s="304"/>
      <c r="G222" s="304"/>
      <c r="H222" s="182"/>
      <c r="I222" s="105"/>
      <c r="J222" s="108"/>
      <c r="K222" s="108"/>
      <c r="L222" s="366"/>
      <c r="M222" s="116"/>
      <c r="N222" s="106"/>
      <c r="O222" s="483"/>
      <c r="P222" s="483"/>
      <c r="Q222" s="109"/>
      <c r="R222" s="289"/>
      <c r="S222" s="107"/>
      <c r="T222" s="106"/>
      <c r="U222" s="106"/>
      <c r="V222" s="127">
        <f>Table62689345679[[#This Row],[PO Value]]-Table62689345679[[#This Row],[Offer Value]]</f>
        <v>0</v>
      </c>
      <c r="W222" s="106"/>
      <c r="X222" s="106"/>
      <c r="Y222" s="217"/>
      <c r="Z222" s="257"/>
      <c r="AA222" s="603"/>
    </row>
    <row r="223" spans="1:27" ht="18">
      <c r="A223" s="106"/>
      <c r="B223" s="107"/>
      <c r="C223" s="108"/>
      <c r="D223" s="303"/>
      <c r="E223" s="304"/>
      <c r="F223" s="304"/>
      <c r="G223" s="304"/>
      <c r="H223" s="182"/>
      <c r="I223" s="105"/>
      <c r="J223" s="108"/>
      <c r="K223" s="108"/>
      <c r="L223" s="366"/>
      <c r="M223" s="116"/>
      <c r="N223" s="106"/>
      <c r="O223" s="483"/>
      <c r="P223" s="483"/>
      <c r="Q223" s="109"/>
      <c r="R223" s="289"/>
      <c r="S223" s="107"/>
      <c r="T223" s="106"/>
      <c r="U223" s="106"/>
      <c r="V223" s="127">
        <f>Table62689345679[[#This Row],[PO Value]]-Table62689345679[[#This Row],[Offer Value]]</f>
        <v>0</v>
      </c>
      <c r="W223" s="106"/>
      <c r="X223" s="106"/>
      <c r="Y223" s="217"/>
      <c r="Z223" s="257"/>
      <c r="AA223" s="603"/>
    </row>
    <row r="224" spans="1:27" ht="18">
      <c r="A224" s="106"/>
      <c r="B224" s="107"/>
      <c r="C224" s="108"/>
      <c r="D224" s="303"/>
      <c r="E224" s="304"/>
      <c r="F224" s="304"/>
      <c r="G224" s="304"/>
      <c r="H224" s="182"/>
      <c r="I224" s="105"/>
      <c r="J224" s="108"/>
      <c r="K224" s="108"/>
      <c r="L224" s="366"/>
      <c r="M224" s="116"/>
      <c r="N224" s="106"/>
      <c r="O224" s="483"/>
      <c r="P224" s="483"/>
      <c r="Q224" s="109"/>
      <c r="R224" s="289"/>
      <c r="S224" s="107"/>
      <c r="T224" s="106"/>
      <c r="U224" s="106"/>
      <c r="V224" s="127">
        <f>Table62689345679[[#This Row],[PO Value]]-Table62689345679[[#This Row],[Offer Value]]</f>
        <v>0</v>
      </c>
      <c r="W224" s="106"/>
      <c r="X224" s="106"/>
      <c r="Y224" s="217"/>
      <c r="Z224" s="257"/>
      <c r="AA224" s="603"/>
    </row>
    <row r="225" spans="1:27" ht="18">
      <c r="A225" s="106"/>
      <c r="B225" s="106"/>
      <c r="C225" s="108"/>
      <c r="D225" s="303"/>
      <c r="E225" s="108"/>
      <c r="F225" s="108"/>
      <c r="G225" s="108"/>
      <c r="H225" s="251"/>
      <c r="I225" s="105"/>
      <c r="J225" s="108"/>
      <c r="K225" s="108"/>
      <c r="L225" s="366"/>
      <c r="M225" s="105"/>
      <c r="N225" s="106"/>
      <c r="O225" s="483"/>
      <c r="P225" s="483"/>
      <c r="Q225" s="109"/>
      <c r="R225" s="256"/>
      <c r="S225" s="107"/>
      <c r="T225" s="106"/>
      <c r="U225" s="106"/>
      <c r="V225" s="127">
        <f>Table62689345679[[#This Row],[PO Value]]-Table62689345679[[#This Row],[Offer Value]]</f>
        <v>0</v>
      </c>
      <c r="W225" s="106"/>
      <c r="X225" s="106"/>
      <c r="Y225" s="617"/>
      <c r="Z225" s="257"/>
      <c r="AA225" s="603"/>
    </row>
    <row r="226" spans="1:27" ht="18">
      <c r="A226" s="106"/>
      <c r="B226" s="107"/>
      <c r="C226" s="108"/>
      <c r="D226" s="303"/>
      <c r="E226" s="108"/>
      <c r="F226" s="108"/>
      <c r="G226" s="108"/>
      <c r="H226" s="251"/>
      <c r="I226" s="105"/>
      <c r="J226" s="108"/>
      <c r="K226" s="108"/>
      <c r="L226" s="366"/>
      <c r="M226" s="105"/>
      <c r="N226" s="106"/>
      <c r="O226" s="483"/>
      <c r="P226" s="483"/>
      <c r="Q226" s="109"/>
      <c r="R226" s="256"/>
      <c r="S226" s="107"/>
      <c r="T226" s="106"/>
      <c r="U226" s="106"/>
      <c r="V226" s="127">
        <f>Table62689345679[[#This Row],[PO Value]]-Table62689345679[[#This Row],[Offer Value]]</f>
        <v>0</v>
      </c>
      <c r="W226" s="106"/>
      <c r="X226" s="106"/>
      <c r="Y226" s="617"/>
      <c r="Z226" s="257"/>
      <c r="AA226" s="603"/>
    </row>
    <row r="227" spans="1:27" ht="18">
      <c r="A227" s="106"/>
      <c r="B227" s="106"/>
      <c r="C227" s="108"/>
      <c r="D227" s="303"/>
      <c r="E227" s="108"/>
      <c r="F227" s="108"/>
      <c r="G227" s="108"/>
      <c r="H227" s="251"/>
      <c r="I227" s="105"/>
      <c r="J227" s="108"/>
      <c r="K227" s="108"/>
      <c r="L227" s="366"/>
      <c r="M227" s="105"/>
      <c r="N227" s="106"/>
      <c r="O227" s="483"/>
      <c r="P227" s="483"/>
      <c r="Q227" s="109"/>
      <c r="R227" s="289"/>
      <c r="S227" s="107"/>
      <c r="T227" s="106"/>
      <c r="U227" s="106"/>
      <c r="V227" s="127">
        <f>Table62689345679[[#This Row],[PO Value]]-Table62689345679[[#This Row],[Offer Value]]</f>
        <v>0</v>
      </c>
      <c r="W227" s="106"/>
      <c r="X227" s="106"/>
      <c r="Y227" s="217"/>
      <c r="Z227" s="257"/>
      <c r="AA227" s="603"/>
    </row>
    <row r="228" spans="1:27" ht="15.6">
      <c r="A228" s="106"/>
      <c r="B228" s="106"/>
      <c r="C228" s="108"/>
      <c r="D228" s="303"/>
      <c r="E228" s="105"/>
      <c r="F228" s="105"/>
      <c r="G228" s="105"/>
      <c r="H228" s="105"/>
      <c r="I228" s="105"/>
      <c r="J228" s="108"/>
      <c r="K228" s="108"/>
      <c r="L228" s="105"/>
      <c r="M228" s="116"/>
      <c r="N228" s="106"/>
      <c r="O228" s="483"/>
      <c r="P228" s="483"/>
      <c r="Q228" s="109"/>
      <c r="R228" s="289"/>
      <c r="S228" s="107"/>
      <c r="T228" s="106"/>
      <c r="U228" s="106"/>
      <c r="V228" s="127">
        <f>Table62689345679[[#This Row],[PO Value]]-Table62689345679[[#This Row],[Offer Value]]</f>
        <v>0</v>
      </c>
      <c r="W228" s="106"/>
      <c r="X228" s="106"/>
      <c r="Y228" s="217"/>
      <c r="Z228" s="257"/>
      <c r="AA228" s="603"/>
    </row>
    <row r="229" spans="1:27" ht="15.6">
      <c r="A229" s="106"/>
      <c r="B229" s="106"/>
      <c r="C229" s="108"/>
      <c r="D229" s="303"/>
      <c r="E229" s="105"/>
      <c r="F229" s="105"/>
      <c r="G229" s="105"/>
      <c r="H229" s="105"/>
      <c r="I229" s="105"/>
      <c r="J229" s="108"/>
      <c r="K229" s="108"/>
      <c r="L229" s="115"/>
      <c r="M229" s="116"/>
      <c r="N229" s="106"/>
      <c r="O229" s="483"/>
      <c r="P229" s="483"/>
      <c r="Q229" s="109"/>
      <c r="R229" s="256"/>
      <c r="S229" s="107"/>
      <c r="T229" s="106"/>
      <c r="U229" s="106"/>
      <c r="V229" s="127">
        <f>Table62689345679[[#This Row],[PO Value]]-Table62689345679[[#This Row],[Offer Value]]</f>
        <v>0</v>
      </c>
      <c r="W229" s="106"/>
      <c r="X229" s="106"/>
      <c r="Y229" s="617"/>
      <c r="Z229" s="257"/>
      <c r="AA229" s="603"/>
    </row>
    <row r="230" spans="1:27" ht="15.6">
      <c r="A230" s="106"/>
      <c r="B230" s="106"/>
      <c r="C230" s="108"/>
      <c r="D230" s="303"/>
      <c r="E230" s="105"/>
      <c r="F230" s="105"/>
      <c r="G230" s="105"/>
      <c r="H230" s="105"/>
      <c r="I230" s="105"/>
      <c r="J230" s="108"/>
      <c r="K230" s="108"/>
      <c r="L230" s="105"/>
      <c r="M230" s="105"/>
      <c r="N230" s="106"/>
      <c r="O230" s="483"/>
      <c r="P230" s="483"/>
      <c r="Q230" s="109"/>
      <c r="R230" s="289"/>
      <c r="S230" s="107"/>
      <c r="T230" s="106"/>
      <c r="U230" s="106"/>
      <c r="V230" s="127">
        <f>Table62689345679[[#This Row],[PO Value]]-Table62689345679[[#This Row],[Offer Value]]</f>
        <v>0</v>
      </c>
      <c r="W230" s="106"/>
      <c r="X230" s="106"/>
      <c r="Y230" s="217"/>
      <c r="Z230" s="257"/>
      <c r="AA230" s="603"/>
    </row>
    <row r="231" spans="1:27" ht="15.6">
      <c r="A231" s="106"/>
      <c r="B231" s="106"/>
      <c r="C231" s="108"/>
      <c r="D231" s="303"/>
      <c r="E231" s="105"/>
      <c r="F231" s="105"/>
      <c r="G231" s="105"/>
      <c r="H231" s="105"/>
      <c r="I231" s="105"/>
      <c r="J231" s="108"/>
      <c r="K231" s="108"/>
      <c r="L231" s="105"/>
      <c r="M231" s="105"/>
      <c r="N231" s="106"/>
      <c r="O231" s="483"/>
      <c r="P231" s="483"/>
      <c r="Q231" s="109"/>
      <c r="R231" s="289"/>
      <c r="S231" s="107"/>
      <c r="T231" s="106"/>
      <c r="U231" s="106"/>
      <c r="V231" s="127">
        <f>Table62689345679[[#This Row],[PO Value]]-Table62689345679[[#This Row],[Offer Value]]</f>
        <v>0</v>
      </c>
      <c r="W231" s="106"/>
      <c r="X231" s="106"/>
      <c r="Y231" s="217"/>
      <c r="Z231" s="257"/>
      <c r="AA231" s="603"/>
    </row>
    <row r="232" spans="1:27" ht="15.6">
      <c r="A232" s="106"/>
      <c r="B232" s="106"/>
      <c r="C232" s="108"/>
      <c r="D232" s="303"/>
      <c r="E232" s="105"/>
      <c r="F232" s="105"/>
      <c r="G232" s="105"/>
      <c r="H232" s="105"/>
      <c r="I232" s="105"/>
      <c r="J232" s="108"/>
      <c r="K232" s="108"/>
      <c r="L232" s="105"/>
      <c r="M232" s="105"/>
      <c r="N232" s="106"/>
      <c r="O232" s="483"/>
      <c r="P232" s="483"/>
      <c r="Q232" s="109"/>
      <c r="R232" s="289"/>
      <c r="S232" s="107"/>
      <c r="T232" s="106"/>
      <c r="U232" s="106"/>
      <c r="V232" s="127">
        <f>Table62689345679[[#This Row],[PO Value]]-Table62689345679[[#This Row],[Offer Value]]</f>
        <v>0</v>
      </c>
      <c r="W232" s="106"/>
      <c r="X232" s="106"/>
      <c r="Y232" s="217"/>
      <c r="Z232" s="257"/>
      <c r="AA232" s="603"/>
    </row>
    <row r="233" spans="1:27" ht="15.6">
      <c r="A233" s="106"/>
      <c r="B233" s="106"/>
      <c r="C233" s="108"/>
      <c r="D233" s="303"/>
      <c r="E233" s="105"/>
      <c r="F233" s="105"/>
      <c r="G233" s="105"/>
      <c r="H233" s="105"/>
      <c r="I233" s="105"/>
      <c r="J233" s="108"/>
      <c r="K233" s="108"/>
      <c r="L233" s="105"/>
      <c r="M233" s="105"/>
      <c r="N233" s="106"/>
      <c r="O233" s="483"/>
      <c r="P233" s="483"/>
      <c r="Q233" s="109"/>
      <c r="R233" s="289"/>
      <c r="S233" s="107"/>
      <c r="T233" s="106"/>
      <c r="U233" s="106"/>
      <c r="V233" s="127">
        <f>Table62689345679[[#This Row],[PO Value]]-Table62689345679[[#This Row],[Offer Value]]</f>
        <v>0</v>
      </c>
      <c r="W233" s="106"/>
      <c r="X233" s="106"/>
      <c r="Y233" s="217"/>
      <c r="Z233" s="257"/>
      <c r="AA233" s="603"/>
    </row>
    <row r="234" spans="1:27" ht="15.6">
      <c r="A234" s="106"/>
      <c r="B234" s="106"/>
      <c r="C234" s="108"/>
      <c r="D234" s="303"/>
      <c r="E234" s="105"/>
      <c r="F234" s="105"/>
      <c r="G234" s="105"/>
      <c r="H234" s="105"/>
      <c r="I234" s="105"/>
      <c r="J234" s="108"/>
      <c r="K234" s="108"/>
      <c r="L234" s="105"/>
      <c r="M234" s="105"/>
      <c r="N234" s="106"/>
      <c r="O234" s="483"/>
      <c r="P234" s="483"/>
      <c r="Q234" s="109"/>
      <c r="R234" s="256"/>
      <c r="S234" s="107"/>
      <c r="T234" s="106"/>
      <c r="U234" s="106"/>
      <c r="V234" s="127">
        <f>Table62689345679[[#This Row],[PO Value]]-Table62689345679[[#This Row],[Offer Value]]</f>
        <v>0</v>
      </c>
      <c r="W234" s="106"/>
      <c r="X234" s="106"/>
      <c r="Y234" s="617"/>
      <c r="Z234" s="257"/>
    </row>
    <row r="235" spans="1:27" ht="15.6">
      <c r="A235" s="106"/>
      <c r="B235" s="106"/>
      <c r="C235" s="108"/>
      <c r="D235" s="303"/>
      <c r="E235" s="105"/>
      <c r="F235" s="105"/>
      <c r="G235" s="105"/>
      <c r="H235" s="105"/>
      <c r="I235" s="105"/>
      <c r="J235" s="108"/>
      <c r="K235" s="108"/>
      <c r="L235" s="105"/>
      <c r="M235" s="105"/>
      <c r="N235" s="106"/>
      <c r="O235" s="483"/>
      <c r="P235" s="483"/>
      <c r="Q235" s="109"/>
      <c r="R235" s="289"/>
      <c r="S235" s="107"/>
      <c r="T235" s="106"/>
      <c r="U235" s="106"/>
      <c r="V235" s="127">
        <f>Table62689345679[[#This Row],[PO Value]]-Table62689345679[[#This Row],[Offer Value]]</f>
        <v>0</v>
      </c>
      <c r="W235" s="106"/>
      <c r="X235" s="106"/>
      <c r="Y235" s="217"/>
      <c r="Z235" s="257"/>
    </row>
    <row r="236" spans="1:27" ht="15.6">
      <c r="A236" s="106"/>
      <c r="B236" s="106"/>
      <c r="C236" s="108"/>
      <c r="D236" s="303"/>
      <c r="E236" s="105"/>
      <c r="F236" s="105"/>
      <c r="G236" s="105"/>
      <c r="H236" s="105"/>
      <c r="I236" s="105"/>
      <c r="J236" s="108"/>
      <c r="K236" s="108"/>
      <c r="L236" s="105"/>
      <c r="M236" s="105"/>
      <c r="N236" s="106"/>
      <c r="O236" s="483"/>
      <c r="P236" s="483"/>
      <c r="Q236" s="109"/>
      <c r="R236" s="256"/>
      <c r="S236" s="107"/>
      <c r="T236" s="106"/>
      <c r="U236" s="106"/>
      <c r="V236" s="127">
        <f>Table62689345679[[#This Row],[PO Value]]-Table62689345679[[#This Row],[Offer Value]]</f>
        <v>0</v>
      </c>
      <c r="W236" s="106"/>
      <c r="X236" s="106"/>
      <c r="Y236" s="617"/>
      <c r="Z236" s="257"/>
    </row>
    <row r="237" spans="1:27" ht="15.6">
      <c r="A237" s="106"/>
      <c r="B237" s="106"/>
      <c r="C237" s="108"/>
      <c r="D237" s="303"/>
      <c r="E237" s="105"/>
      <c r="F237" s="105"/>
      <c r="G237" s="105"/>
      <c r="H237" s="105"/>
      <c r="I237" s="105"/>
      <c r="J237" s="108"/>
      <c r="K237" s="108"/>
      <c r="L237" s="105"/>
      <c r="M237" s="105"/>
      <c r="N237" s="106"/>
      <c r="O237" s="483"/>
      <c r="P237" s="483"/>
      <c r="Q237" s="109"/>
      <c r="R237" s="256"/>
      <c r="S237" s="107"/>
      <c r="T237" s="106"/>
      <c r="U237" s="106"/>
      <c r="V237" s="127">
        <f>Table62689345679[[#This Row],[PO Value]]-Table62689345679[[#This Row],[Offer Value]]</f>
        <v>0</v>
      </c>
      <c r="W237" s="106"/>
      <c r="X237" s="106"/>
      <c r="Y237" s="617"/>
      <c r="Z237" s="257"/>
    </row>
    <row r="238" spans="1:27" ht="15.6">
      <c r="A238" s="106"/>
      <c r="B238" s="106"/>
      <c r="C238" s="108"/>
      <c r="D238" s="303"/>
      <c r="E238" s="105"/>
      <c r="F238" s="105"/>
      <c r="G238" s="105"/>
      <c r="H238" s="105"/>
      <c r="I238" s="105"/>
      <c r="J238" s="108"/>
      <c r="K238" s="108"/>
      <c r="L238" s="105"/>
      <c r="M238" s="116"/>
      <c r="N238" s="106"/>
      <c r="O238" s="483"/>
      <c r="P238" s="483"/>
      <c r="Q238" s="109"/>
      <c r="R238" s="289"/>
      <c r="S238" s="107"/>
      <c r="T238" s="106"/>
      <c r="U238" s="106"/>
      <c r="V238" s="127">
        <f>Table62689345679[[#This Row],[PO Value]]-Table62689345679[[#This Row],[Offer Value]]</f>
        <v>0</v>
      </c>
      <c r="W238" s="106"/>
      <c r="X238" s="106"/>
      <c r="Y238" s="217"/>
      <c r="Z238" s="257"/>
    </row>
    <row r="239" spans="1:27" ht="15.6">
      <c r="A239" s="106"/>
      <c r="B239" s="106"/>
      <c r="C239" s="108"/>
      <c r="D239" s="303"/>
      <c r="E239" s="105"/>
      <c r="F239" s="105"/>
      <c r="G239" s="105"/>
      <c r="H239" s="105"/>
      <c r="I239" s="105"/>
      <c r="J239" s="108"/>
      <c r="K239" s="108"/>
      <c r="L239" s="105"/>
      <c r="M239" s="105"/>
      <c r="N239" s="106"/>
      <c r="O239" s="483"/>
      <c r="P239" s="483"/>
      <c r="Q239" s="109"/>
      <c r="R239" s="289"/>
      <c r="S239" s="107"/>
      <c r="T239" s="106"/>
      <c r="U239" s="106"/>
      <c r="V239" s="127">
        <f>Table62689345679[[#This Row],[PO Value]]-Table62689345679[[#This Row],[Offer Value]]</f>
        <v>0</v>
      </c>
      <c r="W239" s="106"/>
      <c r="X239" s="106"/>
      <c r="Y239" s="217"/>
      <c r="Z239" s="257"/>
    </row>
    <row r="240" spans="1:27" ht="15.6">
      <c r="A240" s="106"/>
      <c r="B240" s="106"/>
      <c r="C240" s="108"/>
      <c r="D240" s="303"/>
      <c r="E240" s="105"/>
      <c r="F240" s="105"/>
      <c r="G240" s="105"/>
      <c r="H240" s="105"/>
      <c r="I240" s="105"/>
      <c r="J240" s="108"/>
      <c r="K240" s="108"/>
      <c r="L240" s="105"/>
      <c r="M240" s="105"/>
      <c r="N240" s="106"/>
      <c r="O240" s="483"/>
      <c r="P240" s="483"/>
      <c r="Q240" s="109"/>
      <c r="R240" s="256"/>
      <c r="S240" s="107"/>
      <c r="T240" s="106"/>
      <c r="U240" s="106"/>
      <c r="V240" s="127">
        <f>Table62689345679[[#This Row],[PO Value]]-Table62689345679[[#This Row],[Offer Value]]</f>
        <v>0</v>
      </c>
      <c r="W240" s="106"/>
      <c r="X240" s="106"/>
      <c r="Y240" s="617"/>
      <c r="Z240" s="257"/>
    </row>
    <row r="241" spans="1:26" ht="15.6">
      <c r="A241" s="106"/>
      <c r="B241" s="106"/>
      <c r="C241" s="108"/>
      <c r="D241" s="303"/>
      <c r="E241" s="105"/>
      <c r="F241" s="105"/>
      <c r="G241" s="105"/>
      <c r="H241" s="105"/>
      <c r="I241" s="105"/>
      <c r="J241" s="108"/>
      <c r="K241" s="108"/>
      <c r="L241" s="105"/>
      <c r="M241" s="105"/>
      <c r="N241" s="106"/>
      <c r="O241" s="483"/>
      <c r="P241" s="483"/>
      <c r="Q241" s="109"/>
      <c r="R241" s="256"/>
      <c r="S241" s="107"/>
      <c r="T241" s="106"/>
      <c r="U241" s="106"/>
      <c r="V241" s="127">
        <f>Table62689345679[[#This Row],[PO Value]]-Table62689345679[[#This Row],[Offer Value]]</f>
        <v>0</v>
      </c>
      <c r="W241" s="106"/>
      <c r="X241" s="106"/>
      <c r="Y241" s="617"/>
      <c r="Z241" s="257"/>
    </row>
    <row r="242" spans="1:26" ht="15.6">
      <c r="A242" s="106"/>
      <c r="B242" s="106"/>
      <c r="C242" s="108"/>
      <c r="D242" s="303"/>
      <c r="E242" s="105"/>
      <c r="F242" s="105"/>
      <c r="G242" s="105"/>
      <c r="H242" s="105"/>
      <c r="I242" s="105"/>
      <c r="J242" s="108"/>
      <c r="K242" s="108"/>
      <c r="L242" s="105"/>
      <c r="M242" s="116"/>
      <c r="N242" s="106"/>
      <c r="O242" s="483"/>
      <c r="P242" s="483"/>
      <c r="Q242" s="109"/>
      <c r="R242" s="289"/>
      <c r="S242" s="107"/>
      <c r="T242" s="106"/>
      <c r="U242" s="106"/>
      <c r="V242" s="127">
        <f>Table62689345679[[#This Row],[PO Value]]-Table62689345679[[#This Row],[Offer Value]]</f>
        <v>0</v>
      </c>
      <c r="W242" s="106"/>
      <c r="X242" s="106"/>
      <c r="Y242" s="217"/>
      <c r="Z242" s="257"/>
    </row>
    <row r="243" spans="1:26" ht="15.6">
      <c r="A243" s="106"/>
      <c r="B243" s="106"/>
      <c r="C243" s="108"/>
      <c r="D243" s="303"/>
      <c r="E243" s="105"/>
      <c r="F243" s="105"/>
      <c r="G243" s="105"/>
      <c r="H243" s="105"/>
      <c r="I243" s="105"/>
      <c r="J243" s="108"/>
      <c r="K243" s="108"/>
      <c r="L243" s="105"/>
      <c r="M243" s="105"/>
      <c r="N243" s="106"/>
      <c r="O243" s="483"/>
      <c r="P243" s="483"/>
      <c r="Q243" s="109"/>
      <c r="R243" s="289"/>
      <c r="S243" s="107"/>
      <c r="T243" s="106"/>
      <c r="U243" s="106"/>
      <c r="V243" s="127">
        <f>Table62689345679[[#This Row],[PO Value]]-Table62689345679[[#This Row],[Offer Value]]</f>
        <v>0</v>
      </c>
      <c r="W243" s="106"/>
      <c r="X243" s="106"/>
      <c r="Y243" s="217"/>
      <c r="Z243" s="257"/>
    </row>
    <row r="244" spans="1:26" ht="15.6">
      <c r="A244" s="106"/>
      <c r="B244" s="106"/>
      <c r="C244" s="108"/>
      <c r="D244" s="303"/>
      <c r="E244" s="117"/>
      <c r="F244" s="117"/>
      <c r="G244" s="117"/>
      <c r="H244" s="117"/>
      <c r="I244" s="105"/>
      <c r="J244" s="108"/>
      <c r="K244" s="108"/>
      <c r="L244" s="105"/>
      <c r="M244" s="105"/>
      <c r="N244" s="106"/>
      <c r="O244" s="483"/>
      <c r="P244" s="483"/>
      <c r="Q244" s="109"/>
      <c r="R244" s="289"/>
      <c r="S244" s="107"/>
      <c r="T244" s="106"/>
      <c r="U244" s="106"/>
      <c r="V244" s="127">
        <f>Table62689345679[[#This Row],[PO Value]]-Table62689345679[[#This Row],[Offer Value]]</f>
        <v>0</v>
      </c>
      <c r="W244" s="106"/>
      <c r="X244" s="106"/>
      <c r="Y244" s="217"/>
      <c r="Z244" s="257"/>
    </row>
    <row r="245" spans="1:26" ht="15.6">
      <c r="A245" s="106"/>
      <c r="B245" s="106"/>
      <c r="C245" s="108"/>
      <c r="D245" s="303"/>
      <c r="E245" s="105"/>
      <c r="F245" s="105"/>
      <c r="G245" s="105"/>
      <c r="H245" s="105"/>
      <c r="I245" s="105"/>
      <c r="J245" s="108"/>
      <c r="K245" s="108"/>
      <c r="L245" s="105"/>
      <c r="M245" s="105"/>
      <c r="N245" s="106"/>
      <c r="O245" s="483"/>
      <c r="P245" s="483"/>
      <c r="Q245" s="109"/>
      <c r="R245" s="289"/>
      <c r="S245" s="107"/>
      <c r="T245" s="106"/>
      <c r="U245" s="106"/>
      <c r="V245" s="127">
        <f>Table62689345679[[#This Row],[PO Value]]-Table62689345679[[#This Row],[Offer Value]]</f>
        <v>0</v>
      </c>
      <c r="W245" s="106"/>
      <c r="X245" s="106"/>
      <c r="Y245" s="217"/>
      <c r="Z245" s="257"/>
    </row>
    <row r="246" spans="1:26" ht="15.6">
      <c r="A246" s="106"/>
      <c r="B246" s="106"/>
      <c r="C246" s="108"/>
      <c r="D246" s="303"/>
      <c r="E246" s="105"/>
      <c r="F246" s="105"/>
      <c r="G246" s="105"/>
      <c r="H246" s="105"/>
      <c r="I246" s="105"/>
      <c r="J246" s="108"/>
      <c r="K246" s="108"/>
      <c r="L246" s="105"/>
      <c r="M246" s="105"/>
      <c r="N246" s="106"/>
      <c r="O246" s="483"/>
      <c r="P246" s="483"/>
      <c r="Q246" s="109"/>
      <c r="R246" s="289"/>
      <c r="S246" s="107"/>
      <c r="T246" s="106"/>
      <c r="U246" s="106"/>
      <c r="V246" s="127">
        <f>Table62689345679[[#This Row],[PO Value]]-Table62689345679[[#This Row],[Offer Value]]</f>
        <v>0</v>
      </c>
      <c r="W246" s="106"/>
      <c r="X246" s="106"/>
      <c r="Y246" s="217"/>
      <c r="Z246" s="257"/>
    </row>
    <row r="247" spans="1:26" ht="15.6">
      <c r="A247" s="106"/>
      <c r="B247" s="106"/>
      <c r="C247" s="108"/>
      <c r="D247" s="303"/>
      <c r="E247" s="105"/>
      <c r="F247" s="105"/>
      <c r="G247" s="105"/>
      <c r="H247" s="105"/>
      <c r="I247" s="105"/>
      <c r="J247" s="108"/>
      <c r="K247" s="108"/>
      <c r="L247" s="105"/>
      <c r="M247" s="105"/>
      <c r="N247" s="106"/>
      <c r="O247" s="483"/>
      <c r="P247" s="483"/>
      <c r="Q247" s="109"/>
      <c r="R247" s="289"/>
      <c r="S247" s="107"/>
      <c r="T247" s="106"/>
      <c r="U247" s="106"/>
      <c r="V247" s="127">
        <f>Table62689345679[[#This Row],[PO Value]]-Table62689345679[[#This Row],[Offer Value]]</f>
        <v>0</v>
      </c>
      <c r="W247" s="106"/>
      <c r="X247" s="106"/>
      <c r="Y247" s="217"/>
      <c r="Z247" s="257"/>
    </row>
    <row r="248" spans="1:26" ht="15.6">
      <c r="A248" s="106"/>
      <c r="B248" s="106"/>
      <c r="C248" s="108"/>
      <c r="D248" s="303"/>
      <c r="E248" s="105"/>
      <c r="F248" s="105"/>
      <c r="G248" s="105"/>
      <c r="H248" s="105"/>
      <c r="I248" s="105"/>
      <c r="J248" s="108"/>
      <c r="K248" s="108"/>
      <c r="L248" s="105"/>
      <c r="M248" s="105"/>
      <c r="N248" s="106"/>
      <c r="O248" s="483"/>
      <c r="P248" s="483"/>
      <c r="Q248" s="109"/>
      <c r="R248" s="289"/>
      <c r="S248" s="107"/>
      <c r="T248" s="106"/>
      <c r="U248" s="106"/>
      <c r="V248" s="127">
        <f>Table62689345679[[#This Row],[PO Value]]-Table62689345679[[#This Row],[Offer Value]]</f>
        <v>0</v>
      </c>
      <c r="W248" s="106"/>
      <c r="X248" s="106"/>
      <c r="Y248" s="217"/>
      <c r="Z248" s="257"/>
    </row>
    <row r="249" spans="1:26" ht="15.6">
      <c r="A249" s="106"/>
      <c r="B249" s="106"/>
      <c r="C249" s="108"/>
      <c r="D249" s="303"/>
      <c r="E249" s="105"/>
      <c r="F249" s="105"/>
      <c r="G249" s="105"/>
      <c r="H249" s="105"/>
      <c r="I249" s="105"/>
      <c r="J249" s="108"/>
      <c r="K249" s="108"/>
      <c r="L249" s="105"/>
      <c r="M249" s="105"/>
      <c r="N249" s="106"/>
      <c r="O249" s="483"/>
      <c r="P249" s="483"/>
      <c r="Q249" s="109"/>
      <c r="R249" s="289"/>
      <c r="S249" s="107"/>
      <c r="T249" s="106"/>
      <c r="U249" s="106"/>
      <c r="V249" s="127">
        <f>Table62689345679[[#This Row],[PO Value]]-Table62689345679[[#This Row],[Offer Value]]</f>
        <v>0</v>
      </c>
      <c r="W249" s="106"/>
      <c r="X249" s="106"/>
      <c r="Y249" s="217"/>
      <c r="Z249" s="257"/>
    </row>
    <row r="250" spans="1:26" ht="15.6">
      <c r="A250" s="106"/>
      <c r="B250" s="106"/>
      <c r="C250" s="108"/>
      <c r="D250" s="303"/>
      <c r="E250" s="105"/>
      <c r="F250" s="105"/>
      <c r="G250" s="105"/>
      <c r="H250" s="105"/>
      <c r="I250" s="105"/>
      <c r="J250" s="108"/>
      <c r="K250" s="108"/>
      <c r="L250" s="105"/>
      <c r="M250" s="105"/>
      <c r="N250" s="106"/>
      <c r="O250" s="483"/>
      <c r="P250" s="483"/>
      <c r="Q250" s="109"/>
      <c r="R250" s="289"/>
      <c r="S250" s="107"/>
      <c r="T250" s="106"/>
      <c r="U250" s="106"/>
      <c r="V250" s="127">
        <f>Table62689345679[[#This Row],[PO Value]]-Table62689345679[[#This Row],[Offer Value]]</f>
        <v>0</v>
      </c>
      <c r="W250" s="106"/>
      <c r="X250" s="106"/>
      <c r="Y250" s="217"/>
      <c r="Z250" s="257"/>
    </row>
    <row r="251" spans="1:26" ht="15.6">
      <c r="A251" s="106"/>
      <c r="B251" s="107"/>
      <c r="C251" s="108"/>
      <c r="D251" s="303"/>
      <c r="E251" s="105"/>
      <c r="F251" s="105"/>
      <c r="G251" s="105"/>
      <c r="H251" s="105"/>
      <c r="I251" s="105"/>
      <c r="J251" s="108"/>
      <c r="K251" s="108"/>
      <c r="L251" s="105"/>
      <c r="M251" s="116"/>
      <c r="N251" s="106"/>
      <c r="O251" s="483"/>
      <c r="P251" s="483"/>
      <c r="Q251" s="109"/>
      <c r="R251" s="289"/>
      <c r="S251" s="107"/>
      <c r="T251" s="106"/>
      <c r="U251" s="106"/>
      <c r="V251" s="127">
        <f>Table62689345679[[#This Row],[PO Value]]-Table62689345679[[#This Row],[Offer Value]]</f>
        <v>0</v>
      </c>
      <c r="W251" s="106"/>
      <c r="X251" s="106"/>
      <c r="Y251" s="217"/>
      <c r="Z251" s="257"/>
    </row>
    <row r="252" spans="1:26" ht="15.6">
      <c r="A252" s="106"/>
      <c r="B252" s="107"/>
      <c r="C252" s="108"/>
      <c r="D252" s="303"/>
      <c r="E252" s="105"/>
      <c r="F252" s="105"/>
      <c r="G252" s="105"/>
      <c r="H252" s="105"/>
      <c r="I252" s="105"/>
      <c r="J252" s="108"/>
      <c r="K252" s="108"/>
      <c r="L252" s="105"/>
      <c r="M252" s="116"/>
      <c r="N252" s="106"/>
      <c r="O252" s="483"/>
      <c r="P252" s="483"/>
      <c r="Q252" s="109"/>
      <c r="R252" s="289"/>
      <c r="S252" s="107"/>
      <c r="T252" s="106"/>
      <c r="U252" s="106"/>
      <c r="V252" s="127">
        <f>Table62689345679[[#This Row],[PO Value]]-Table62689345679[[#This Row],[Offer Value]]</f>
        <v>0</v>
      </c>
      <c r="W252" s="106"/>
      <c r="X252" s="106"/>
      <c r="Y252" s="217"/>
      <c r="Z252" s="257"/>
    </row>
    <row r="253" spans="1:26" ht="15.6">
      <c r="A253" s="106"/>
      <c r="B253" s="107"/>
      <c r="C253" s="108"/>
      <c r="D253" s="303"/>
      <c r="E253" s="105"/>
      <c r="F253" s="105"/>
      <c r="G253" s="105"/>
      <c r="H253" s="105"/>
      <c r="I253" s="105"/>
      <c r="J253" s="108"/>
      <c r="K253" s="108"/>
      <c r="L253" s="105"/>
      <c r="M253" s="116"/>
      <c r="N253" s="106"/>
      <c r="O253" s="483"/>
      <c r="P253" s="483"/>
      <c r="Q253" s="109"/>
      <c r="R253" s="289"/>
      <c r="S253" s="107"/>
      <c r="T253" s="106"/>
      <c r="U253" s="106"/>
      <c r="V253" s="127">
        <f>Table62689345679[[#This Row],[PO Value]]-Table62689345679[[#This Row],[Offer Value]]</f>
        <v>0</v>
      </c>
      <c r="W253" s="106"/>
      <c r="X253" s="106"/>
      <c r="Y253" s="217"/>
      <c r="Z253" s="257"/>
    </row>
    <row r="254" spans="1:26" ht="15.6">
      <c r="A254" s="106"/>
      <c r="B254" s="107"/>
      <c r="C254" s="108"/>
      <c r="D254" s="303"/>
      <c r="E254" s="105"/>
      <c r="F254" s="105"/>
      <c r="G254" s="105"/>
      <c r="H254" s="105"/>
      <c r="I254" s="105"/>
      <c r="J254" s="108"/>
      <c r="K254" s="108"/>
      <c r="L254" s="105"/>
      <c r="M254" s="105"/>
      <c r="N254" s="106"/>
      <c r="O254" s="483"/>
      <c r="P254" s="483"/>
      <c r="Q254" s="109"/>
      <c r="R254" s="256"/>
      <c r="S254" s="107"/>
      <c r="T254" s="106"/>
      <c r="U254" s="106"/>
      <c r="V254" s="127">
        <f>Table62689345679[[#This Row],[PO Value]]-Table62689345679[[#This Row],[Offer Value]]</f>
        <v>0</v>
      </c>
      <c r="W254" s="106"/>
      <c r="X254" s="106"/>
      <c r="Y254" s="617"/>
      <c r="Z254" s="257"/>
    </row>
    <row r="255" spans="1:26" ht="15.6">
      <c r="A255" s="106"/>
      <c r="B255" s="107"/>
      <c r="C255" s="108"/>
      <c r="D255" s="303"/>
      <c r="E255" s="105"/>
      <c r="F255" s="105"/>
      <c r="G255" s="105"/>
      <c r="H255" s="105"/>
      <c r="I255" s="105"/>
      <c r="J255" s="108"/>
      <c r="K255" s="108"/>
      <c r="L255" s="105"/>
      <c r="M255" s="116"/>
      <c r="N255" s="106"/>
      <c r="O255" s="483"/>
      <c r="P255" s="483"/>
      <c r="Q255" s="109"/>
      <c r="R255" s="289"/>
      <c r="S255" s="107"/>
      <c r="T255" s="106"/>
      <c r="U255" s="106"/>
      <c r="V255" s="127">
        <f>Table62689345679[[#This Row],[PO Value]]-Table62689345679[[#This Row],[Offer Value]]</f>
        <v>0</v>
      </c>
      <c r="W255" s="106"/>
      <c r="X255" s="106"/>
      <c r="Y255" s="217"/>
      <c r="Z255" s="257"/>
    </row>
    <row r="256" spans="1:26" ht="15.6">
      <c r="A256" s="106"/>
      <c r="B256" s="107"/>
      <c r="C256" s="108"/>
      <c r="D256" s="303"/>
      <c r="E256" s="105"/>
      <c r="F256" s="105"/>
      <c r="G256" s="105"/>
      <c r="H256" s="105"/>
      <c r="I256" s="105"/>
      <c r="J256" s="108"/>
      <c r="K256" s="108"/>
      <c r="L256" s="105"/>
      <c r="M256" s="116"/>
      <c r="N256" s="106"/>
      <c r="O256" s="483"/>
      <c r="P256" s="483"/>
      <c r="Q256" s="109"/>
      <c r="R256" s="289"/>
      <c r="S256" s="107"/>
      <c r="T256" s="106"/>
      <c r="U256" s="106"/>
      <c r="V256" s="127">
        <f>Table62689345679[[#This Row],[PO Value]]-Table62689345679[[#This Row],[Offer Value]]</f>
        <v>0</v>
      </c>
      <c r="W256" s="106"/>
      <c r="X256" s="106"/>
      <c r="Y256" s="217"/>
      <c r="Z256" s="257"/>
    </row>
    <row r="257" spans="1:26" ht="15.6">
      <c r="A257" s="106"/>
      <c r="B257" s="107"/>
      <c r="C257" s="108"/>
      <c r="D257" s="303"/>
      <c r="E257" s="105"/>
      <c r="F257" s="105"/>
      <c r="G257" s="105"/>
      <c r="H257" s="105"/>
      <c r="I257" s="105"/>
      <c r="J257" s="108"/>
      <c r="K257" s="108"/>
      <c r="L257" s="105"/>
      <c r="M257" s="116"/>
      <c r="N257" s="106"/>
      <c r="O257" s="483"/>
      <c r="P257" s="483"/>
      <c r="Q257" s="109"/>
      <c r="R257" s="289"/>
      <c r="S257" s="107"/>
      <c r="T257" s="106"/>
      <c r="U257" s="106"/>
      <c r="V257" s="127">
        <f>Table62689345679[[#This Row],[PO Value]]-Table62689345679[[#This Row],[Offer Value]]</f>
        <v>0</v>
      </c>
      <c r="W257" s="106"/>
      <c r="X257" s="106"/>
      <c r="Y257" s="217"/>
      <c r="Z257" s="257"/>
    </row>
    <row r="258" spans="1:26" ht="15.6">
      <c r="A258" s="106"/>
      <c r="B258" s="107"/>
      <c r="C258" s="108"/>
      <c r="D258" s="303"/>
      <c r="E258" s="105"/>
      <c r="F258" s="105"/>
      <c r="G258" s="105"/>
      <c r="H258" s="105"/>
      <c r="I258" s="105"/>
      <c r="J258" s="108"/>
      <c r="K258" s="108"/>
      <c r="L258" s="105"/>
      <c r="M258" s="105"/>
      <c r="N258" s="106"/>
      <c r="O258" s="483"/>
      <c r="P258" s="483"/>
      <c r="Q258" s="109"/>
      <c r="R258" s="289"/>
      <c r="S258" s="107"/>
      <c r="T258" s="106"/>
      <c r="U258" s="106"/>
      <c r="V258" s="127">
        <f>Table62689345679[[#This Row],[PO Value]]-Table62689345679[[#This Row],[Offer Value]]</f>
        <v>0</v>
      </c>
      <c r="W258" s="106"/>
      <c r="X258" s="106"/>
      <c r="Y258" s="217"/>
      <c r="Z258" s="257"/>
    </row>
    <row r="259" spans="1:26" ht="15.6">
      <c r="A259" s="106"/>
      <c r="B259" s="107"/>
      <c r="C259" s="108"/>
      <c r="D259" s="303"/>
      <c r="E259" s="105"/>
      <c r="F259" s="105"/>
      <c r="G259" s="105"/>
      <c r="H259" s="105"/>
      <c r="I259" s="105"/>
      <c r="J259" s="108"/>
      <c r="K259" s="108"/>
      <c r="L259" s="105"/>
      <c r="M259" s="116"/>
      <c r="N259" s="106"/>
      <c r="O259" s="483"/>
      <c r="P259" s="483"/>
      <c r="Q259" s="109"/>
      <c r="R259" s="256"/>
      <c r="S259" s="107"/>
      <c r="T259" s="106"/>
      <c r="U259" s="106"/>
      <c r="V259" s="127">
        <f>Table62689345679[[#This Row],[PO Value]]-Table62689345679[[#This Row],[Offer Value]]</f>
        <v>0</v>
      </c>
      <c r="W259" s="106"/>
      <c r="X259" s="106"/>
      <c r="Y259" s="617"/>
      <c r="Z259" s="257"/>
    </row>
    <row r="260" spans="1:26" ht="15.6">
      <c r="A260" s="106"/>
      <c r="B260" s="107"/>
      <c r="C260" s="108"/>
      <c r="D260" s="303"/>
      <c r="E260" s="105"/>
      <c r="F260" s="105"/>
      <c r="G260" s="105"/>
      <c r="H260" s="105"/>
      <c r="I260" s="105"/>
      <c r="J260" s="108"/>
      <c r="K260" s="108"/>
      <c r="L260" s="105"/>
      <c r="M260" s="105"/>
      <c r="N260" s="106"/>
      <c r="O260" s="483"/>
      <c r="P260" s="483"/>
      <c r="Q260" s="109"/>
      <c r="R260" s="289"/>
      <c r="S260" s="107"/>
      <c r="T260" s="106"/>
      <c r="U260" s="106"/>
      <c r="V260" s="127">
        <f>Table62689345679[[#This Row],[PO Value]]-Table62689345679[[#This Row],[Offer Value]]</f>
        <v>0</v>
      </c>
      <c r="W260" s="106"/>
      <c r="X260" s="106"/>
      <c r="Y260" s="217"/>
      <c r="Z260" s="257"/>
    </row>
    <row r="261" spans="1:26" ht="15.6">
      <c r="A261" s="106"/>
      <c r="B261" s="107"/>
      <c r="C261" s="108"/>
      <c r="D261" s="303"/>
      <c r="E261" s="105"/>
      <c r="F261" s="105"/>
      <c r="G261" s="105"/>
      <c r="H261" s="105"/>
      <c r="I261" s="105"/>
      <c r="J261" s="108"/>
      <c r="K261" s="108"/>
      <c r="L261" s="105"/>
      <c r="M261" s="116"/>
      <c r="N261" s="106"/>
      <c r="O261" s="483"/>
      <c r="P261" s="483"/>
      <c r="Q261" s="109"/>
      <c r="R261" s="289"/>
      <c r="S261" s="107"/>
      <c r="T261" s="106"/>
      <c r="U261" s="106"/>
      <c r="V261" s="127">
        <f>Table62689345679[[#This Row],[PO Value]]-Table62689345679[[#This Row],[Offer Value]]</f>
        <v>0</v>
      </c>
      <c r="W261" s="106"/>
      <c r="X261" s="106"/>
      <c r="Y261" s="217"/>
      <c r="Z261" s="257"/>
    </row>
    <row r="262" spans="1:26" ht="15.6">
      <c r="A262" s="106"/>
      <c r="B262" s="107"/>
      <c r="C262" s="108"/>
      <c r="D262" s="303"/>
      <c r="E262" s="105"/>
      <c r="F262" s="105"/>
      <c r="G262" s="105"/>
      <c r="H262" s="105"/>
      <c r="I262" s="105"/>
      <c r="J262" s="108"/>
      <c r="K262" s="108"/>
      <c r="L262" s="105"/>
      <c r="M262" s="116"/>
      <c r="N262" s="106"/>
      <c r="O262" s="483"/>
      <c r="P262" s="483"/>
      <c r="Q262" s="109"/>
      <c r="R262" s="289"/>
      <c r="S262" s="107"/>
      <c r="T262" s="106"/>
      <c r="U262" s="106"/>
      <c r="V262" s="127">
        <f>Table62689345679[[#This Row],[PO Value]]-Table62689345679[[#This Row],[Offer Value]]</f>
        <v>0</v>
      </c>
      <c r="W262" s="106"/>
      <c r="X262" s="106"/>
      <c r="Y262" s="217"/>
      <c r="Z262" s="257"/>
    </row>
    <row r="263" spans="1:26" ht="15.6">
      <c r="A263" s="106"/>
      <c r="B263" s="107"/>
      <c r="C263" s="108"/>
      <c r="D263" s="303"/>
      <c r="E263" s="105"/>
      <c r="F263" s="105"/>
      <c r="G263" s="105"/>
      <c r="H263" s="105"/>
      <c r="I263" s="105"/>
      <c r="J263" s="108"/>
      <c r="K263" s="108"/>
      <c r="L263" s="105"/>
      <c r="M263" s="105"/>
      <c r="N263" s="106"/>
      <c r="O263" s="483"/>
      <c r="P263" s="483"/>
      <c r="Q263" s="109"/>
      <c r="R263" s="289"/>
      <c r="S263" s="107"/>
      <c r="T263" s="106"/>
      <c r="U263" s="106"/>
      <c r="V263" s="127">
        <f>Table62689345679[[#This Row],[PO Value]]-Table62689345679[[#This Row],[Offer Value]]</f>
        <v>0</v>
      </c>
      <c r="W263" s="106"/>
      <c r="X263" s="106"/>
      <c r="Y263" s="217"/>
      <c r="Z263" s="257"/>
    </row>
    <row r="264" spans="1:26" ht="15.6">
      <c r="A264" s="106"/>
      <c r="B264" s="107"/>
      <c r="C264" s="108"/>
      <c r="D264" s="303"/>
      <c r="E264" s="105"/>
      <c r="F264" s="105"/>
      <c r="G264" s="105"/>
      <c r="H264" s="105"/>
      <c r="I264" s="105"/>
      <c r="J264" s="108"/>
      <c r="K264" s="108"/>
      <c r="L264" s="105"/>
      <c r="M264" s="105"/>
      <c r="N264" s="106"/>
      <c r="O264" s="483"/>
      <c r="P264" s="483"/>
      <c r="Q264" s="109"/>
      <c r="R264" s="289"/>
      <c r="S264" s="107"/>
      <c r="T264" s="106"/>
      <c r="U264" s="106"/>
      <c r="V264" s="127">
        <f>Table62689345679[[#This Row],[PO Value]]-Table62689345679[[#This Row],[Offer Value]]</f>
        <v>0</v>
      </c>
      <c r="W264" s="106"/>
      <c r="X264" s="106"/>
      <c r="Y264" s="217"/>
      <c r="Z264" s="257"/>
    </row>
    <row r="265" spans="1:26" ht="15.6">
      <c r="A265" s="106"/>
      <c r="B265" s="107"/>
      <c r="C265" s="108"/>
      <c r="D265" s="303"/>
      <c r="E265" s="105"/>
      <c r="F265" s="105"/>
      <c r="G265" s="105"/>
      <c r="H265" s="105"/>
      <c r="I265" s="105"/>
      <c r="J265" s="108"/>
      <c r="K265" s="108"/>
      <c r="L265" s="105"/>
      <c r="M265" s="105"/>
      <c r="N265" s="106"/>
      <c r="O265" s="483"/>
      <c r="P265" s="483"/>
      <c r="Q265" s="109"/>
      <c r="R265" s="256"/>
      <c r="S265" s="107"/>
      <c r="T265" s="106"/>
      <c r="U265" s="106"/>
      <c r="V265" s="127">
        <f>Table62689345679[[#This Row],[PO Value]]-Table62689345679[[#This Row],[Offer Value]]</f>
        <v>0</v>
      </c>
      <c r="W265" s="106"/>
      <c r="X265" s="106"/>
      <c r="Y265" s="617"/>
      <c r="Z265" s="257"/>
    </row>
    <row r="266" spans="1:26" ht="15.6">
      <c r="A266" s="106"/>
      <c r="B266" s="107"/>
      <c r="C266" s="108"/>
      <c r="D266" s="303"/>
      <c r="E266" s="105"/>
      <c r="F266" s="105"/>
      <c r="G266" s="105"/>
      <c r="H266" s="105"/>
      <c r="I266" s="105"/>
      <c r="J266" s="108"/>
      <c r="K266" s="108"/>
      <c r="L266" s="105"/>
      <c r="M266" s="105"/>
      <c r="N266" s="106"/>
      <c r="O266" s="483"/>
      <c r="P266" s="483"/>
      <c r="Q266" s="109"/>
      <c r="R266" s="289"/>
      <c r="S266" s="107"/>
      <c r="T266" s="106"/>
      <c r="U266" s="106"/>
      <c r="V266" s="127">
        <f>Table62689345679[[#This Row],[PO Value]]-Table62689345679[[#This Row],[Offer Value]]</f>
        <v>0</v>
      </c>
      <c r="W266" s="106"/>
      <c r="X266" s="106"/>
      <c r="Y266" s="217"/>
      <c r="Z266" s="257"/>
    </row>
    <row r="267" spans="1:26" ht="15.6">
      <c r="A267" s="106"/>
      <c r="B267" s="107"/>
      <c r="C267" s="108"/>
      <c r="D267" s="303"/>
      <c r="E267" s="105"/>
      <c r="F267" s="105"/>
      <c r="G267" s="105"/>
      <c r="H267" s="105"/>
      <c r="I267" s="105"/>
      <c r="J267" s="108"/>
      <c r="K267" s="108"/>
      <c r="L267" s="105"/>
      <c r="M267" s="105"/>
      <c r="N267" s="106"/>
      <c r="O267" s="483"/>
      <c r="P267" s="483"/>
      <c r="Q267" s="109"/>
      <c r="R267" s="289"/>
      <c r="S267" s="107"/>
      <c r="T267" s="106"/>
      <c r="U267" s="106"/>
      <c r="V267" s="127">
        <f>Table62689345679[[#This Row],[PO Value]]-Table62689345679[[#This Row],[Offer Value]]</f>
        <v>0</v>
      </c>
      <c r="W267" s="106"/>
      <c r="X267" s="106"/>
      <c r="Y267" s="217"/>
      <c r="Z267" s="257"/>
    </row>
    <row r="268" spans="1:26" ht="15.6">
      <c r="A268" s="106"/>
      <c r="B268" s="107"/>
      <c r="C268" s="108"/>
      <c r="D268" s="303"/>
      <c r="E268" s="105"/>
      <c r="F268" s="105"/>
      <c r="G268" s="105"/>
      <c r="H268" s="105"/>
      <c r="I268" s="105"/>
      <c r="J268" s="108"/>
      <c r="K268" s="108"/>
      <c r="L268" s="105"/>
      <c r="M268" s="105"/>
      <c r="N268" s="106"/>
      <c r="O268" s="483"/>
      <c r="P268" s="483"/>
      <c r="Q268" s="109"/>
      <c r="R268" s="256"/>
      <c r="S268" s="107"/>
      <c r="T268" s="106"/>
      <c r="U268" s="106"/>
      <c r="V268" s="127">
        <f>Table62689345679[[#This Row],[PO Value]]-Table62689345679[[#This Row],[Offer Value]]</f>
        <v>0</v>
      </c>
      <c r="W268" s="106"/>
      <c r="X268" s="106"/>
      <c r="Y268" s="617"/>
      <c r="Z268" s="257"/>
    </row>
    <row r="269" spans="1:26" ht="15.6">
      <c r="A269" s="106"/>
      <c r="B269" s="107"/>
      <c r="C269" s="108"/>
      <c r="D269" s="303"/>
      <c r="E269" s="105"/>
      <c r="F269" s="105"/>
      <c r="G269" s="105"/>
      <c r="H269" s="105"/>
      <c r="I269" s="105"/>
      <c r="J269" s="108"/>
      <c r="K269" s="108"/>
      <c r="L269" s="105"/>
      <c r="M269" s="105"/>
      <c r="N269" s="106"/>
      <c r="O269" s="483"/>
      <c r="P269" s="483"/>
      <c r="Q269" s="109"/>
      <c r="R269" s="256"/>
      <c r="S269" s="107"/>
      <c r="T269" s="106"/>
      <c r="U269" s="106"/>
      <c r="V269" s="127">
        <f>Table62689345679[[#This Row],[PO Value]]-Table62689345679[[#This Row],[Offer Value]]</f>
        <v>0</v>
      </c>
      <c r="W269" s="106"/>
      <c r="X269" s="106"/>
      <c r="Y269" s="617"/>
      <c r="Z269" s="257"/>
    </row>
    <row r="270" spans="1:26" ht="15.6">
      <c r="A270" s="106"/>
      <c r="B270" s="107"/>
      <c r="C270" s="108"/>
      <c r="D270" s="303"/>
      <c r="E270" s="105"/>
      <c r="F270" s="105"/>
      <c r="G270" s="105"/>
      <c r="H270" s="105"/>
      <c r="I270" s="105"/>
      <c r="J270" s="108"/>
      <c r="K270" s="108"/>
      <c r="L270" s="105"/>
      <c r="M270" s="105"/>
      <c r="N270" s="106"/>
      <c r="O270" s="483"/>
      <c r="P270" s="483"/>
      <c r="Q270" s="109"/>
      <c r="R270" s="289"/>
      <c r="S270" s="107"/>
      <c r="T270" s="106"/>
      <c r="U270" s="106"/>
      <c r="V270" s="127">
        <f>Table62689345679[[#This Row],[PO Value]]-Table62689345679[[#This Row],[Offer Value]]</f>
        <v>0</v>
      </c>
      <c r="W270" s="106"/>
      <c r="X270" s="106"/>
      <c r="Y270" s="217"/>
      <c r="Z270" s="257"/>
    </row>
    <row r="271" spans="1:26" ht="15.6">
      <c r="A271" s="106"/>
      <c r="B271" s="107"/>
      <c r="C271" s="108"/>
      <c r="D271" s="303"/>
      <c r="E271" s="105"/>
      <c r="F271" s="105"/>
      <c r="G271" s="105"/>
      <c r="H271" s="105"/>
      <c r="I271" s="105"/>
      <c r="J271" s="108"/>
      <c r="K271" s="108"/>
      <c r="L271" s="105"/>
      <c r="M271" s="116"/>
      <c r="N271" s="106"/>
      <c r="O271" s="483"/>
      <c r="P271" s="483"/>
      <c r="Q271" s="109"/>
      <c r="R271" s="256"/>
      <c r="S271" s="107"/>
      <c r="T271" s="106"/>
      <c r="U271" s="106"/>
      <c r="V271" s="127">
        <f>Table62689345679[[#This Row],[PO Value]]-Table62689345679[[#This Row],[Offer Value]]</f>
        <v>0</v>
      </c>
      <c r="W271" s="106"/>
      <c r="X271" s="106"/>
      <c r="Y271" s="617"/>
      <c r="Z271" s="257"/>
    </row>
    <row r="272" spans="1:26" ht="15.6">
      <c r="A272" s="106"/>
      <c r="B272" s="106"/>
      <c r="C272" s="108"/>
      <c r="D272" s="303"/>
      <c r="E272" s="105"/>
      <c r="F272" s="105"/>
      <c r="G272" s="105"/>
      <c r="H272" s="105"/>
      <c r="I272" s="105"/>
      <c r="J272" s="108"/>
      <c r="K272" s="108"/>
      <c r="L272" s="105"/>
      <c r="M272" s="105"/>
      <c r="N272" s="106"/>
      <c r="O272" s="483"/>
      <c r="P272" s="483"/>
      <c r="Q272" s="109"/>
      <c r="R272" s="289"/>
      <c r="S272" s="107"/>
      <c r="T272" s="106"/>
      <c r="U272" s="106"/>
      <c r="V272" s="127">
        <f>Table62689345679[[#This Row],[PO Value]]-Table62689345679[[#This Row],[Offer Value]]</f>
        <v>0</v>
      </c>
      <c r="W272" s="106"/>
      <c r="X272" s="106"/>
      <c r="Y272" s="217"/>
      <c r="Z272" s="257"/>
    </row>
    <row r="273" spans="1:26" ht="15.6">
      <c r="A273" s="106"/>
      <c r="B273" s="106"/>
      <c r="C273" s="108"/>
      <c r="D273" s="303"/>
      <c r="E273" s="105"/>
      <c r="F273" s="105"/>
      <c r="G273" s="105"/>
      <c r="H273" s="105"/>
      <c r="I273" s="105"/>
      <c r="J273" s="108"/>
      <c r="K273" s="108"/>
      <c r="L273" s="105"/>
      <c r="M273" s="116"/>
      <c r="N273" s="106"/>
      <c r="O273" s="483"/>
      <c r="P273" s="483"/>
      <c r="Q273" s="109"/>
      <c r="R273" s="289"/>
      <c r="S273" s="107"/>
      <c r="T273" s="106"/>
      <c r="U273" s="106"/>
      <c r="V273" s="127">
        <f>Table62689345679[[#This Row],[PO Value]]-Table62689345679[[#This Row],[Offer Value]]</f>
        <v>0</v>
      </c>
      <c r="W273" s="106"/>
      <c r="X273" s="106"/>
      <c r="Y273" s="217"/>
      <c r="Z273" s="257"/>
    </row>
    <row r="274" spans="1:26" ht="15.6">
      <c r="A274" s="106"/>
      <c r="B274" s="106"/>
      <c r="C274" s="108"/>
      <c r="D274" s="303"/>
      <c r="E274" s="105"/>
      <c r="F274" s="105"/>
      <c r="G274" s="105"/>
      <c r="H274" s="105"/>
      <c r="I274" s="105"/>
      <c r="J274" s="108"/>
      <c r="K274" s="108"/>
      <c r="L274" s="105"/>
      <c r="M274" s="116"/>
      <c r="N274" s="106"/>
      <c r="O274" s="483"/>
      <c r="P274" s="483"/>
      <c r="Q274" s="109"/>
      <c r="R274" s="289"/>
      <c r="S274" s="107"/>
      <c r="T274" s="106"/>
      <c r="U274" s="106"/>
      <c r="V274" s="127">
        <f>Table62689345679[[#This Row],[PO Value]]-Table62689345679[[#This Row],[Offer Value]]</f>
        <v>0</v>
      </c>
      <c r="W274" s="106"/>
      <c r="X274" s="106"/>
      <c r="Y274" s="217"/>
      <c r="Z274" s="257"/>
    </row>
    <row r="275" spans="1:26" ht="15.6">
      <c r="A275" s="106"/>
      <c r="B275" s="106"/>
      <c r="C275" s="108"/>
      <c r="D275" s="303"/>
      <c r="E275" s="105"/>
      <c r="F275" s="105"/>
      <c r="G275" s="105"/>
      <c r="H275" s="105"/>
      <c r="I275" s="105"/>
      <c r="J275" s="108"/>
      <c r="K275" s="108"/>
      <c r="L275" s="105"/>
      <c r="M275" s="105"/>
      <c r="N275" s="106"/>
      <c r="O275" s="483"/>
      <c r="P275" s="483"/>
      <c r="Q275" s="109"/>
      <c r="R275" s="289"/>
      <c r="S275" s="107"/>
      <c r="T275" s="106"/>
      <c r="U275" s="106"/>
      <c r="V275" s="127">
        <f>Table62689345679[[#This Row],[PO Value]]-Table62689345679[[#This Row],[Offer Value]]</f>
        <v>0</v>
      </c>
      <c r="W275" s="106"/>
      <c r="X275" s="106"/>
      <c r="Y275" s="217"/>
      <c r="Z275" s="257"/>
    </row>
    <row r="276" spans="1:26" ht="15.6">
      <c r="A276" s="106"/>
      <c r="B276" s="106"/>
      <c r="C276" s="108"/>
      <c r="D276" s="303"/>
      <c r="E276" s="105"/>
      <c r="F276" s="105"/>
      <c r="G276" s="105"/>
      <c r="H276" s="105"/>
      <c r="I276" s="105"/>
      <c r="J276" s="108"/>
      <c r="K276" s="108"/>
      <c r="L276" s="105"/>
      <c r="M276" s="105"/>
      <c r="N276" s="106"/>
      <c r="O276" s="483"/>
      <c r="P276" s="483"/>
      <c r="Q276" s="109"/>
      <c r="R276" s="289"/>
      <c r="S276" s="107"/>
      <c r="T276" s="106"/>
      <c r="U276" s="106"/>
      <c r="V276" s="127">
        <f>Table62689345679[[#This Row],[PO Value]]-Table62689345679[[#This Row],[Offer Value]]</f>
        <v>0</v>
      </c>
      <c r="W276" s="106"/>
      <c r="X276" s="106"/>
      <c r="Y276" s="217"/>
      <c r="Z276" s="257"/>
    </row>
    <row r="277" spans="1:26" ht="15.6">
      <c r="A277" s="106"/>
      <c r="B277" s="106"/>
      <c r="C277" s="108"/>
      <c r="D277" s="303"/>
      <c r="E277" s="113"/>
      <c r="F277" s="113"/>
      <c r="G277" s="113"/>
      <c r="H277" s="113"/>
      <c r="I277" s="105"/>
      <c r="J277" s="108"/>
      <c r="K277" s="108"/>
      <c r="L277" s="105"/>
      <c r="M277" s="116"/>
      <c r="N277" s="106"/>
      <c r="O277" s="483"/>
      <c r="P277" s="483"/>
      <c r="Q277" s="109"/>
      <c r="R277" s="289"/>
      <c r="S277" s="107"/>
      <c r="T277" s="106"/>
      <c r="U277" s="106"/>
      <c r="V277" s="127">
        <f>Table62689345679[[#This Row],[PO Value]]-Table62689345679[[#This Row],[Offer Value]]</f>
        <v>0</v>
      </c>
      <c r="W277" s="106"/>
      <c r="X277" s="106"/>
      <c r="Y277" s="217"/>
      <c r="Z277" s="257"/>
    </row>
    <row r="278" spans="1:26" ht="15.6">
      <c r="A278" s="106"/>
      <c r="B278" s="106"/>
      <c r="C278" s="108"/>
      <c r="D278" s="303"/>
      <c r="E278" s="105"/>
      <c r="F278" s="105"/>
      <c r="G278" s="105"/>
      <c r="H278" s="105"/>
      <c r="I278" s="105"/>
      <c r="J278" s="108"/>
      <c r="K278" s="108"/>
      <c r="L278" s="105"/>
      <c r="M278" s="105"/>
      <c r="N278" s="106"/>
      <c r="O278" s="483"/>
      <c r="P278" s="483"/>
      <c r="Q278" s="109"/>
      <c r="R278" s="289"/>
      <c r="S278" s="107"/>
      <c r="T278" s="106"/>
      <c r="U278" s="106"/>
      <c r="V278" s="127">
        <f>Table62689345679[[#This Row],[PO Value]]-Table62689345679[[#This Row],[Offer Value]]</f>
        <v>0</v>
      </c>
      <c r="W278" s="106"/>
      <c r="X278" s="106"/>
      <c r="Y278" s="217"/>
      <c r="Z278" s="257"/>
    </row>
    <row r="279" spans="1:26" ht="15.6">
      <c r="A279" s="106"/>
      <c r="B279" s="106"/>
      <c r="C279" s="108"/>
      <c r="D279" s="303"/>
      <c r="E279" s="105"/>
      <c r="F279" s="105"/>
      <c r="G279" s="105"/>
      <c r="H279" s="105"/>
      <c r="I279" s="105"/>
      <c r="J279" s="108"/>
      <c r="K279" s="108"/>
      <c r="L279" s="105"/>
      <c r="M279" s="105"/>
      <c r="N279" s="106"/>
      <c r="O279" s="483"/>
      <c r="P279" s="483"/>
      <c r="Q279" s="109"/>
      <c r="R279" s="289"/>
      <c r="S279" s="107"/>
      <c r="T279" s="106"/>
      <c r="U279" s="106"/>
      <c r="V279" s="127">
        <f>Table62689345679[[#This Row],[PO Value]]-Table62689345679[[#This Row],[Offer Value]]</f>
        <v>0</v>
      </c>
      <c r="W279" s="106"/>
      <c r="X279" s="106"/>
      <c r="Y279" s="217"/>
      <c r="Z279" s="257"/>
    </row>
    <row r="280" spans="1:26" ht="15.6">
      <c r="A280" s="106"/>
      <c r="B280" s="106"/>
      <c r="C280" s="108"/>
      <c r="D280" s="303"/>
      <c r="E280" s="105"/>
      <c r="F280" s="105"/>
      <c r="G280" s="105"/>
      <c r="H280" s="105"/>
      <c r="I280" s="105"/>
      <c r="J280" s="108"/>
      <c r="K280" s="108"/>
      <c r="L280" s="105"/>
      <c r="M280" s="105"/>
      <c r="N280" s="106"/>
      <c r="O280" s="483"/>
      <c r="P280" s="483"/>
      <c r="Q280" s="109"/>
      <c r="R280" s="289"/>
      <c r="S280" s="107"/>
      <c r="T280" s="106"/>
      <c r="U280" s="106"/>
      <c r="V280" s="127">
        <f>Table62689345679[[#This Row],[PO Value]]-Table62689345679[[#This Row],[Offer Value]]</f>
        <v>0</v>
      </c>
      <c r="W280" s="106"/>
      <c r="X280" s="106"/>
      <c r="Y280" s="217"/>
      <c r="Z280" s="257"/>
    </row>
    <row r="281" spans="1:26" ht="15.6">
      <c r="A281" s="106"/>
      <c r="B281" s="106"/>
      <c r="C281" s="108"/>
      <c r="D281" s="303"/>
      <c r="E281" s="105"/>
      <c r="F281" s="105"/>
      <c r="G281" s="105"/>
      <c r="H281" s="105"/>
      <c r="I281" s="105"/>
      <c r="J281" s="108"/>
      <c r="K281" s="108"/>
      <c r="L281" s="105"/>
      <c r="M281" s="105"/>
      <c r="N281" s="106"/>
      <c r="O281" s="483"/>
      <c r="P281" s="483"/>
      <c r="Q281" s="109"/>
      <c r="R281" s="289"/>
      <c r="S281" s="107"/>
      <c r="T281" s="106"/>
      <c r="U281" s="106"/>
      <c r="V281" s="127">
        <f>Table62689345679[[#This Row],[PO Value]]-Table62689345679[[#This Row],[Offer Value]]</f>
        <v>0</v>
      </c>
      <c r="W281" s="106"/>
      <c r="X281" s="106"/>
      <c r="Y281" s="217"/>
      <c r="Z281" s="257"/>
    </row>
    <row r="282" spans="1:26" ht="15.6">
      <c r="A282" s="106"/>
      <c r="B282" s="106"/>
      <c r="C282" s="108"/>
      <c r="D282" s="303"/>
      <c r="E282" s="105"/>
      <c r="F282" s="105"/>
      <c r="G282" s="105"/>
      <c r="H282" s="105"/>
      <c r="I282" s="105"/>
      <c r="J282" s="108"/>
      <c r="K282" s="108"/>
      <c r="L282" s="105"/>
      <c r="M282" s="105"/>
      <c r="N282" s="106"/>
      <c r="O282" s="483"/>
      <c r="P282" s="483"/>
      <c r="Q282" s="109"/>
      <c r="R282" s="289"/>
      <c r="S282" s="107"/>
      <c r="T282" s="106"/>
      <c r="U282" s="106"/>
      <c r="V282" s="127">
        <f>Table62689345679[[#This Row],[PO Value]]-Table62689345679[[#This Row],[Offer Value]]</f>
        <v>0</v>
      </c>
      <c r="W282" s="106"/>
      <c r="X282" s="106"/>
      <c r="Y282" s="217"/>
      <c r="Z282" s="257"/>
    </row>
    <row r="283" spans="1:26" ht="15.6">
      <c r="A283" s="106"/>
      <c r="B283" s="106"/>
      <c r="C283" s="108"/>
      <c r="D283" s="303"/>
      <c r="E283" s="105"/>
      <c r="F283" s="105"/>
      <c r="G283" s="105"/>
      <c r="H283" s="105"/>
      <c r="I283" s="105"/>
      <c r="J283" s="108"/>
      <c r="K283" s="108"/>
      <c r="L283" s="105"/>
      <c r="M283" s="105"/>
      <c r="N283" s="106"/>
      <c r="O283" s="483"/>
      <c r="P283" s="483"/>
      <c r="Q283" s="109"/>
      <c r="R283" s="289"/>
      <c r="S283" s="107"/>
      <c r="T283" s="106"/>
      <c r="U283" s="106"/>
      <c r="V283" s="127">
        <f>Table62689345679[[#This Row],[PO Value]]-Table62689345679[[#This Row],[Offer Value]]</f>
        <v>0</v>
      </c>
      <c r="W283" s="106"/>
      <c r="X283" s="106"/>
      <c r="Y283" s="217"/>
      <c r="Z283" s="257"/>
    </row>
    <row r="284" spans="1:26" ht="15.6">
      <c r="A284" s="106"/>
      <c r="B284" s="106"/>
      <c r="C284" s="108"/>
      <c r="D284" s="303"/>
      <c r="E284" s="105"/>
      <c r="F284" s="105"/>
      <c r="G284" s="105"/>
      <c r="H284" s="105"/>
      <c r="I284" s="105"/>
      <c r="J284" s="108"/>
      <c r="K284" s="108"/>
      <c r="L284" s="105"/>
      <c r="M284" s="116"/>
      <c r="N284" s="106"/>
      <c r="O284" s="483"/>
      <c r="P284" s="483"/>
      <c r="Q284" s="109"/>
      <c r="R284" s="256"/>
      <c r="S284" s="107"/>
      <c r="T284" s="106"/>
      <c r="U284" s="106"/>
      <c r="V284" s="127">
        <f>Table62689345679[[#This Row],[PO Value]]-Table62689345679[[#This Row],[Offer Value]]</f>
        <v>0</v>
      </c>
      <c r="W284" s="106"/>
      <c r="X284" s="106"/>
      <c r="Y284" s="617"/>
      <c r="Z284" s="257"/>
    </row>
    <row r="285" spans="1:26" ht="15.6">
      <c r="A285" s="106"/>
      <c r="B285" s="106"/>
      <c r="C285" s="108"/>
      <c r="D285" s="303"/>
      <c r="E285" s="105"/>
      <c r="F285" s="105"/>
      <c r="G285" s="105"/>
      <c r="H285" s="105"/>
      <c r="I285" s="105"/>
      <c r="J285" s="108"/>
      <c r="K285" s="108"/>
      <c r="L285" s="105"/>
      <c r="M285" s="116"/>
      <c r="N285" s="106"/>
      <c r="O285" s="483"/>
      <c r="P285" s="483"/>
      <c r="Q285" s="109"/>
      <c r="R285" s="256"/>
      <c r="S285" s="107"/>
      <c r="T285" s="106"/>
      <c r="U285" s="106"/>
      <c r="V285" s="127">
        <f>Table62689345679[[#This Row],[PO Value]]-Table62689345679[[#This Row],[Offer Value]]</f>
        <v>0</v>
      </c>
      <c r="W285" s="106"/>
      <c r="X285" s="106"/>
      <c r="Y285" s="617"/>
      <c r="Z285" s="257"/>
    </row>
    <row r="286" spans="1:26" ht="15.6">
      <c r="A286" s="106"/>
      <c r="B286" s="107"/>
      <c r="C286" s="108"/>
      <c r="D286" s="303"/>
      <c r="E286" s="105"/>
      <c r="F286" s="105"/>
      <c r="G286" s="105"/>
      <c r="H286" s="105"/>
      <c r="I286" s="105"/>
      <c r="J286" s="108"/>
      <c r="K286" s="108"/>
      <c r="L286" s="106"/>
      <c r="M286" s="107"/>
      <c r="N286" s="106"/>
      <c r="O286" s="483"/>
      <c r="P286" s="483"/>
      <c r="Q286" s="109"/>
      <c r="R286" s="289"/>
      <c r="S286" s="107"/>
      <c r="T286" s="106"/>
      <c r="U286" s="106"/>
      <c r="V286" s="127">
        <f>Table62689345679[[#This Row],[PO Value]]-Table62689345679[[#This Row],[Offer Value]]</f>
        <v>0</v>
      </c>
      <c r="W286" s="106"/>
      <c r="X286" s="106"/>
      <c r="Y286" s="217"/>
      <c r="Z286" s="257"/>
    </row>
    <row r="287" spans="1:26" ht="15.6">
      <c r="A287" s="106"/>
      <c r="B287" s="107"/>
      <c r="C287" s="108"/>
      <c r="D287" s="303"/>
      <c r="E287" s="105"/>
      <c r="F287" s="105"/>
      <c r="G287" s="105"/>
      <c r="H287" s="105"/>
      <c r="I287" s="105"/>
      <c r="J287" s="108"/>
      <c r="K287" s="108"/>
      <c r="L287" s="106"/>
      <c r="M287" s="106"/>
      <c r="N287" s="106"/>
      <c r="O287" s="483"/>
      <c r="P287" s="483"/>
      <c r="Q287" s="109"/>
      <c r="R287" s="289"/>
      <c r="S287" s="107"/>
      <c r="T287" s="106"/>
      <c r="U287" s="106"/>
      <c r="V287" s="127">
        <f>Table62689345679[[#This Row],[PO Value]]-Table62689345679[[#This Row],[Offer Value]]</f>
        <v>0</v>
      </c>
      <c r="W287" s="106"/>
      <c r="X287" s="106"/>
      <c r="Y287" s="217"/>
      <c r="Z287" s="257"/>
    </row>
    <row r="288" spans="1:26" ht="15.6">
      <c r="A288" s="106"/>
      <c r="B288" s="107"/>
      <c r="C288" s="108"/>
      <c r="D288" s="303"/>
      <c r="E288" s="105"/>
      <c r="F288" s="105"/>
      <c r="G288" s="105"/>
      <c r="H288" s="105"/>
      <c r="I288" s="105"/>
      <c r="J288" s="108"/>
      <c r="K288" s="108"/>
      <c r="L288" s="106"/>
      <c r="M288" s="106"/>
      <c r="N288" s="106"/>
      <c r="O288" s="483"/>
      <c r="P288" s="483"/>
      <c r="Q288" s="109"/>
      <c r="R288" s="289"/>
      <c r="S288" s="107"/>
      <c r="T288" s="106"/>
      <c r="U288" s="106"/>
      <c r="V288" s="127">
        <f>Table62689345679[[#This Row],[PO Value]]-Table62689345679[[#This Row],[Offer Value]]</f>
        <v>0</v>
      </c>
      <c r="W288" s="106"/>
      <c r="X288" s="106"/>
      <c r="Y288" s="217"/>
      <c r="Z288" s="257"/>
    </row>
    <row r="289" spans="1:26" ht="15.6">
      <c r="A289" s="106"/>
      <c r="B289" s="107"/>
      <c r="C289" s="108"/>
      <c r="D289" s="303"/>
      <c r="E289" s="105"/>
      <c r="F289" s="105"/>
      <c r="G289" s="105"/>
      <c r="H289" s="105"/>
      <c r="I289" s="105"/>
      <c r="J289" s="108"/>
      <c r="K289" s="108"/>
      <c r="L289" s="106"/>
      <c r="M289" s="106"/>
      <c r="N289" s="106"/>
      <c r="O289" s="483"/>
      <c r="P289" s="483"/>
      <c r="Q289" s="109"/>
      <c r="R289" s="289"/>
      <c r="S289" s="107"/>
      <c r="T289" s="106"/>
      <c r="U289" s="106"/>
      <c r="V289" s="127">
        <f>Table62689345679[[#This Row],[PO Value]]-Table62689345679[[#This Row],[Offer Value]]</f>
        <v>0</v>
      </c>
      <c r="W289" s="106"/>
      <c r="X289" s="106"/>
      <c r="Y289" s="217"/>
      <c r="Z289" s="257"/>
    </row>
    <row r="290" spans="1:26" ht="15.6">
      <c r="A290" s="106"/>
      <c r="B290" s="107"/>
      <c r="C290" s="108"/>
      <c r="D290" s="303"/>
      <c r="E290" s="105"/>
      <c r="F290" s="105"/>
      <c r="G290" s="105"/>
      <c r="H290" s="105"/>
      <c r="I290" s="105"/>
      <c r="J290" s="108"/>
      <c r="K290" s="108"/>
      <c r="L290" s="106"/>
      <c r="M290" s="106"/>
      <c r="N290" s="106"/>
      <c r="O290" s="483"/>
      <c r="P290" s="483"/>
      <c r="Q290" s="109"/>
      <c r="R290" s="256"/>
      <c r="S290" s="107"/>
      <c r="T290" s="106"/>
      <c r="U290" s="106"/>
      <c r="V290" s="127">
        <f>Table62689345679[[#This Row],[PO Value]]-Table62689345679[[#This Row],[Offer Value]]</f>
        <v>0</v>
      </c>
      <c r="W290" s="106"/>
      <c r="X290" s="106"/>
      <c r="Y290" s="617"/>
      <c r="Z290" s="257"/>
    </row>
    <row r="291" spans="1:26" ht="15.6">
      <c r="A291" s="106"/>
      <c r="B291" s="107"/>
      <c r="C291" s="108"/>
      <c r="D291" s="303"/>
      <c r="E291" s="105"/>
      <c r="F291" s="105"/>
      <c r="G291" s="105"/>
      <c r="H291" s="105"/>
      <c r="I291" s="105"/>
      <c r="J291" s="108"/>
      <c r="K291" s="108"/>
      <c r="L291" s="106"/>
      <c r="M291" s="106"/>
      <c r="N291" s="106"/>
      <c r="O291" s="483"/>
      <c r="P291" s="483"/>
      <c r="Q291" s="109"/>
      <c r="R291" s="256"/>
      <c r="S291" s="107"/>
      <c r="T291" s="106"/>
      <c r="U291" s="106"/>
      <c r="V291" s="127">
        <f>Table62689345679[[#This Row],[PO Value]]-Table62689345679[[#This Row],[Offer Value]]</f>
        <v>0</v>
      </c>
      <c r="W291" s="106"/>
      <c r="X291" s="106"/>
      <c r="Y291" s="617"/>
      <c r="Z291" s="257"/>
    </row>
    <row r="292" spans="1:26" ht="15.6">
      <c r="A292" s="106"/>
      <c r="B292" s="107"/>
      <c r="C292" s="108"/>
      <c r="D292" s="303"/>
      <c r="E292" s="105"/>
      <c r="F292" s="105"/>
      <c r="G292" s="105"/>
      <c r="H292" s="105"/>
      <c r="I292" s="105"/>
      <c r="J292" s="108"/>
      <c r="K292" s="108"/>
      <c r="L292" s="106"/>
      <c r="M292" s="107"/>
      <c r="N292" s="106"/>
      <c r="O292" s="483"/>
      <c r="P292" s="483"/>
      <c r="Q292" s="109"/>
      <c r="R292" s="289"/>
      <c r="S292" s="107"/>
      <c r="T292" s="106"/>
      <c r="U292" s="106"/>
      <c r="V292" s="127">
        <f>Table62689345679[[#This Row],[PO Value]]-Table62689345679[[#This Row],[Offer Value]]</f>
        <v>0</v>
      </c>
      <c r="W292" s="106"/>
      <c r="X292" s="106"/>
      <c r="Y292" s="217"/>
      <c r="Z292" s="257"/>
    </row>
    <row r="293" spans="1:26" ht="15.6">
      <c r="A293" s="106"/>
      <c r="B293" s="107"/>
      <c r="C293" s="108"/>
      <c r="D293" s="303"/>
      <c r="E293" s="105"/>
      <c r="F293" s="105"/>
      <c r="G293" s="105"/>
      <c r="H293" s="105"/>
      <c r="I293" s="105"/>
      <c r="J293" s="108"/>
      <c r="K293" s="108"/>
      <c r="L293" s="106"/>
      <c r="M293" s="107"/>
      <c r="N293" s="106"/>
      <c r="O293" s="483"/>
      <c r="P293" s="483"/>
      <c r="Q293" s="109"/>
      <c r="R293" s="289"/>
      <c r="S293" s="107"/>
      <c r="T293" s="106"/>
      <c r="U293" s="106"/>
      <c r="V293" s="127">
        <f>Table62689345679[[#This Row],[PO Value]]-Table62689345679[[#This Row],[Offer Value]]</f>
        <v>0</v>
      </c>
      <c r="W293" s="106"/>
      <c r="X293" s="106"/>
      <c r="Y293" s="217"/>
      <c r="Z293" s="257"/>
    </row>
    <row r="294" spans="1:26" ht="15.6">
      <c r="A294" s="106"/>
      <c r="B294" s="107"/>
      <c r="C294" s="108"/>
      <c r="D294" s="303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483"/>
      <c r="P294" s="483"/>
      <c r="Q294" s="109"/>
      <c r="R294" s="289"/>
      <c r="S294" s="107"/>
      <c r="T294" s="106"/>
      <c r="U294" s="106"/>
      <c r="V294" s="127">
        <f>Table62689345679[[#This Row],[PO Value]]-Table62689345679[[#This Row],[Offer Value]]</f>
        <v>0</v>
      </c>
      <c r="W294" s="106"/>
      <c r="X294" s="106"/>
      <c r="Y294" s="217"/>
      <c r="Z294" s="257"/>
    </row>
    <row r="295" spans="1:26" ht="15.6">
      <c r="A295" s="106"/>
      <c r="B295" s="107"/>
      <c r="C295" s="108"/>
      <c r="D295" s="303"/>
      <c r="E295" s="105"/>
      <c r="F295" s="105"/>
      <c r="G295" s="105"/>
      <c r="H295" s="105"/>
      <c r="I295" s="105"/>
      <c r="J295" s="108"/>
      <c r="K295" s="108"/>
      <c r="L295" s="106"/>
      <c r="M295" s="106"/>
      <c r="N295" s="106"/>
      <c r="O295" s="483"/>
      <c r="P295" s="483"/>
      <c r="Q295" s="109"/>
      <c r="R295" s="289"/>
      <c r="S295" s="107"/>
      <c r="T295" s="106"/>
      <c r="U295" s="106"/>
      <c r="V295" s="127">
        <f>Table62689345679[[#This Row],[PO Value]]-Table62689345679[[#This Row],[Offer Value]]</f>
        <v>0</v>
      </c>
      <c r="W295" s="106"/>
      <c r="X295" s="106"/>
      <c r="Y295" s="217"/>
      <c r="Z295" s="257"/>
    </row>
    <row r="296" spans="1:26" ht="15.6">
      <c r="A296" s="106"/>
      <c r="B296" s="107"/>
      <c r="C296" s="108"/>
      <c r="D296" s="303"/>
      <c r="E296" s="105"/>
      <c r="F296" s="105"/>
      <c r="G296" s="105"/>
      <c r="H296" s="105"/>
      <c r="I296" s="105"/>
      <c r="J296" s="108"/>
      <c r="K296" s="108"/>
      <c r="L296" s="106"/>
      <c r="M296" s="106"/>
      <c r="N296" s="106"/>
      <c r="O296" s="483"/>
      <c r="P296" s="483"/>
      <c r="Q296" s="109"/>
      <c r="R296" s="289"/>
      <c r="S296" s="107"/>
      <c r="T296" s="106"/>
      <c r="U296" s="106"/>
      <c r="V296" s="127">
        <f>Table62689345679[[#This Row],[PO Value]]-Table62689345679[[#This Row],[Offer Value]]</f>
        <v>0</v>
      </c>
      <c r="W296" s="106"/>
      <c r="X296" s="106"/>
      <c r="Y296" s="217"/>
      <c r="Z296" s="257"/>
    </row>
    <row r="297" spans="1:26" ht="15.6">
      <c r="A297" s="106"/>
      <c r="B297" s="107"/>
      <c r="C297" s="108"/>
      <c r="D297" s="303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483"/>
      <c r="P297" s="483"/>
      <c r="Q297" s="109"/>
      <c r="R297" s="256"/>
      <c r="S297" s="107"/>
      <c r="T297" s="106"/>
      <c r="U297" s="106"/>
      <c r="V297" s="127">
        <f>Table62689345679[[#This Row],[PO Value]]-Table62689345679[[#This Row],[Offer Value]]</f>
        <v>0</v>
      </c>
      <c r="W297" s="106"/>
      <c r="X297" s="106"/>
      <c r="Y297" s="617"/>
      <c r="Z297" s="257"/>
    </row>
    <row r="298" spans="1:26" ht="15.6">
      <c r="A298" s="106"/>
      <c r="B298" s="107"/>
      <c r="C298" s="108"/>
      <c r="D298" s="303"/>
      <c r="E298" s="105"/>
      <c r="F298" s="105"/>
      <c r="G298" s="105"/>
      <c r="H298" s="105"/>
      <c r="I298" s="105"/>
      <c r="J298" s="108"/>
      <c r="K298" s="108"/>
      <c r="L298" s="106"/>
      <c r="M298" s="106"/>
      <c r="N298" s="106"/>
      <c r="O298" s="483"/>
      <c r="P298" s="483"/>
      <c r="Q298" s="109"/>
      <c r="R298" s="289"/>
      <c r="S298" s="107"/>
      <c r="T298" s="106"/>
      <c r="U298" s="106"/>
      <c r="V298" s="127">
        <f>Table62689345679[[#This Row],[PO Value]]-Table62689345679[[#This Row],[Offer Value]]</f>
        <v>0</v>
      </c>
      <c r="W298" s="106"/>
      <c r="X298" s="106"/>
      <c r="Y298" s="217"/>
      <c r="Z298" s="257"/>
    </row>
    <row r="299" spans="1:26" ht="15.6">
      <c r="A299" s="106"/>
      <c r="B299" s="107"/>
      <c r="C299" s="108"/>
      <c r="D299" s="303"/>
      <c r="E299" s="105"/>
      <c r="F299" s="105"/>
      <c r="G299" s="105"/>
      <c r="H299" s="105"/>
      <c r="I299" s="105"/>
      <c r="J299" s="108"/>
      <c r="K299" s="108"/>
      <c r="L299" s="106"/>
      <c r="M299" s="106"/>
      <c r="N299" s="106"/>
      <c r="O299" s="483"/>
      <c r="P299" s="483"/>
      <c r="Q299" s="109"/>
      <c r="R299" s="289"/>
      <c r="S299" s="107"/>
      <c r="T299" s="106"/>
      <c r="U299" s="106"/>
      <c r="V299" s="127">
        <f>Table62689345679[[#This Row],[PO Value]]-Table62689345679[[#This Row],[Offer Value]]</f>
        <v>0</v>
      </c>
      <c r="W299" s="106"/>
      <c r="X299" s="106"/>
      <c r="Y299" s="217"/>
      <c r="Z299" s="257"/>
    </row>
    <row r="300" spans="1:26" ht="15.6">
      <c r="A300" s="106"/>
      <c r="B300" s="107"/>
      <c r="C300" s="108"/>
      <c r="D300" s="303"/>
      <c r="E300" s="105"/>
      <c r="F300" s="105"/>
      <c r="G300" s="105"/>
      <c r="H300" s="105"/>
      <c r="I300" s="105"/>
      <c r="J300" s="108"/>
      <c r="K300" s="108"/>
      <c r="L300" s="106"/>
      <c r="M300" s="106"/>
      <c r="N300" s="106"/>
      <c r="O300" s="483"/>
      <c r="P300" s="483"/>
      <c r="Q300" s="109"/>
      <c r="R300" s="289"/>
      <c r="S300" s="107"/>
      <c r="T300" s="106"/>
      <c r="U300" s="106"/>
      <c r="V300" s="127">
        <f>Table62689345679[[#This Row],[PO Value]]-Table62689345679[[#This Row],[Offer Value]]</f>
        <v>0</v>
      </c>
      <c r="W300" s="106"/>
      <c r="X300" s="106"/>
      <c r="Y300" s="217"/>
      <c r="Z300" s="257"/>
    </row>
    <row r="301" spans="1:26" ht="15.6">
      <c r="A301" s="106"/>
      <c r="B301" s="107"/>
      <c r="C301" s="108"/>
      <c r="D301" s="303"/>
      <c r="E301" s="105"/>
      <c r="F301" s="105"/>
      <c r="G301" s="105"/>
      <c r="H301" s="105"/>
      <c r="I301" s="105"/>
      <c r="J301" s="108"/>
      <c r="K301" s="108"/>
      <c r="L301" s="106"/>
      <c r="M301" s="107"/>
      <c r="N301" s="106"/>
      <c r="O301" s="483"/>
      <c r="P301" s="483"/>
      <c r="Q301" s="109"/>
      <c r="R301" s="289"/>
      <c r="S301" s="107"/>
      <c r="T301" s="106"/>
      <c r="U301" s="106"/>
      <c r="V301" s="127">
        <f>Table62689345679[[#This Row],[PO Value]]-Table62689345679[[#This Row],[Offer Value]]</f>
        <v>0</v>
      </c>
      <c r="W301" s="106"/>
      <c r="X301" s="106"/>
      <c r="Y301" s="217"/>
      <c r="Z301" s="257"/>
    </row>
    <row r="302" spans="1:26" ht="15.6">
      <c r="A302" s="106"/>
      <c r="B302" s="107"/>
      <c r="C302" s="108"/>
      <c r="D302" s="303"/>
      <c r="E302" s="105"/>
      <c r="F302" s="105"/>
      <c r="G302" s="105"/>
      <c r="H302" s="105"/>
      <c r="I302" s="105"/>
      <c r="J302" s="108"/>
      <c r="K302" s="108"/>
      <c r="L302" s="106"/>
      <c r="M302" s="106"/>
      <c r="N302" s="106"/>
      <c r="O302" s="483"/>
      <c r="P302" s="483"/>
      <c r="Q302" s="109"/>
      <c r="R302" s="256"/>
      <c r="S302" s="107"/>
      <c r="T302" s="106"/>
      <c r="U302" s="106"/>
      <c r="V302" s="127">
        <f>Table62689345679[[#This Row],[PO Value]]-Table62689345679[[#This Row],[Offer Value]]</f>
        <v>0</v>
      </c>
      <c r="W302" s="106"/>
      <c r="X302" s="106"/>
      <c r="Y302" s="617"/>
      <c r="Z302" s="257"/>
    </row>
    <row r="303" spans="1:26" ht="15.6">
      <c r="A303" s="106"/>
      <c r="B303" s="106"/>
      <c r="C303" s="108"/>
      <c r="D303" s="303"/>
      <c r="E303" s="105"/>
      <c r="F303" s="105"/>
      <c r="G303" s="105"/>
      <c r="H303" s="105"/>
      <c r="I303" s="105"/>
      <c r="J303" s="108"/>
      <c r="K303" s="108"/>
      <c r="L303" s="106"/>
      <c r="M303" s="106"/>
      <c r="N303" s="106"/>
      <c r="O303" s="483"/>
      <c r="P303" s="483"/>
      <c r="Q303" s="109"/>
      <c r="R303" s="289"/>
      <c r="S303" s="107"/>
      <c r="T303" s="106"/>
      <c r="U303" s="106"/>
      <c r="V303" s="127">
        <f>Table62689345679[[#This Row],[PO Value]]-Table62689345679[[#This Row],[Offer Value]]</f>
        <v>0</v>
      </c>
      <c r="W303" s="106"/>
      <c r="X303" s="106"/>
      <c r="Y303" s="217"/>
      <c r="Z303" s="257"/>
    </row>
    <row r="304" spans="1:26" ht="15.6">
      <c r="A304" s="106"/>
      <c r="B304" s="106"/>
      <c r="C304" s="108"/>
      <c r="D304" s="303"/>
      <c r="E304" s="105"/>
      <c r="F304" s="105"/>
      <c r="G304" s="105"/>
      <c r="H304" s="105"/>
      <c r="I304" s="105"/>
      <c r="J304" s="108"/>
      <c r="K304" s="108"/>
      <c r="L304" s="106"/>
      <c r="M304" s="107"/>
      <c r="N304" s="106"/>
      <c r="O304" s="483"/>
      <c r="P304" s="483"/>
      <c r="Q304" s="109"/>
      <c r="R304" s="289"/>
      <c r="S304" s="107"/>
      <c r="T304" s="106"/>
      <c r="U304" s="106"/>
      <c r="V304" s="127">
        <f>Table62689345679[[#This Row],[PO Value]]-Table62689345679[[#This Row],[Offer Value]]</f>
        <v>0</v>
      </c>
      <c r="W304" s="106"/>
      <c r="X304" s="106"/>
      <c r="Y304" s="217"/>
      <c r="Z304" s="257"/>
    </row>
    <row r="305" spans="1:26" ht="15.6">
      <c r="A305" s="106"/>
      <c r="B305" s="106"/>
      <c r="C305" s="108"/>
      <c r="D305" s="303"/>
      <c r="E305" s="105"/>
      <c r="F305" s="105"/>
      <c r="G305" s="105"/>
      <c r="H305" s="105"/>
      <c r="I305" s="105"/>
      <c r="J305" s="108"/>
      <c r="K305" s="108"/>
      <c r="L305" s="106"/>
      <c r="M305" s="107"/>
      <c r="N305" s="106"/>
      <c r="O305" s="483"/>
      <c r="P305" s="483"/>
      <c r="Q305" s="109"/>
      <c r="R305" s="289"/>
      <c r="S305" s="107"/>
      <c r="T305" s="106"/>
      <c r="U305" s="106"/>
      <c r="V305" s="127">
        <f>Table62689345679[[#This Row],[PO Value]]-Table62689345679[[#This Row],[Offer Value]]</f>
        <v>0</v>
      </c>
      <c r="W305" s="106"/>
      <c r="X305" s="106"/>
      <c r="Y305" s="217"/>
      <c r="Z305" s="257"/>
    </row>
    <row r="306" spans="1:26" ht="15.6">
      <c r="A306" s="106"/>
      <c r="B306" s="106"/>
      <c r="C306" s="108"/>
      <c r="D306" s="303"/>
      <c r="E306" s="105"/>
      <c r="F306" s="105"/>
      <c r="G306" s="105"/>
      <c r="H306" s="105"/>
      <c r="I306" s="105"/>
      <c r="J306" s="108"/>
      <c r="K306" s="108"/>
      <c r="L306" s="106"/>
      <c r="M306" s="107"/>
      <c r="N306" s="106"/>
      <c r="O306" s="483"/>
      <c r="P306" s="483"/>
      <c r="Q306" s="109"/>
      <c r="R306" s="289"/>
      <c r="S306" s="107"/>
      <c r="T306" s="106"/>
      <c r="U306" s="106"/>
      <c r="V306" s="127">
        <f>Table62689345679[[#This Row],[PO Value]]-Table62689345679[[#This Row],[Offer Value]]</f>
        <v>0</v>
      </c>
      <c r="W306" s="106"/>
      <c r="X306" s="106"/>
      <c r="Y306" s="217"/>
      <c r="Z306" s="257"/>
    </row>
    <row r="307" spans="1:26" ht="15.6">
      <c r="A307" s="106"/>
      <c r="B307" s="106"/>
      <c r="C307" s="108"/>
      <c r="D307" s="303"/>
      <c r="E307" s="105"/>
      <c r="F307" s="105"/>
      <c r="G307" s="105"/>
      <c r="H307" s="105"/>
      <c r="I307" s="105"/>
      <c r="J307" s="108"/>
      <c r="K307" s="108"/>
      <c r="L307" s="106"/>
      <c r="M307" s="107"/>
      <c r="N307" s="106"/>
      <c r="O307" s="483"/>
      <c r="P307" s="483"/>
      <c r="Q307" s="109"/>
      <c r="R307" s="289"/>
      <c r="S307" s="107"/>
      <c r="T307" s="106"/>
      <c r="U307" s="106"/>
      <c r="V307" s="127">
        <f>Table62689345679[[#This Row],[PO Value]]-Table62689345679[[#This Row],[Offer Value]]</f>
        <v>0</v>
      </c>
      <c r="W307" s="106"/>
      <c r="X307" s="106"/>
      <c r="Y307" s="217"/>
      <c r="Z307" s="257"/>
    </row>
    <row r="308" spans="1:26" ht="15.6">
      <c r="A308" s="106"/>
      <c r="B308" s="106"/>
      <c r="C308" s="108"/>
      <c r="D308" s="303"/>
      <c r="E308" s="105"/>
      <c r="F308" s="105"/>
      <c r="G308" s="105"/>
      <c r="H308" s="105"/>
      <c r="I308" s="105"/>
      <c r="J308" s="108"/>
      <c r="K308" s="108"/>
      <c r="L308" s="106"/>
      <c r="M308" s="107"/>
      <c r="N308" s="106"/>
      <c r="O308" s="483"/>
      <c r="P308" s="483"/>
      <c r="Q308" s="109"/>
      <c r="R308" s="289"/>
      <c r="S308" s="107"/>
      <c r="T308" s="106"/>
      <c r="U308" s="106"/>
      <c r="V308" s="127">
        <f>Table62689345679[[#This Row],[PO Value]]-Table62689345679[[#This Row],[Offer Value]]</f>
        <v>0</v>
      </c>
      <c r="W308" s="106"/>
      <c r="X308" s="106"/>
      <c r="Y308" s="217"/>
      <c r="Z308" s="257"/>
    </row>
    <row r="309" spans="1:26" ht="15.6">
      <c r="A309" s="106"/>
      <c r="B309" s="106"/>
      <c r="C309" s="108"/>
      <c r="D309" s="303"/>
      <c r="E309" s="105"/>
      <c r="F309" s="105"/>
      <c r="G309" s="105"/>
      <c r="H309" s="105"/>
      <c r="I309" s="105"/>
      <c r="J309" s="108"/>
      <c r="K309" s="108"/>
      <c r="L309" s="106"/>
      <c r="M309" s="107"/>
      <c r="N309" s="106"/>
      <c r="O309" s="483"/>
      <c r="P309" s="483"/>
      <c r="Q309" s="109"/>
      <c r="R309" s="289"/>
      <c r="S309" s="107"/>
      <c r="T309" s="106"/>
      <c r="U309" s="106"/>
      <c r="V309" s="127">
        <f>Table62689345679[[#This Row],[PO Value]]-Table62689345679[[#This Row],[Offer Value]]</f>
        <v>0</v>
      </c>
      <c r="W309" s="106"/>
      <c r="X309" s="106"/>
      <c r="Y309" s="217"/>
      <c r="Z309" s="257"/>
    </row>
    <row r="310" spans="1:26" ht="15.6">
      <c r="A310" s="106"/>
      <c r="B310" s="106"/>
      <c r="C310" s="108"/>
      <c r="D310" s="303"/>
      <c r="E310" s="105"/>
      <c r="F310" s="105"/>
      <c r="G310" s="105"/>
      <c r="H310" s="105"/>
      <c r="I310" s="105"/>
      <c r="J310" s="108"/>
      <c r="K310" s="108"/>
      <c r="L310" s="106"/>
      <c r="M310" s="107"/>
      <c r="N310" s="106"/>
      <c r="O310" s="483"/>
      <c r="P310" s="483"/>
      <c r="Q310" s="109"/>
      <c r="R310" s="289"/>
      <c r="S310" s="107"/>
      <c r="T310" s="106"/>
      <c r="U310" s="106"/>
      <c r="V310" s="127">
        <f>Table62689345679[[#This Row],[PO Value]]-Table62689345679[[#This Row],[Offer Value]]</f>
        <v>0</v>
      </c>
      <c r="W310" s="106"/>
      <c r="X310" s="106"/>
      <c r="Y310" s="217"/>
      <c r="Z310" s="257"/>
    </row>
    <row r="311" spans="1:26" ht="15.6">
      <c r="A311" s="106"/>
      <c r="B311" s="106"/>
      <c r="C311" s="108"/>
      <c r="D311" s="303"/>
      <c r="E311" s="105"/>
      <c r="F311" s="105"/>
      <c r="G311" s="105"/>
      <c r="H311" s="105"/>
      <c r="I311" s="105"/>
      <c r="J311" s="108"/>
      <c r="K311" s="108"/>
      <c r="L311" s="106"/>
      <c r="M311" s="107"/>
      <c r="N311" s="106"/>
      <c r="O311" s="483"/>
      <c r="P311" s="483"/>
      <c r="Q311" s="109"/>
      <c r="R311" s="289"/>
      <c r="S311" s="107"/>
      <c r="T311" s="106"/>
      <c r="U311" s="106"/>
      <c r="V311" s="127">
        <f>Table62689345679[[#This Row],[PO Value]]-Table62689345679[[#This Row],[Offer Value]]</f>
        <v>0</v>
      </c>
      <c r="W311" s="106"/>
      <c r="X311" s="106"/>
      <c r="Y311" s="217"/>
      <c r="Z311" s="257"/>
    </row>
    <row r="312" spans="1:26" ht="15.6">
      <c r="A312" s="106"/>
      <c r="B312" s="106"/>
      <c r="C312" s="108"/>
      <c r="D312" s="303"/>
      <c r="E312" s="105"/>
      <c r="F312" s="105"/>
      <c r="G312" s="105"/>
      <c r="H312" s="105"/>
      <c r="I312" s="105"/>
      <c r="J312" s="108"/>
      <c r="K312" s="108"/>
      <c r="L312" s="106"/>
      <c r="M312" s="106"/>
      <c r="N312" s="106"/>
      <c r="O312" s="483"/>
      <c r="P312" s="483"/>
      <c r="Q312" s="109"/>
      <c r="R312" s="289"/>
      <c r="S312" s="107"/>
      <c r="T312" s="106"/>
      <c r="U312" s="106"/>
      <c r="V312" s="127">
        <f>Table62689345679[[#This Row],[PO Value]]-Table62689345679[[#This Row],[Offer Value]]</f>
        <v>0</v>
      </c>
      <c r="W312" s="106"/>
      <c r="X312" s="106"/>
      <c r="Y312" s="217"/>
      <c r="Z312" s="257"/>
    </row>
    <row r="313" spans="1:26" ht="15.6">
      <c r="A313" s="106"/>
      <c r="B313" s="106"/>
      <c r="C313" s="108"/>
      <c r="D313" s="303"/>
      <c r="E313" s="105"/>
      <c r="F313" s="105"/>
      <c r="G313" s="105"/>
      <c r="H313" s="105"/>
      <c r="I313" s="105"/>
      <c r="J313" s="108"/>
      <c r="K313" s="108"/>
      <c r="L313" s="106"/>
      <c r="M313" s="106"/>
      <c r="N313" s="106"/>
      <c r="O313" s="483"/>
      <c r="P313" s="483"/>
      <c r="Q313" s="109"/>
      <c r="R313" s="289"/>
      <c r="S313" s="107"/>
      <c r="T313" s="106"/>
      <c r="U313" s="106"/>
      <c r="V313" s="127">
        <f>Table62689345679[[#This Row],[PO Value]]-Table62689345679[[#This Row],[Offer Value]]</f>
        <v>0</v>
      </c>
      <c r="W313" s="106"/>
      <c r="X313" s="106"/>
      <c r="Y313" s="217"/>
      <c r="Z313" s="257"/>
    </row>
    <row r="314" spans="1:26" ht="15.6">
      <c r="A314" s="106"/>
      <c r="B314" s="106"/>
      <c r="C314" s="108"/>
      <c r="D314" s="303"/>
      <c r="E314" s="105"/>
      <c r="F314" s="105"/>
      <c r="G314" s="105"/>
      <c r="H314" s="105"/>
      <c r="I314" s="105"/>
      <c r="J314" s="108"/>
      <c r="K314" s="108"/>
      <c r="L314" s="106"/>
      <c r="M314" s="106"/>
      <c r="N314" s="106"/>
      <c r="O314" s="483"/>
      <c r="P314" s="483"/>
      <c r="Q314" s="109"/>
      <c r="R314" s="289"/>
      <c r="S314" s="107"/>
      <c r="T314" s="106"/>
      <c r="U314" s="106"/>
      <c r="V314" s="127">
        <f>Table62689345679[[#This Row],[PO Value]]-Table62689345679[[#This Row],[Offer Value]]</f>
        <v>0</v>
      </c>
      <c r="W314" s="106"/>
      <c r="X314" s="106"/>
      <c r="Y314" s="217"/>
      <c r="Z314" s="257"/>
    </row>
    <row r="315" spans="1:26" ht="15.6">
      <c r="A315" s="106"/>
      <c r="B315" s="106"/>
      <c r="C315" s="108"/>
      <c r="D315" s="303"/>
      <c r="E315" s="105"/>
      <c r="F315" s="105"/>
      <c r="G315" s="105"/>
      <c r="H315" s="105"/>
      <c r="I315" s="105"/>
      <c r="J315" s="108"/>
      <c r="K315" s="108"/>
      <c r="L315" s="106"/>
      <c r="M315" s="106"/>
      <c r="N315" s="106"/>
      <c r="O315" s="483"/>
      <c r="P315" s="483"/>
      <c r="Q315" s="109"/>
      <c r="R315" s="289"/>
      <c r="S315" s="107"/>
      <c r="T315" s="106"/>
      <c r="U315" s="106"/>
      <c r="V315" s="127">
        <f>Table62689345679[[#This Row],[PO Value]]-Table62689345679[[#This Row],[Offer Value]]</f>
        <v>0</v>
      </c>
      <c r="W315" s="106"/>
      <c r="X315" s="106"/>
      <c r="Y315" s="217"/>
      <c r="Z315" s="257"/>
    </row>
    <row r="316" spans="1:26" ht="15.6">
      <c r="A316" s="106"/>
      <c r="B316" s="106"/>
      <c r="C316" s="108"/>
      <c r="D316" s="303"/>
      <c r="E316" s="105"/>
      <c r="F316" s="105"/>
      <c r="G316" s="105"/>
      <c r="H316" s="105"/>
      <c r="I316" s="105"/>
      <c r="J316" s="108"/>
      <c r="K316" s="108"/>
      <c r="L316" s="106"/>
      <c r="M316" s="106"/>
      <c r="N316" s="106"/>
      <c r="O316" s="483"/>
      <c r="P316" s="483"/>
      <c r="Q316" s="109"/>
      <c r="R316" s="289"/>
      <c r="S316" s="107"/>
      <c r="T316" s="106"/>
      <c r="U316" s="106"/>
      <c r="V316" s="127">
        <f>Table62689345679[[#This Row],[PO Value]]-Table62689345679[[#This Row],[Offer Value]]</f>
        <v>0</v>
      </c>
      <c r="W316" s="106"/>
      <c r="X316" s="106"/>
      <c r="Y316" s="217"/>
      <c r="Z316" s="257"/>
    </row>
    <row r="317" spans="1:26" ht="15.6">
      <c r="A317" s="106"/>
      <c r="B317" s="106"/>
      <c r="C317" s="108"/>
      <c r="D317" s="303"/>
      <c r="E317" s="105"/>
      <c r="F317" s="105"/>
      <c r="G317" s="105"/>
      <c r="H317" s="105"/>
      <c r="I317" s="105"/>
      <c r="J317" s="108"/>
      <c r="K317" s="108"/>
      <c r="L317" s="106"/>
      <c r="M317" s="107"/>
      <c r="N317" s="106"/>
      <c r="O317" s="483"/>
      <c r="P317" s="483"/>
      <c r="Q317" s="109"/>
      <c r="R317" s="289"/>
      <c r="S317" s="107"/>
      <c r="T317" s="106"/>
      <c r="U317" s="106"/>
      <c r="V317" s="127">
        <f>Table62689345679[[#This Row],[PO Value]]-Table62689345679[[#This Row],[Offer Value]]</f>
        <v>0</v>
      </c>
      <c r="W317" s="106"/>
      <c r="X317" s="106"/>
      <c r="Y317" s="217"/>
      <c r="Z317" s="257"/>
    </row>
    <row r="318" spans="1:26" ht="15.6">
      <c r="A318" s="106"/>
      <c r="B318" s="106"/>
      <c r="C318" s="108"/>
      <c r="D318" s="303"/>
      <c r="E318" s="105"/>
      <c r="F318" s="105"/>
      <c r="G318" s="105"/>
      <c r="H318" s="105"/>
      <c r="I318" s="105"/>
      <c r="J318" s="108"/>
      <c r="K318" s="108"/>
      <c r="L318" s="106"/>
      <c r="M318" s="106"/>
      <c r="N318" s="106"/>
      <c r="O318" s="483"/>
      <c r="P318" s="483"/>
      <c r="Q318" s="109"/>
      <c r="R318" s="289"/>
      <c r="S318" s="107"/>
      <c r="T318" s="106"/>
      <c r="U318" s="106"/>
      <c r="V318" s="127">
        <f>Table62689345679[[#This Row],[PO Value]]-Table62689345679[[#This Row],[Offer Value]]</f>
        <v>0</v>
      </c>
      <c r="W318" s="106"/>
      <c r="X318" s="106"/>
      <c r="Y318" s="217"/>
      <c r="Z318" s="257"/>
    </row>
    <row r="319" spans="1:26" ht="15.6">
      <c r="A319" s="106"/>
      <c r="B319" s="106"/>
      <c r="C319" s="108"/>
      <c r="D319" s="303"/>
      <c r="E319" s="105"/>
      <c r="F319" s="105"/>
      <c r="G319" s="105"/>
      <c r="H319" s="105"/>
      <c r="I319" s="105"/>
      <c r="J319" s="108"/>
      <c r="K319" s="108"/>
      <c r="L319" s="106"/>
      <c r="M319" s="106"/>
      <c r="N319" s="106"/>
      <c r="O319" s="483"/>
      <c r="P319" s="483"/>
      <c r="Q319" s="109"/>
      <c r="R319" s="289"/>
      <c r="S319" s="107"/>
      <c r="T319" s="106"/>
      <c r="U319" s="106"/>
      <c r="V319" s="127">
        <f>Table62689345679[[#This Row],[PO Value]]-Table62689345679[[#This Row],[Offer Value]]</f>
        <v>0</v>
      </c>
      <c r="W319" s="106"/>
      <c r="X319" s="106"/>
      <c r="Y319" s="217"/>
      <c r="Z319" s="257"/>
    </row>
    <row r="320" spans="1:26" ht="15.6">
      <c r="A320" s="106"/>
      <c r="B320" s="106"/>
      <c r="C320" s="108"/>
      <c r="D320" s="303"/>
      <c r="E320" s="105"/>
      <c r="F320" s="105"/>
      <c r="G320" s="105"/>
      <c r="H320" s="105"/>
      <c r="I320" s="105"/>
      <c r="J320" s="108"/>
      <c r="K320" s="108"/>
      <c r="L320" s="106"/>
      <c r="M320" s="107"/>
      <c r="N320" s="106"/>
      <c r="O320" s="483"/>
      <c r="P320" s="483"/>
      <c r="Q320" s="109"/>
      <c r="R320" s="289"/>
      <c r="S320" s="107"/>
      <c r="T320" s="106"/>
      <c r="U320" s="106"/>
      <c r="V320" s="127">
        <f>Table62689345679[[#This Row],[PO Value]]-Table62689345679[[#This Row],[Offer Value]]</f>
        <v>0</v>
      </c>
      <c r="W320" s="106"/>
      <c r="X320" s="106"/>
      <c r="Y320" s="217"/>
      <c r="Z320" s="257"/>
    </row>
    <row r="321" spans="1:26" ht="15.6">
      <c r="A321" s="106"/>
      <c r="B321" s="106"/>
      <c r="C321" s="108"/>
      <c r="D321" s="303"/>
      <c r="E321" s="105"/>
      <c r="F321" s="105"/>
      <c r="G321" s="105"/>
      <c r="H321" s="105"/>
      <c r="I321" s="105"/>
      <c r="J321" s="108"/>
      <c r="K321" s="108"/>
      <c r="L321" s="106"/>
      <c r="M321" s="106"/>
      <c r="N321" s="106"/>
      <c r="O321" s="483"/>
      <c r="P321" s="483"/>
      <c r="Q321" s="109"/>
      <c r="R321" s="289"/>
      <c r="S321" s="107"/>
      <c r="T321" s="106"/>
      <c r="U321" s="106"/>
      <c r="V321" s="127">
        <f>Table62689345679[[#This Row],[PO Value]]-Table62689345679[[#This Row],[Offer Value]]</f>
        <v>0</v>
      </c>
      <c r="W321" s="106"/>
      <c r="X321" s="106"/>
      <c r="Y321" s="217"/>
      <c r="Z321" s="257"/>
    </row>
    <row r="322" spans="1:26" ht="15.6">
      <c r="A322" s="106"/>
      <c r="B322" s="106"/>
      <c r="C322" s="108"/>
      <c r="D322" s="303"/>
      <c r="E322" s="105"/>
      <c r="F322" s="105"/>
      <c r="G322" s="105"/>
      <c r="H322" s="105"/>
      <c r="I322" s="105"/>
      <c r="J322" s="108"/>
      <c r="K322" s="108"/>
      <c r="L322" s="106"/>
      <c r="M322" s="106"/>
      <c r="N322" s="106"/>
      <c r="O322" s="483"/>
      <c r="P322" s="483"/>
      <c r="Q322" s="109"/>
      <c r="R322" s="256"/>
      <c r="S322" s="107"/>
      <c r="T322" s="106"/>
      <c r="U322" s="106"/>
      <c r="V322" s="127">
        <f>Table62689345679[[#This Row],[PO Value]]-Table62689345679[[#This Row],[Offer Value]]</f>
        <v>0</v>
      </c>
      <c r="W322" s="106"/>
      <c r="X322" s="106"/>
      <c r="Y322" s="617"/>
      <c r="Z322" s="257"/>
    </row>
    <row r="323" spans="1:26" ht="15.6">
      <c r="A323" s="106"/>
      <c r="B323" s="106"/>
      <c r="C323" s="108"/>
      <c r="D323" s="303"/>
      <c r="E323" s="105"/>
      <c r="F323" s="105"/>
      <c r="G323" s="105"/>
      <c r="H323" s="105"/>
      <c r="I323" s="105"/>
      <c r="J323" s="108"/>
      <c r="K323" s="108"/>
      <c r="L323" s="106"/>
      <c r="M323" s="106"/>
      <c r="N323" s="106"/>
      <c r="O323" s="483"/>
      <c r="P323" s="483"/>
      <c r="Q323" s="109"/>
      <c r="R323" s="289"/>
      <c r="S323" s="107"/>
      <c r="T323" s="106"/>
      <c r="U323" s="106"/>
      <c r="V323" s="127">
        <f>Table62689345679[[#This Row],[PO Value]]-Table62689345679[[#This Row],[Offer Value]]</f>
        <v>0</v>
      </c>
      <c r="W323" s="106"/>
      <c r="X323" s="106"/>
      <c r="Y323" s="217"/>
      <c r="Z323" s="257"/>
    </row>
    <row r="324" spans="1:26" ht="15.6">
      <c r="A324" s="106"/>
      <c r="B324" s="106"/>
      <c r="C324" s="108"/>
      <c r="D324" s="303"/>
      <c r="E324" s="105"/>
      <c r="F324" s="105"/>
      <c r="G324" s="105"/>
      <c r="H324" s="105"/>
      <c r="I324" s="105"/>
      <c r="J324" s="108"/>
      <c r="K324" s="108"/>
      <c r="L324" s="106"/>
      <c r="M324" s="107"/>
      <c r="N324" s="106"/>
      <c r="O324" s="483"/>
      <c r="P324" s="483"/>
      <c r="Q324" s="109"/>
      <c r="R324" s="289"/>
      <c r="S324" s="107"/>
      <c r="T324" s="106"/>
      <c r="U324" s="106"/>
      <c r="V324" s="127">
        <f>Table62689345679[[#This Row],[PO Value]]-Table62689345679[[#This Row],[Offer Value]]</f>
        <v>0</v>
      </c>
      <c r="W324" s="106"/>
      <c r="X324" s="106"/>
      <c r="Y324" s="217"/>
      <c r="Z324" s="257"/>
    </row>
    <row r="325" spans="1:26" ht="15.6">
      <c r="A325" s="106"/>
      <c r="B325" s="106"/>
      <c r="C325" s="108"/>
      <c r="D325" s="303"/>
      <c r="E325" s="105"/>
      <c r="F325" s="105"/>
      <c r="G325" s="105"/>
      <c r="H325" s="105"/>
      <c r="I325" s="105"/>
      <c r="J325" s="108"/>
      <c r="K325" s="108"/>
      <c r="L325" s="106"/>
      <c r="M325" s="106"/>
      <c r="N325" s="106"/>
      <c r="O325" s="483"/>
      <c r="P325" s="483"/>
      <c r="Q325" s="109"/>
      <c r="R325" s="289"/>
      <c r="S325" s="107"/>
      <c r="T325" s="106"/>
      <c r="U325" s="106"/>
      <c r="V325" s="127">
        <f>Table62689345679[[#This Row],[PO Value]]-Table62689345679[[#This Row],[Offer Value]]</f>
        <v>0</v>
      </c>
      <c r="W325" s="106"/>
      <c r="X325" s="106"/>
      <c r="Y325" s="217"/>
      <c r="Z325" s="257"/>
    </row>
    <row r="326" spans="1:26" ht="15.6">
      <c r="A326" s="106"/>
      <c r="B326" s="106"/>
      <c r="C326" s="108"/>
      <c r="D326" s="303"/>
      <c r="E326" s="105"/>
      <c r="F326" s="105"/>
      <c r="G326" s="105"/>
      <c r="H326" s="105"/>
      <c r="I326" s="105"/>
      <c r="J326" s="108"/>
      <c r="K326" s="108"/>
      <c r="L326" s="106"/>
      <c r="M326" s="106"/>
      <c r="N326" s="106"/>
      <c r="O326" s="483"/>
      <c r="P326" s="483"/>
      <c r="Q326" s="109"/>
      <c r="R326" s="289"/>
      <c r="S326" s="107"/>
      <c r="T326" s="106"/>
      <c r="U326" s="106"/>
      <c r="V326" s="127">
        <f>Table62689345679[[#This Row],[PO Value]]-Table62689345679[[#This Row],[Offer Value]]</f>
        <v>0</v>
      </c>
      <c r="W326" s="106"/>
      <c r="X326" s="106"/>
      <c r="Y326" s="217"/>
      <c r="Z326" s="257"/>
    </row>
    <row r="327" spans="1:26" ht="15.6">
      <c r="A327" s="106"/>
      <c r="B327" s="106"/>
      <c r="C327" s="108"/>
      <c r="D327" s="303"/>
      <c r="E327" s="105"/>
      <c r="F327" s="105"/>
      <c r="G327" s="105"/>
      <c r="H327" s="105"/>
      <c r="I327" s="105"/>
      <c r="J327" s="108"/>
      <c r="K327" s="108"/>
      <c r="L327" s="106"/>
      <c r="M327" s="106"/>
      <c r="N327" s="106"/>
      <c r="O327" s="483"/>
      <c r="P327" s="483"/>
      <c r="Q327" s="109"/>
      <c r="R327" s="289"/>
      <c r="S327" s="107"/>
      <c r="T327" s="106"/>
      <c r="U327" s="106"/>
      <c r="V327" s="127">
        <f>Table62689345679[[#This Row],[PO Value]]-Table62689345679[[#This Row],[Offer Value]]</f>
        <v>0</v>
      </c>
      <c r="W327" s="106"/>
      <c r="X327" s="106"/>
      <c r="Y327" s="217"/>
      <c r="Z327" s="257"/>
    </row>
    <row r="328" spans="1:26" ht="15.6">
      <c r="A328" s="106"/>
      <c r="B328" s="106"/>
      <c r="C328" s="108"/>
      <c r="D328" s="303"/>
      <c r="E328" s="105"/>
      <c r="F328" s="105"/>
      <c r="G328" s="105"/>
      <c r="H328" s="105"/>
      <c r="I328" s="105"/>
      <c r="J328" s="108"/>
      <c r="K328" s="108"/>
      <c r="L328" s="106"/>
      <c r="M328" s="107"/>
      <c r="N328" s="106"/>
      <c r="O328" s="483"/>
      <c r="P328" s="483"/>
      <c r="Q328" s="109"/>
      <c r="R328" s="289"/>
      <c r="S328" s="107"/>
      <c r="T328" s="106"/>
      <c r="U328" s="106"/>
      <c r="V328" s="127">
        <f>Table62689345679[[#This Row],[PO Value]]-Table62689345679[[#This Row],[Offer Value]]</f>
        <v>0</v>
      </c>
      <c r="W328" s="106"/>
      <c r="X328" s="106"/>
      <c r="Y328" s="217"/>
      <c r="Z328" s="257"/>
    </row>
    <row r="329" spans="1:26" ht="15.6">
      <c r="A329" s="106"/>
      <c r="B329" s="106"/>
      <c r="C329" s="108"/>
      <c r="D329" s="303"/>
      <c r="E329" s="105"/>
      <c r="F329" s="105"/>
      <c r="G329" s="105"/>
      <c r="H329" s="105"/>
      <c r="I329" s="105"/>
      <c r="J329" s="108"/>
      <c r="K329" s="108"/>
      <c r="L329" s="106"/>
      <c r="M329" s="107"/>
      <c r="N329" s="106"/>
      <c r="O329" s="483"/>
      <c r="P329" s="483"/>
      <c r="Q329" s="109"/>
      <c r="R329" s="289"/>
      <c r="S329" s="107"/>
      <c r="T329" s="106"/>
      <c r="U329" s="106"/>
      <c r="V329" s="127">
        <f>Table62689345679[[#This Row],[PO Value]]-Table62689345679[[#This Row],[Offer Value]]</f>
        <v>0</v>
      </c>
      <c r="W329" s="106"/>
      <c r="X329" s="106"/>
      <c r="Y329" s="217"/>
      <c r="Z329" s="257"/>
    </row>
    <row r="330" spans="1:26" ht="15.6">
      <c r="A330" s="106"/>
      <c r="B330" s="106"/>
      <c r="C330" s="108"/>
      <c r="D330" s="303"/>
      <c r="E330" s="105"/>
      <c r="F330" s="105"/>
      <c r="G330" s="105"/>
      <c r="H330" s="105"/>
      <c r="I330" s="105"/>
      <c r="J330" s="108"/>
      <c r="K330" s="108"/>
      <c r="L330" s="106"/>
      <c r="M330" s="106"/>
      <c r="N330" s="106"/>
      <c r="O330" s="483"/>
      <c r="P330" s="483"/>
      <c r="Q330" s="109"/>
      <c r="R330" s="256"/>
      <c r="S330" s="107"/>
      <c r="T330" s="106"/>
      <c r="U330" s="106"/>
      <c r="V330" s="127">
        <f>Table62689345679[[#This Row],[PO Value]]-Table62689345679[[#This Row],[Offer Value]]</f>
        <v>0</v>
      </c>
      <c r="W330" s="106"/>
      <c r="X330" s="106"/>
      <c r="Y330" s="617"/>
      <c r="Z330" s="257"/>
    </row>
    <row r="331" spans="1:26" ht="15.6">
      <c r="A331" s="106"/>
      <c r="B331" s="106"/>
      <c r="C331" s="108"/>
      <c r="D331" s="303"/>
      <c r="E331" s="106"/>
      <c r="F331" s="106"/>
      <c r="G331" s="106"/>
      <c r="H331" s="106"/>
      <c r="I331" s="105"/>
      <c r="J331" s="108"/>
      <c r="K331" s="108"/>
      <c r="L331" s="106"/>
      <c r="M331" s="106"/>
      <c r="N331" s="106"/>
      <c r="O331" s="483"/>
      <c r="P331" s="483"/>
      <c r="Q331" s="109"/>
      <c r="R331" s="289"/>
      <c r="S331" s="107"/>
      <c r="T331" s="106"/>
      <c r="U331" s="106"/>
      <c r="V331" s="127">
        <f>Table62689345679[[#This Row],[PO Value]]-Table62689345679[[#This Row],[Offer Value]]</f>
        <v>0</v>
      </c>
      <c r="W331" s="106"/>
      <c r="X331" s="106"/>
      <c r="Y331" s="217"/>
      <c r="Z331" s="257"/>
    </row>
    <row r="332" spans="1:26" ht="15.6">
      <c r="A332" s="106"/>
      <c r="B332" s="106"/>
      <c r="C332" s="108"/>
      <c r="D332" s="303"/>
      <c r="E332" s="106"/>
      <c r="F332" s="106"/>
      <c r="G332" s="106"/>
      <c r="H332" s="106"/>
      <c r="I332" s="105"/>
      <c r="J332" s="108"/>
      <c r="K332" s="108"/>
      <c r="L332" s="106"/>
      <c r="M332" s="106"/>
      <c r="N332" s="106"/>
      <c r="O332" s="483"/>
      <c r="P332" s="483"/>
      <c r="Q332" s="109"/>
      <c r="R332" s="289"/>
      <c r="S332" s="107"/>
      <c r="T332" s="106"/>
      <c r="U332" s="106"/>
      <c r="V332" s="127">
        <f>Table62689345679[[#This Row],[PO Value]]-Table62689345679[[#This Row],[Offer Value]]</f>
        <v>0</v>
      </c>
      <c r="W332" s="106"/>
      <c r="X332" s="106"/>
      <c r="Y332" s="217"/>
      <c r="Z332" s="257"/>
    </row>
    <row r="333" spans="1:26" ht="15.6">
      <c r="A333" s="106"/>
      <c r="B333" s="106"/>
      <c r="C333" s="108"/>
      <c r="D333" s="303"/>
      <c r="E333" s="106"/>
      <c r="F333" s="106"/>
      <c r="G333" s="106"/>
      <c r="H333" s="106"/>
      <c r="I333" s="105"/>
      <c r="J333" s="108"/>
      <c r="K333" s="108"/>
      <c r="L333" s="106"/>
      <c r="M333" s="106"/>
      <c r="N333" s="106"/>
      <c r="O333" s="483"/>
      <c r="P333" s="483"/>
      <c r="Q333" s="109"/>
      <c r="R333" s="289"/>
      <c r="S333" s="107"/>
      <c r="T333" s="106"/>
      <c r="U333" s="106"/>
      <c r="V333" s="127">
        <f>Table62689345679[[#This Row],[PO Value]]-Table62689345679[[#This Row],[Offer Value]]</f>
        <v>0</v>
      </c>
      <c r="W333" s="106"/>
      <c r="X333" s="106"/>
      <c r="Y333" s="217"/>
      <c r="Z333" s="257"/>
    </row>
    <row r="334" spans="1:26" ht="15.6">
      <c r="A334" s="106"/>
      <c r="B334" s="106"/>
      <c r="C334" s="108"/>
      <c r="D334" s="303"/>
      <c r="E334" s="106"/>
      <c r="F334" s="106"/>
      <c r="G334" s="106"/>
      <c r="H334" s="106"/>
      <c r="I334" s="105"/>
      <c r="J334" s="108"/>
      <c r="K334" s="108"/>
      <c r="L334" s="106"/>
      <c r="M334" s="106"/>
      <c r="N334" s="106"/>
      <c r="O334" s="483"/>
      <c r="P334" s="483"/>
      <c r="Q334" s="109"/>
      <c r="R334" s="289"/>
      <c r="S334" s="107"/>
      <c r="T334" s="106"/>
      <c r="U334" s="106"/>
      <c r="V334" s="127">
        <f>Table62689345679[[#This Row],[PO Value]]-Table62689345679[[#This Row],[Offer Value]]</f>
        <v>0</v>
      </c>
      <c r="W334" s="106"/>
      <c r="X334" s="106"/>
      <c r="Y334" s="217"/>
      <c r="Z334" s="257"/>
    </row>
    <row r="335" spans="1:26" ht="15.6">
      <c r="A335" s="106"/>
      <c r="B335" s="106"/>
      <c r="C335" s="108"/>
      <c r="D335" s="303"/>
      <c r="E335" s="106"/>
      <c r="F335" s="106"/>
      <c r="G335" s="106"/>
      <c r="H335" s="106"/>
      <c r="I335" s="105"/>
      <c r="J335" s="108"/>
      <c r="K335" s="108"/>
      <c r="L335" s="106"/>
      <c r="M335" s="106"/>
      <c r="N335" s="106"/>
      <c r="O335" s="483"/>
      <c r="P335" s="483"/>
      <c r="Q335" s="109"/>
      <c r="R335" s="289"/>
      <c r="S335" s="107"/>
      <c r="T335" s="106"/>
      <c r="U335" s="106"/>
      <c r="V335" s="127">
        <f>Table62689345679[[#This Row],[PO Value]]-Table62689345679[[#This Row],[Offer Value]]</f>
        <v>0</v>
      </c>
      <c r="W335" s="106"/>
      <c r="X335" s="106"/>
      <c r="Y335" s="217"/>
      <c r="Z335" s="257"/>
    </row>
    <row r="336" spans="1:26" ht="15.6">
      <c r="A336" s="106"/>
      <c r="B336" s="106"/>
      <c r="C336" s="108"/>
      <c r="D336" s="303"/>
      <c r="E336" s="106"/>
      <c r="F336" s="106"/>
      <c r="G336" s="106"/>
      <c r="H336" s="106"/>
      <c r="I336" s="105"/>
      <c r="J336" s="108"/>
      <c r="K336" s="108"/>
      <c r="L336" s="106"/>
      <c r="M336" s="106"/>
      <c r="N336" s="106"/>
      <c r="O336" s="483"/>
      <c r="P336" s="483"/>
      <c r="Q336" s="109"/>
      <c r="R336" s="289"/>
      <c r="S336" s="107"/>
      <c r="T336" s="106"/>
      <c r="U336" s="106"/>
      <c r="V336" s="127">
        <f>Table62689345679[[#This Row],[PO Value]]-Table62689345679[[#This Row],[Offer Value]]</f>
        <v>0</v>
      </c>
      <c r="W336" s="106"/>
      <c r="X336" s="106"/>
      <c r="Y336" s="217"/>
      <c r="Z336" s="257"/>
    </row>
    <row r="337" spans="1:26" ht="15.6">
      <c r="A337" s="106"/>
      <c r="B337" s="106"/>
      <c r="C337" s="108"/>
      <c r="D337" s="303"/>
      <c r="E337" s="106"/>
      <c r="F337" s="106"/>
      <c r="G337" s="106"/>
      <c r="H337" s="106"/>
      <c r="I337" s="105"/>
      <c r="J337" s="108"/>
      <c r="K337" s="108"/>
      <c r="L337" s="106"/>
      <c r="M337" s="106"/>
      <c r="N337" s="106"/>
      <c r="O337" s="483"/>
      <c r="P337" s="483"/>
      <c r="Q337" s="109"/>
      <c r="R337" s="289"/>
      <c r="S337" s="107"/>
      <c r="T337" s="106"/>
      <c r="U337" s="106"/>
      <c r="V337" s="127">
        <f>Table62689345679[[#This Row],[PO Value]]-Table62689345679[[#This Row],[Offer Value]]</f>
        <v>0</v>
      </c>
      <c r="W337" s="106"/>
      <c r="X337" s="106"/>
      <c r="Y337" s="217"/>
      <c r="Z337" s="257"/>
    </row>
    <row r="338" spans="1:26" ht="15.6">
      <c r="A338" s="106"/>
      <c r="B338" s="106"/>
      <c r="C338" s="108"/>
      <c r="D338" s="303"/>
      <c r="E338" s="106"/>
      <c r="F338" s="106"/>
      <c r="G338" s="106"/>
      <c r="H338" s="106"/>
      <c r="I338" s="105"/>
      <c r="J338" s="108"/>
      <c r="K338" s="108"/>
      <c r="L338" s="106"/>
      <c r="M338" s="106"/>
      <c r="N338" s="106"/>
      <c r="O338" s="483"/>
      <c r="P338" s="483"/>
      <c r="Q338" s="109"/>
      <c r="R338" s="289"/>
      <c r="S338" s="107"/>
      <c r="T338" s="106"/>
      <c r="U338" s="106"/>
      <c r="V338" s="127">
        <f>Table62689345679[[#This Row],[PO Value]]-Table62689345679[[#This Row],[Offer Value]]</f>
        <v>0</v>
      </c>
      <c r="W338" s="106"/>
      <c r="X338" s="106"/>
      <c r="Y338" s="217"/>
      <c r="Z338" s="257"/>
    </row>
    <row r="339" spans="1:26" ht="15.6">
      <c r="A339" s="106"/>
      <c r="B339" s="106"/>
      <c r="C339" s="108"/>
      <c r="D339" s="303"/>
      <c r="E339" s="106"/>
      <c r="F339" s="106"/>
      <c r="G339" s="106"/>
      <c r="H339" s="106"/>
      <c r="I339" s="105"/>
      <c r="J339" s="108"/>
      <c r="K339" s="108"/>
      <c r="L339" s="106"/>
      <c r="M339" s="106"/>
      <c r="N339" s="106"/>
      <c r="O339" s="483"/>
      <c r="P339" s="483"/>
      <c r="Q339" s="109"/>
      <c r="R339" s="289"/>
      <c r="S339" s="107"/>
      <c r="T339" s="106"/>
      <c r="U339" s="106"/>
      <c r="V339" s="127">
        <f>Table62689345679[[#This Row],[PO Value]]-Table62689345679[[#This Row],[Offer Value]]</f>
        <v>0</v>
      </c>
      <c r="W339" s="106"/>
      <c r="X339" s="106"/>
      <c r="Y339" s="217"/>
      <c r="Z339" s="257"/>
    </row>
    <row r="340" spans="1:26" ht="15.6">
      <c r="A340" s="106"/>
      <c r="B340" s="106"/>
      <c r="C340" s="108"/>
      <c r="D340" s="303"/>
      <c r="E340" s="106"/>
      <c r="F340" s="106"/>
      <c r="G340" s="106"/>
      <c r="H340" s="106"/>
      <c r="I340" s="105"/>
      <c r="J340" s="108"/>
      <c r="K340" s="108"/>
      <c r="L340" s="106"/>
      <c r="M340" s="106"/>
      <c r="N340" s="106"/>
      <c r="O340" s="483"/>
      <c r="P340" s="483"/>
      <c r="Q340" s="109"/>
      <c r="R340" s="289"/>
      <c r="S340" s="107"/>
      <c r="T340" s="106"/>
      <c r="U340" s="106"/>
      <c r="V340" s="127">
        <f>Table62689345679[[#This Row],[PO Value]]-Table62689345679[[#This Row],[Offer Value]]</f>
        <v>0</v>
      </c>
      <c r="W340" s="106"/>
      <c r="X340" s="106"/>
      <c r="Y340" s="217"/>
      <c r="Z340" s="257"/>
    </row>
    <row r="341" spans="1:26" ht="15.6">
      <c r="A341" s="106"/>
      <c r="B341" s="106"/>
      <c r="C341" s="108"/>
      <c r="D341" s="303"/>
      <c r="E341" s="106"/>
      <c r="F341" s="106"/>
      <c r="G341" s="106"/>
      <c r="H341" s="106"/>
      <c r="I341" s="105"/>
      <c r="J341" s="108"/>
      <c r="K341" s="108"/>
      <c r="L341" s="106"/>
      <c r="M341" s="106"/>
      <c r="N341" s="106"/>
      <c r="O341" s="483"/>
      <c r="P341" s="483"/>
      <c r="Q341" s="109"/>
      <c r="R341" s="289"/>
      <c r="S341" s="107"/>
      <c r="T341" s="106"/>
      <c r="U341" s="106"/>
      <c r="V341" s="127">
        <f>Table62689345679[[#This Row],[PO Value]]-Table62689345679[[#This Row],[Offer Value]]</f>
        <v>0</v>
      </c>
      <c r="W341" s="106"/>
      <c r="X341" s="106"/>
      <c r="Y341" s="217"/>
      <c r="Z341" s="257"/>
    </row>
    <row r="342" spans="1:26" ht="15.6">
      <c r="A342" s="106"/>
      <c r="B342" s="106"/>
      <c r="C342" s="108"/>
      <c r="D342" s="303"/>
      <c r="E342" s="106"/>
      <c r="F342" s="106"/>
      <c r="G342" s="106"/>
      <c r="H342" s="106"/>
      <c r="I342" s="105"/>
      <c r="J342" s="108"/>
      <c r="K342" s="108"/>
      <c r="L342" s="106"/>
      <c r="M342" s="106"/>
      <c r="N342" s="106"/>
      <c r="O342" s="483"/>
      <c r="P342" s="483"/>
      <c r="Q342" s="109"/>
      <c r="R342" s="289"/>
      <c r="S342" s="107"/>
      <c r="T342" s="106"/>
      <c r="U342" s="106"/>
      <c r="V342" s="127">
        <f>Table62689345679[[#This Row],[PO Value]]-Table62689345679[[#This Row],[Offer Value]]</f>
        <v>0</v>
      </c>
      <c r="W342" s="106"/>
      <c r="X342" s="106"/>
      <c r="Y342" s="217"/>
      <c r="Z342" s="257"/>
    </row>
    <row r="343" spans="1:26" ht="15.6">
      <c r="A343" s="106"/>
      <c r="B343" s="106"/>
      <c r="C343" s="108"/>
      <c r="D343" s="303"/>
      <c r="E343" s="106"/>
      <c r="F343" s="106"/>
      <c r="G343" s="106"/>
      <c r="H343" s="106"/>
      <c r="I343" s="105"/>
      <c r="J343" s="108"/>
      <c r="K343" s="108"/>
      <c r="L343" s="106"/>
      <c r="M343" s="106"/>
      <c r="N343" s="106"/>
      <c r="O343" s="483"/>
      <c r="P343" s="483"/>
      <c r="Q343" s="109"/>
      <c r="R343" s="289"/>
      <c r="S343" s="107"/>
      <c r="T343" s="106"/>
      <c r="U343" s="106"/>
      <c r="V343" s="127">
        <f>Table62689345679[[#This Row],[PO Value]]-Table62689345679[[#This Row],[Offer Value]]</f>
        <v>0</v>
      </c>
      <c r="W343" s="106"/>
      <c r="X343" s="106"/>
      <c r="Y343" s="217"/>
      <c r="Z343" s="257"/>
    </row>
    <row r="344" spans="1:26" ht="15.6">
      <c r="A344" s="106"/>
      <c r="B344" s="106"/>
      <c r="C344" s="108"/>
      <c r="D344" s="303"/>
      <c r="E344" s="106"/>
      <c r="F344" s="106"/>
      <c r="G344" s="106"/>
      <c r="H344" s="106"/>
      <c r="I344" s="105"/>
      <c r="J344" s="108"/>
      <c r="K344" s="108"/>
      <c r="L344" s="106"/>
      <c r="M344" s="106"/>
      <c r="N344" s="106"/>
      <c r="O344" s="483"/>
      <c r="P344" s="483"/>
      <c r="Q344" s="109"/>
      <c r="R344" s="289"/>
      <c r="S344" s="107"/>
      <c r="T344" s="106"/>
      <c r="U344" s="106"/>
      <c r="V344" s="127">
        <f>Table62689345679[[#This Row],[PO Value]]-Table62689345679[[#This Row],[Offer Value]]</f>
        <v>0</v>
      </c>
      <c r="W344" s="106"/>
      <c r="X344" s="106"/>
      <c r="Y344" s="217"/>
      <c r="Z344" s="257"/>
    </row>
    <row r="345" spans="1:26" ht="15.6">
      <c r="A345" s="106"/>
      <c r="B345" s="106"/>
      <c r="C345" s="108"/>
      <c r="D345" s="303"/>
      <c r="E345" s="106"/>
      <c r="F345" s="106"/>
      <c r="G345" s="106"/>
      <c r="H345" s="106"/>
      <c r="I345" s="105"/>
      <c r="J345" s="108"/>
      <c r="K345" s="108"/>
      <c r="L345" s="106"/>
      <c r="M345" s="106"/>
      <c r="N345" s="106"/>
      <c r="O345" s="483"/>
      <c r="P345" s="483"/>
      <c r="Q345" s="109"/>
      <c r="R345" s="289"/>
      <c r="S345" s="107"/>
      <c r="T345" s="106"/>
      <c r="U345" s="106"/>
      <c r="V345" s="127">
        <f>Table62689345679[[#This Row],[PO Value]]-Table62689345679[[#This Row],[Offer Value]]</f>
        <v>0</v>
      </c>
      <c r="W345" s="106"/>
      <c r="X345" s="106"/>
      <c r="Y345" s="217"/>
      <c r="Z345" s="257"/>
    </row>
    <row r="346" spans="1:26" ht="15.6">
      <c r="A346" s="106"/>
      <c r="B346" s="106"/>
      <c r="C346" s="108"/>
      <c r="D346" s="303"/>
      <c r="E346" s="106"/>
      <c r="F346" s="106"/>
      <c r="G346" s="106"/>
      <c r="H346" s="106"/>
      <c r="I346" s="105"/>
      <c r="J346" s="108"/>
      <c r="K346" s="108"/>
      <c r="L346" s="106"/>
      <c r="M346" s="106"/>
      <c r="N346" s="106"/>
      <c r="O346" s="483"/>
      <c r="P346" s="483"/>
      <c r="Q346" s="109"/>
      <c r="R346" s="289"/>
      <c r="S346" s="107"/>
      <c r="T346" s="106"/>
      <c r="U346" s="106"/>
      <c r="V346" s="127">
        <f>Table62689345679[[#This Row],[PO Value]]-Table62689345679[[#This Row],[Offer Value]]</f>
        <v>0</v>
      </c>
      <c r="W346" s="106"/>
      <c r="X346" s="106"/>
      <c r="Y346" s="217"/>
      <c r="Z346" s="257"/>
    </row>
    <row r="347" spans="1:26" ht="15.6">
      <c r="A347" s="106"/>
      <c r="B347" s="106"/>
      <c r="C347" s="108"/>
      <c r="D347" s="303"/>
      <c r="E347" s="106"/>
      <c r="F347" s="106"/>
      <c r="G347" s="106"/>
      <c r="H347" s="106"/>
      <c r="I347" s="105"/>
      <c r="J347" s="108"/>
      <c r="K347" s="108"/>
      <c r="L347" s="106"/>
      <c r="M347" s="106"/>
      <c r="N347" s="106"/>
      <c r="O347" s="483"/>
      <c r="P347" s="483"/>
      <c r="Q347" s="109"/>
      <c r="R347" s="289"/>
      <c r="S347" s="107"/>
      <c r="T347" s="106"/>
      <c r="U347" s="106"/>
      <c r="V347" s="127">
        <f>Table62689345679[[#This Row],[PO Value]]-Table62689345679[[#This Row],[Offer Value]]</f>
        <v>0</v>
      </c>
      <c r="W347" s="106"/>
      <c r="X347" s="106"/>
      <c r="Y347" s="217"/>
      <c r="Z347" s="257"/>
    </row>
    <row r="348" spans="1:26" ht="15.6">
      <c r="A348" s="106"/>
      <c r="B348" s="106"/>
      <c r="C348" s="108"/>
      <c r="D348" s="303"/>
      <c r="E348" s="106"/>
      <c r="F348" s="106"/>
      <c r="G348" s="106"/>
      <c r="H348" s="106"/>
      <c r="I348" s="105"/>
      <c r="J348" s="108"/>
      <c r="K348" s="108"/>
      <c r="L348" s="106"/>
      <c r="M348" s="106"/>
      <c r="N348" s="106"/>
      <c r="O348" s="483"/>
      <c r="P348" s="483"/>
      <c r="Q348" s="109"/>
      <c r="R348" s="289"/>
      <c r="S348" s="107"/>
      <c r="T348" s="106"/>
      <c r="U348" s="106"/>
      <c r="V348" s="127">
        <f>Table62689345679[[#This Row],[PO Value]]-Table62689345679[[#This Row],[Offer Value]]</f>
        <v>0</v>
      </c>
      <c r="W348" s="106"/>
      <c r="X348" s="106"/>
      <c r="Y348" s="217"/>
      <c r="Z348" s="257"/>
    </row>
    <row r="349" spans="1:26" ht="15.6">
      <c r="A349" s="106"/>
      <c r="B349" s="106"/>
      <c r="C349" s="108"/>
      <c r="D349" s="303"/>
      <c r="E349" s="106"/>
      <c r="F349" s="106"/>
      <c r="G349" s="106"/>
      <c r="H349" s="106"/>
      <c r="I349" s="105"/>
      <c r="J349" s="108"/>
      <c r="K349" s="108"/>
      <c r="L349" s="106"/>
      <c r="M349" s="106"/>
      <c r="N349" s="106"/>
      <c r="O349" s="483"/>
      <c r="P349" s="483"/>
      <c r="Q349" s="109"/>
      <c r="R349" s="289"/>
      <c r="S349" s="107"/>
      <c r="T349" s="106"/>
      <c r="U349" s="106"/>
      <c r="V349" s="127">
        <f>Table62689345679[[#This Row],[PO Value]]-Table62689345679[[#This Row],[Offer Value]]</f>
        <v>0</v>
      </c>
      <c r="W349" s="106"/>
      <c r="X349" s="106"/>
      <c r="Y349" s="217"/>
      <c r="Z349" s="257"/>
    </row>
    <row r="350" spans="1:26" ht="15.6">
      <c r="A350" s="106"/>
      <c r="B350" s="106"/>
      <c r="C350" s="108"/>
      <c r="D350" s="303"/>
      <c r="E350" s="106"/>
      <c r="F350" s="106"/>
      <c r="G350" s="106"/>
      <c r="H350" s="106"/>
      <c r="I350" s="105"/>
      <c r="J350" s="108"/>
      <c r="K350" s="108"/>
      <c r="L350" s="106"/>
      <c r="M350" s="106"/>
      <c r="N350" s="106"/>
      <c r="O350" s="483"/>
      <c r="P350" s="483"/>
      <c r="Q350" s="109"/>
      <c r="R350" s="289"/>
      <c r="S350" s="107"/>
      <c r="T350" s="106"/>
      <c r="U350" s="106"/>
      <c r="V350" s="127">
        <f>Table62689345679[[#This Row],[PO Value]]-Table62689345679[[#This Row],[Offer Value]]</f>
        <v>0</v>
      </c>
      <c r="W350" s="106"/>
      <c r="X350" s="106"/>
      <c r="Y350" s="217"/>
      <c r="Z350" s="257"/>
    </row>
    <row r="351" spans="1:26" ht="15.6">
      <c r="A351" s="106"/>
      <c r="B351" s="106"/>
      <c r="C351" s="108"/>
      <c r="D351" s="303"/>
      <c r="E351" s="106"/>
      <c r="F351" s="106"/>
      <c r="G351" s="106"/>
      <c r="H351" s="106"/>
      <c r="I351" s="105"/>
      <c r="J351" s="108"/>
      <c r="K351" s="108"/>
      <c r="L351" s="106"/>
      <c r="M351" s="106"/>
      <c r="N351" s="106"/>
      <c r="O351" s="483"/>
      <c r="P351" s="483"/>
      <c r="Q351" s="109"/>
      <c r="R351" s="289"/>
      <c r="S351" s="107"/>
      <c r="T351" s="106"/>
      <c r="U351" s="106"/>
      <c r="V351" s="127">
        <f>Table62689345679[[#This Row],[PO Value]]-Table62689345679[[#This Row],[Offer Value]]</f>
        <v>0</v>
      </c>
      <c r="W351" s="106"/>
      <c r="X351" s="106"/>
      <c r="Y351" s="217"/>
      <c r="Z351" s="257"/>
    </row>
    <row r="352" spans="1:26" ht="15.6">
      <c r="A352" s="106"/>
      <c r="B352" s="106"/>
      <c r="C352" s="108"/>
      <c r="D352" s="303"/>
      <c r="E352" s="106"/>
      <c r="F352" s="106"/>
      <c r="G352" s="106"/>
      <c r="H352" s="106"/>
      <c r="I352" s="105"/>
      <c r="J352" s="108"/>
      <c r="K352" s="108"/>
      <c r="L352" s="106"/>
      <c r="M352" s="106"/>
      <c r="N352" s="106"/>
      <c r="O352" s="483"/>
      <c r="P352" s="483"/>
      <c r="Q352" s="109"/>
      <c r="R352" s="289"/>
      <c r="S352" s="107"/>
      <c r="T352" s="106"/>
      <c r="U352" s="106"/>
      <c r="V352" s="127">
        <f>Table62689345679[[#This Row],[PO Value]]-Table62689345679[[#This Row],[Offer Value]]</f>
        <v>0</v>
      </c>
      <c r="W352" s="106"/>
      <c r="X352" s="106"/>
      <c r="Y352" s="217"/>
      <c r="Z352" s="257"/>
    </row>
    <row r="353" spans="1:26" ht="15.6">
      <c r="A353" s="106"/>
      <c r="B353" s="106"/>
      <c r="C353" s="108"/>
      <c r="D353" s="303"/>
      <c r="E353" s="106"/>
      <c r="F353" s="106"/>
      <c r="G353" s="106"/>
      <c r="H353" s="106"/>
      <c r="I353" s="105"/>
      <c r="J353" s="108"/>
      <c r="K353" s="108"/>
      <c r="L353" s="106"/>
      <c r="M353" s="106"/>
      <c r="N353" s="106"/>
      <c r="O353" s="483"/>
      <c r="P353" s="483"/>
      <c r="Q353" s="109"/>
      <c r="R353" s="289"/>
      <c r="S353" s="107"/>
      <c r="T353" s="106"/>
      <c r="U353" s="106"/>
      <c r="V353" s="127">
        <f>Table62689345679[[#This Row],[PO Value]]-Table62689345679[[#This Row],[Offer Value]]</f>
        <v>0</v>
      </c>
      <c r="W353" s="106"/>
      <c r="X353" s="106"/>
      <c r="Y353" s="217"/>
      <c r="Z353" s="257"/>
    </row>
    <row r="354" spans="1:26" ht="15.6">
      <c r="A354" s="106"/>
      <c r="B354" s="106"/>
      <c r="C354" s="108"/>
      <c r="D354" s="303"/>
      <c r="E354" s="106"/>
      <c r="F354" s="106"/>
      <c r="G354" s="106"/>
      <c r="H354" s="106"/>
      <c r="I354" s="105"/>
      <c r="J354" s="108"/>
      <c r="K354" s="108"/>
      <c r="L354" s="106"/>
      <c r="M354" s="106"/>
      <c r="N354" s="106"/>
      <c r="O354" s="483"/>
      <c r="P354" s="483"/>
      <c r="Q354" s="109"/>
      <c r="R354" s="289"/>
      <c r="S354" s="107"/>
      <c r="T354" s="106"/>
      <c r="U354" s="106"/>
      <c r="V354" s="127">
        <f>Table62689345679[[#This Row],[PO Value]]-Table62689345679[[#This Row],[Offer Value]]</f>
        <v>0</v>
      </c>
      <c r="W354" s="106"/>
      <c r="X354" s="106"/>
      <c r="Y354" s="217"/>
      <c r="Z354" s="257"/>
    </row>
    <row r="355" spans="1:26" ht="15.6">
      <c r="A355" s="106"/>
      <c r="B355" s="106"/>
      <c r="C355" s="108"/>
      <c r="D355" s="303"/>
      <c r="E355" s="106"/>
      <c r="F355" s="106"/>
      <c r="G355" s="106"/>
      <c r="H355" s="106"/>
      <c r="I355" s="105"/>
      <c r="J355" s="108"/>
      <c r="K355" s="108"/>
      <c r="L355" s="106"/>
      <c r="M355" s="106"/>
      <c r="N355" s="106"/>
      <c r="O355" s="483"/>
      <c r="P355" s="483"/>
      <c r="Q355" s="109"/>
      <c r="R355" s="289"/>
      <c r="S355" s="107"/>
      <c r="T355" s="106"/>
      <c r="U355" s="106"/>
      <c r="V355" s="127">
        <f>Table62689345679[[#This Row],[PO Value]]-Table62689345679[[#This Row],[Offer Value]]</f>
        <v>0</v>
      </c>
      <c r="W355" s="106"/>
      <c r="X355" s="106"/>
      <c r="Y355" s="217"/>
      <c r="Z355" s="257"/>
    </row>
    <row r="356" spans="1:26" ht="15.6">
      <c r="A356" s="106"/>
      <c r="B356" s="106"/>
      <c r="C356" s="108"/>
      <c r="D356" s="303"/>
      <c r="E356" s="106"/>
      <c r="F356" s="106"/>
      <c r="G356" s="106"/>
      <c r="H356" s="106"/>
      <c r="I356" s="105"/>
      <c r="J356" s="108"/>
      <c r="K356" s="108"/>
      <c r="L356" s="106"/>
      <c r="M356" s="106"/>
      <c r="N356" s="106"/>
      <c r="O356" s="483"/>
      <c r="P356" s="483"/>
      <c r="Q356" s="109"/>
      <c r="R356" s="289"/>
      <c r="S356" s="107"/>
      <c r="T356" s="106"/>
      <c r="U356" s="106"/>
      <c r="V356" s="127">
        <f>Table62689345679[[#This Row],[PO Value]]-Table62689345679[[#This Row],[Offer Value]]</f>
        <v>0</v>
      </c>
      <c r="W356" s="106"/>
      <c r="X356" s="106"/>
      <c r="Y356" s="217"/>
      <c r="Z356" s="257"/>
    </row>
    <row r="357" spans="1:26" ht="15.6">
      <c r="A357" s="106"/>
      <c r="B357" s="106"/>
      <c r="C357" s="108"/>
      <c r="D357" s="303"/>
      <c r="E357" s="106"/>
      <c r="F357" s="106"/>
      <c r="G357" s="106"/>
      <c r="H357" s="106"/>
      <c r="I357" s="105"/>
      <c r="J357" s="108"/>
      <c r="K357" s="108"/>
      <c r="L357" s="106"/>
      <c r="M357" s="106"/>
      <c r="N357" s="106"/>
      <c r="O357" s="483"/>
      <c r="P357" s="483"/>
      <c r="Q357" s="109"/>
      <c r="R357" s="289"/>
      <c r="S357" s="107"/>
      <c r="T357" s="106"/>
      <c r="U357" s="106"/>
      <c r="V357" s="127">
        <f>Table62689345679[[#This Row],[PO Value]]-Table62689345679[[#This Row],[Offer Value]]</f>
        <v>0</v>
      </c>
      <c r="W357" s="106"/>
      <c r="X357" s="106"/>
      <c r="Y357" s="217"/>
      <c r="Z357" s="257"/>
    </row>
    <row r="358" spans="1:26" ht="15.6">
      <c r="A358" s="106"/>
      <c r="B358" s="106"/>
      <c r="C358" s="108"/>
      <c r="D358" s="303"/>
      <c r="E358" s="106"/>
      <c r="F358" s="106"/>
      <c r="G358" s="106"/>
      <c r="H358" s="106"/>
      <c r="I358" s="105"/>
      <c r="J358" s="108"/>
      <c r="K358" s="108"/>
      <c r="L358" s="106"/>
      <c r="M358" s="106"/>
      <c r="N358" s="106"/>
      <c r="O358" s="483"/>
      <c r="P358" s="483"/>
      <c r="Q358" s="109"/>
      <c r="R358" s="289"/>
      <c r="S358" s="107"/>
      <c r="T358" s="106"/>
      <c r="U358" s="106"/>
      <c r="V358" s="127">
        <f>Table62689345679[[#This Row],[PO Value]]-Table62689345679[[#This Row],[Offer Value]]</f>
        <v>0</v>
      </c>
      <c r="W358" s="106"/>
      <c r="X358" s="106"/>
      <c r="Y358" s="217"/>
      <c r="Z358" s="257"/>
    </row>
    <row r="359" spans="1:26" ht="15.6">
      <c r="A359" s="106"/>
      <c r="B359" s="106"/>
      <c r="C359" s="108"/>
      <c r="D359" s="303"/>
      <c r="E359" s="106"/>
      <c r="F359" s="106"/>
      <c r="G359" s="106"/>
      <c r="H359" s="106"/>
      <c r="I359" s="105"/>
      <c r="J359" s="108"/>
      <c r="K359" s="108"/>
      <c r="L359" s="106"/>
      <c r="M359" s="106"/>
      <c r="N359" s="106"/>
      <c r="O359" s="483"/>
      <c r="P359" s="483"/>
      <c r="Q359" s="109"/>
      <c r="R359" s="289"/>
      <c r="S359" s="107"/>
      <c r="T359" s="106"/>
      <c r="U359" s="106"/>
      <c r="V359" s="127">
        <f>Table62689345679[[#This Row],[PO Value]]-Table62689345679[[#This Row],[Offer Value]]</f>
        <v>0</v>
      </c>
      <c r="W359" s="106"/>
      <c r="X359" s="106"/>
      <c r="Y359" s="217"/>
      <c r="Z359" s="257"/>
    </row>
    <row r="360" spans="1:26" ht="15.6">
      <c r="A360" s="106"/>
      <c r="B360" s="106"/>
      <c r="C360" s="108"/>
      <c r="D360" s="303"/>
      <c r="E360" s="106"/>
      <c r="F360" s="106"/>
      <c r="G360" s="106"/>
      <c r="H360" s="106"/>
      <c r="I360" s="105"/>
      <c r="J360" s="108"/>
      <c r="K360" s="108"/>
      <c r="L360" s="106"/>
      <c r="M360" s="106"/>
      <c r="N360" s="106"/>
      <c r="O360" s="483"/>
      <c r="P360" s="483"/>
      <c r="Q360" s="109"/>
      <c r="R360" s="289"/>
      <c r="S360" s="107"/>
      <c r="T360" s="106"/>
      <c r="U360" s="106"/>
      <c r="V360" s="127">
        <f>Table62689345679[[#This Row],[PO Value]]-Table62689345679[[#This Row],[Offer Value]]</f>
        <v>0</v>
      </c>
      <c r="W360" s="106"/>
      <c r="X360" s="106"/>
      <c r="Y360" s="217"/>
      <c r="Z360" s="257"/>
    </row>
    <row r="361" spans="1:26" ht="15.6">
      <c r="A361" s="106"/>
      <c r="B361" s="106"/>
      <c r="C361" s="108"/>
      <c r="D361" s="303"/>
      <c r="E361" s="106"/>
      <c r="F361" s="106"/>
      <c r="G361" s="106"/>
      <c r="H361" s="106"/>
      <c r="I361" s="105"/>
      <c r="J361" s="108"/>
      <c r="K361" s="108"/>
      <c r="L361" s="106"/>
      <c r="M361" s="106"/>
      <c r="N361" s="106"/>
      <c r="O361" s="483"/>
      <c r="P361" s="483"/>
      <c r="Q361" s="109"/>
      <c r="R361" s="289"/>
      <c r="S361" s="107"/>
      <c r="T361" s="106"/>
      <c r="U361" s="106"/>
      <c r="V361" s="127">
        <f>Table62689345679[[#This Row],[PO Value]]-Table62689345679[[#This Row],[Offer Value]]</f>
        <v>0</v>
      </c>
      <c r="W361" s="106"/>
      <c r="X361" s="106"/>
      <c r="Y361" s="217"/>
      <c r="Z361" s="257"/>
    </row>
    <row r="362" spans="1:26" ht="15.6">
      <c r="A362" s="106"/>
      <c r="B362" s="106"/>
      <c r="C362" s="108"/>
      <c r="D362" s="303"/>
      <c r="E362" s="106"/>
      <c r="F362" s="106"/>
      <c r="G362" s="106"/>
      <c r="H362" s="106"/>
      <c r="I362" s="105"/>
      <c r="J362" s="108"/>
      <c r="K362" s="108"/>
      <c r="L362" s="106"/>
      <c r="M362" s="106"/>
      <c r="N362" s="106"/>
      <c r="O362" s="483"/>
      <c r="P362" s="483"/>
      <c r="Q362" s="109"/>
      <c r="R362" s="289"/>
      <c r="S362" s="107"/>
      <c r="T362" s="106"/>
      <c r="U362" s="106"/>
      <c r="V362" s="127">
        <f>Table62689345679[[#This Row],[PO Value]]-Table62689345679[[#This Row],[Offer Value]]</f>
        <v>0</v>
      </c>
      <c r="W362" s="106"/>
      <c r="X362" s="106"/>
      <c r="Y362" s="217"/>
      <c r="Z362" s="257"/>
    </row>
    <row r="363" spans="1:26" ht="15.6">
      <c r="A363" s="106"/>
      <c r="B363" s="106"/>
      <c r="C363" s="108"/>
      <c r="D363" s="303"/>
      <c r="E363" s="110"/>
      <c r="F363" s="110"/>
      <c r="G363" s="110"/>
      <c r="H363" s="110"/>
      <c r="I363" s="105"/>
      <c r="J363" s="108"/>
      <c r="K363" s="108"/>
      <c r="L363" s="106"/>
      <c r="M363" s="106"/>
      <c r="N363" s="106"/>
      <c r="O363" s="483"/>
      <c r="P363" s="483"/>
      <c r="Q363" s="109"/>
      <c r="R363" s="289"/>
      <c r="S363" s="107"/>
      <c r="T363" s="106"/>
      <c r="U363" s="106"/>
      <c r="V363" s="127">
        <f>Table62689345679[[#This Row],[PO Value]]-Table62689345679[[#This Row],[Offer Value]]</f>
        <v>0</v>
      </c>
      <c r="W363" s="106"/>
      <c r="X363" s="106"/>
      <c r="Y363" s="217"/>
      <c r="Z363" s="257"/>
    </row>
    <row r="364" spans="1:26" ht="15.6">
      <c r="A364" s="106"/>
      <c r="B364" s="106"/>
      <c r="C364" s="108"/>
      <c r="D364" s="303"/>
      <c r="E364" s="106"/>
      <c r="F364" s="106"/>
      <c r="G364" s="106"/>
      <c r="H364" s="106"/>
      <c r="I364" s="105"/>
      <c r="J364" s="108"/>
      <c r="K364" s="108"/>
      <c r="L364" s="106"/>
      <c r="M364" s="106"/>
      <c r="N364" s="106"/>
      <c r="O364" s="483"/>
      <c r="P364" s="483"/>
      <c r="Q364" s="109"/>
      <c r="R364" s="289"/>
      <c r="S364" s="107"/>
      <c r="T364" s="106"/>
      <c r="U364" s="106"/>
      <c r="V364" s="127">
        <f>Table62689345679[[#This Row],[PO Value]]-Table62689345679[[#This Row],[Offer Value]]</f>
        <v>0</v>
      </c>
      <c r="W364" s="106"/>
      <c r="X364" s="106"/>
      <c r="Y364" s="217"/>
      <c r="Z364" s="257"/>
    </row>
    <row r="365" spans="1:26" ht="15.6">
      <c r="A365" s="106"/>
      <c r="B365" s="106"/>
      <c r="C365" s="108"/>
      <c r="D365" s="303"/>
      <c r="E365" s="106"/>
      <c r="F365" s="106"/>
      <c r="G365" s="106"/>
      <c r="H365" s="106"/>
      <c r="I365" s="105"/>
      <c r="J365" s="108"/>
      <c r="K365" s="108"/>
      <c r="L365" s="106"/>
      <c r="M365" s="106"/>
      <c r="N365" s="106"/>
      <c r="O365" s="483"/>
      <c r="P365" s="483"/>
      <c r="Q365" s="109"/>
      <c r="R365" s="289"/>
      <c r="S365" s="107"/>
      <c r="T365" s="106"/>
      <c r="U365" s="106"/>
      <c r="V365" s="127">
        <f>Table62689345679[[#This Row],[PO Value]]-Table62689345679[[#This Row],[Offer Value]]</f>
        <v>0</v>
      </c>
      <c r="W365" s="106"/>
      <c r="X365" s="106"/>
      <c r="Y365" s="217"/>
      <c r="Z365" s="257"/>
    </row>
    <row r="366" spans="1:26" ht="15.6">
      <c r="A366" s="106"/>
      <c r="B366" s="106"/>
      <c r="C366" s="108"/>
      <c r="D366" s="303"/>
      <c r="E366" s="106"/>
      <c r="F366" s="106"/>
      <c r="G366" s="106"/>
      <c r="H366" s="106"/>
      <c r="I366" s="105"/>
      <c r="J366" s="108"/>
      <c r="K366" s="108"/>
      <c r="L366" s="106"/>
      <c r="M366" s="106"/>
      <c r="N366" s="106"/>
      <c r="O366" s="483"/>
      <c r="P366" s="483"/>
      <c r="Q366" s="109"/>
      <c r="R366" s="289"/>
      <c r="S366" s="107"/>
      <c r="T366" s="106"/>
      <c r="U366" s="106"/>
      <c r="V366" s="127">
        <f>Table62689345679[[#This Row],[PO Value]]-Table62689345679[[#This Row],[Offer Value]]</f>
        <v>0</v>
      </c>
      <c r="W366" s="106"/>
      <c r="X366" s="106"/>
      <c r="Y366" s="217"/>
      <c r="Z366" s="257"/>
    </row>
    <row r="367" spans="1:26" ht="15.6">
      <c r="A367" s="106"/>
      <c r="B367" s="106"/>
      <c r="C367" s="108"/>
      <c r="D367" s="303"/>
      <c r="E367" s="106"/>
      <c r="F367" s="106"/>
      <c r="G367" s="106"/>
      <c r="H367" s="106"/>
      <c r="I367" s="105"/>
      <c r="J367" s="108"/>
      <c r="K367" s="108"/>
      <c r="L367" s="106"/>
      <c r="M367" s="106"/>
      <c r="N367" s="106"/>
      <c r="O367" s="483"/>
      <c r="P367" s="483"/>
      <c r="Q367" s="109"/>
      <c r="R367" s="289"/>
      <c r="S367" s="107"/>
      <c r="T367" s="106"/>
      <c r="U367" s="106"/>
      <c r="V367" s="127">
        <f>Table62689345679[[#This Row],[PO Value]]-Table62689345679[[#This Row],[Offer Value]]</f>
        <v>0</v>
      </c>
      <c r="W367" s="106"/>
      <c r="X367" s="106"/>
      <c r="Y367" s="217"/>
      <c r="Z367" s="257"/>
    </row>
    <row r="368" spans="1:26" ht="15.6">
      <c r="A368" s="106"/>
      <c r="B368" s="106"/>
      <c r="C368" s="108"/>
      <c r="D368" s="303"/>
      <c r="E368" s="106"/>
      <c r="F368" s="106"/>
      <c r="G368" s="106"/>
      <c r="H368" s="106"/>
      <c r="I368" s="105"/>
      <c r="J368" s="108"/>
      <c r="K368" s="108"/>
      <c r="L368" s="106"/>
      <c r="M368" s="106"/>
      <c r="N368" s="106"/>
      <c r="O368" s="483"/>
      <c r="P368" s="483"/>
      <c r="Q368" s="109"/>
      <c r="R368" s="289"/>
      <c r="S368" s="107"/>
      <c r="T368" s="106"/>
      <c r="U368" s="106"/>
      <c r="V368" s="127">
        <f>Table62689345679[[#This Row],[PO Value]]-Table62689345679[[#This Row],[Offer Value]]</f>
        <v>0</v>
      </c>
      <c r="W368" s="106"/>
      <c r="X368" s="106"/>
      <c r="Y368" s="217"/>
      <c r="Z368" s="257"/>
    </row>
    <row r="369" spans="1:26" ht="15.6">
      <c r="A369" s="106"/>
      <c r="B369" s="106"/>
      <c r="C369" s="108"/>
      <c r="D369" s="303"/>
      <c r="E369" s="106"/>
      <c r="F369" s="106"/>
      <c r="G369" s="106"/>
      <c r="H369" s="106"/>
      <c r="I369" s="105"/>
      <c r="J369" s="108"/>
      <c r="K369" s="108"/>
      <c r="L369" s="106"/>
      <c r="M369" s="106"/>
      <c r="N369" s="106"/>
      <c r="O369" s="483"/>
      <c r="P369" s="483"/>
      <c r="Q369" s="109"/>
      <c r="R369" s="289"/>
      <c r="S369" s="107"/>
      <c r="T369" s="106"/>
      <c r="U369" s="106"/>
      <c r="V369" s="127">
        <f>Table62689345679[[#This Row],[PO Value]]-Table62689345679[[#This Row],[Offer Value]]</f>
        <v>0</v>
      </c>
      <c r="W369" s="106"/>
      <c r="X369" s="106"/>
      <c r="Y369" s="217"/>
      <c r="Z369" s="257"/>
    </row>
    <row r="370" spans="1:26" ht="15.6">
      <c r="A370" s="106"/>
      <c r="B370" s="106"/>
      <c r="C370" s="108"/>
      <c r="D370" s="303"/>
      <c r="E370" s="106"/>
      <c r="F370" s="106"/>
      <c r="G370" s="106"/>
      <c r="H370" s="106"/>
      <c r="I370" s="105"/>
      <c r="J370" s="108"/>
      <c r="K370" s="108"/>
      <c r="L370" s="106"/>
      <c r="M370" s="106"/>
      <c r="N370" s="106"/>
      <c r="O370" s="483"/>
      <c r="P370" s="483"/>
      <c r="Q370" s="109"/>
      <c r="R370" s="289"/>
      <c r="S370" s="107"/>
      <c r="T370" s="106"/>
      <c r="U370" s="106"/>
      <c r="V370" s="127">
        <f>Table62689345679[[#This Row],[PO Value]]-Table62689345679[[#This Row],[Offer Value]]</f>
        <v>0</v>
      </c>
      <c r="W370" s="106"/>
      <c r="X370" s="106"/>
      <c r="Y370" s="217"/>
      <c r="Z370" s="257"/>
    </row>
    <row r="371" spans="1:26" ht="15.6">
      <c r="A371" s="106"/>
      <c r="B371" s="106"/>
      <c r="C371" s="108"/>
      <c r="D371" s="303"/>
      <c r="E371" s="106"/>
      <c r="F371" s="106"/>
      <c r="G371" s="106"/>
      <c r="H371" s="106"/>
      <c r="I371" s="105"/>
      <c r="J371" s="108"/>
      <c r="K371" s="108"/>
      <c r="L371" s="106"/>
      <c r="M371" s="106"/>
      <c r="N371" s="106"/>
      <c r="O371" s="483"/>
      <c r="P371" s="483"/>
      <c r="Q371" s="109"/>
      <c r="R371" s="289"/>
      <c r="S371" s="107"/>
      <c r="T371" s="106"/>
      <c r="U371" s="106"/>
      <c r="V371" s="127">
        <f>Table62689345679[[#This Row],[PO Value]]-Table62689345679[[#This Row],[Offer Value]]</f>
        <v>0</v>
      </c>
      <c r="W371" s="106"/>
      <c r="X371" s="106"/>
      <c r="Y371" s="217"/>
      <c r="Z371" s="257"/>
    </row>
    <row r="372" spans="1:26" ht="15.6">
      <c r="A372" s="106"/>
      <c r="B372" s="106"/>
      <c r="C372" s="108"/>
      <c r="D372" s="303"/>
      <c r="E372" s="106"/>
      <c r="F372" s="106"/>
      <c r="G372" s="106"/>
      <c r="H372" s="106"/>
      <c r="I372" s="105"/>
      <c r="J372" s="108"/>
      <c r="K372" s="108"/>
      <c r="L372" s="106"/>
      <c r="M372" s="106"/>
      <c r="N372" s="106"/>
      <c r="O372" s="483"/>
      <c r="P372" s="483"/>
      <c r="Q372" s="109"/>
      <c r="R372" s="289"/>
      <c r="S372" s="107"/>
      <c r="T372" s="106"/>
      <c r="U372" s="106"/>
      <c r="V372" s="127">
        <f>Table62689345679[[#This Row],[PO Value]]-Table62689345679[[#This Row],[Offer Value]]</f>
        <v>0</v>
      </c>
      <c r="W372" s="106"/>
      <c r="X372" s="106"/>
      <c r="Y372" s="217"/>
      <c r="Z372" s="257"/>
    </row>
    <row r="373" spans="1:26" ht="15.6">
      <c r="A373" s="106"/>
      <c r="B373" s="106"/>
      <c r="C373" s="108"/>
      <c r="D373" s="303"/>
      <c r="E373" s="106"/>
      <c r="F373" s="106"/>
      <c r="G373" s="106"/>
      <c r="H373" s="106"/>
      <c r="I373" s="105"/>
      <c r="J373" s="108"/>
      <c r="K373" s="108"/>
      <c r="L373" s="106"/>
      <c r="M373" s="106"/>
      <c r="N373" s="106"/>
      <c r="O373" s="483"/>
      <c r="P373" s="483"/>
      <c r="Q373" s="109"/>
      <c r="R373" s="289"/>
      <c r="S373" s="107"/>
      <c r="T373" s="106"/>
      <c r="U373" s="106"/>
      <c r="V373" s="127">
        <f>Table62689345679[[#This Row],[PO Value]]-Table62689345679[[#This Row],[Offer Value]]</f>
        <v>0</v>
      </c>
      <c r="W373" s="106"/>
      <c r="X373" s="106"/>
      <c r="Y373" s="217"/>
      <c r="Z373" s="257"/>
    </row>
    <row r="374" spans="1:26" ht="15.6">
      <c r="A374" s="106"/>
      <c r="B374" s="106"/>
      <c r="C374" s="108"/>
      <c r="D374" s="303"/>
      <c r="E374" s="106"/>
      <c r="F374" s="106"/>
      <c r="G374" s="106"/>
      <c r="H374" s="106"/>
      <c r="I374" s="105"/>
      <c r="J374" s="108"/>
      <c r="K374" s="108"/>
      <c r="L374" s="106"/>
      <c r="M374" s="106"/>
      <c r="N374" s="106"/>
      <c r="O374" s="483"/>
      <c r="P374" s="483"/>
      <c r="Q374" s="109"/>
      <c r="R374" s="289"/>
      <c r="S374" s="107"/>
      <c r="T374" s="106"/>
      <c r="U374" s="106"/>
      <c r="V374" s="127">
        <f>Table62689345679[[#This Row],[PO Value]]-Table62689345679[[#This Row],[Offer Value]]</f>
        <v>0</v>
      </c>
      <c r="W374" s="106"/>
      <c r="X374" s="106"/>
      <c r="Y374" s="217"/>
      <c r="Z374" s="257"/>
    </row>
    <row r="375" spans="1:26" ht="15.6">
      <c r="A375" s="106"/>
      <c r="B375" s="106"/>
      <c r="C375" s="108"/>
      <c r="D375" s="303"/>
      <c r="E375" s="106"/>
      <c r="F375" s="106"/>
      <c r="G375" s="106"/>
      <c r="H375" s="106"/>
      <c r="I375" s="105"/>
      <c r="J375" s="108"/>
      <c r="K375" s="108"/>
      <c r="L375" s="106"/>
      <c r="M375" s="106"/>
      <c r="N375" s="106"/>
      <c r="O375" s="483"/>
      <c r="P375" s="483"/>
      <c r="Q375" s="109"/>
      <c r="R375" s="289"/>
      <c r="S375" s="107"/>
      <c r="T375" s="106"/>
      <c r="U375" s="106"/>
      <c r="V375" s="127">
        <f>Table62689345679[[#This Row],[PO Value]]-Table62689345679[[#This Row],[Offer Value]]</f>
        <v>0</v>
      </c>
      <c r="W375" s="106"/>
      <c r="X375" s="106"/>
      <c r="Y375" s="217"/>
      <c r="Z375" s="257"/>
    </row>
    <row r="376" spans="1:26" ht="15.6">
      <c r="A376" s="106"/>
      <c r="B376" s="106"/>
      <c r="C376" s="108"/>
      <c r="D376" s="303"/>
      <c r="E376" s="106"/>
      <c r="F376" s="106"/>
      <c r="G376" s="106"/>
      <c r="H376" s="106"/>
      <c r="I376" s="105"/>
      <c r="J376" s="108"/>
      <c r="K376" s="108"/>
      <c r="L376" s="106"/>
      <c r="M376" s="106"/>
      <c r="N376" s="106"/>
      <c r="O376" s="483"/>
      <c r="P376" s="483"/>
      <c r="Q376" s="109"/>
      <c r="R376" s="289"/>
      <c r="S376" s="107"/>
      <c r="T376" s="106"/>
      <c r="U376" s="106"/>
      <c r="V376" s="127">
        <f>Table62689345679[[#This Row],[PO Value]]-Table62689345679[[#This Row],[Offer Value]]</f>
        <v>0</v>
      </c>
      <c r="W376" s="106"/>
      <c r="X376" s="106"/>
      <c r="Y376" s="217"/>
      <c r="Z376" s="257"/>
    </row>
    <row r="377" spans="1:26" ht="15.6">
      <c r="A377" s="106"/>
      <c r="B377" s="106"/>
      <c r="C377" s="108"/>
      <c r="D377" s="303"/>
      <c r="E377" s="106"/>
      <c r="F377" s="106"/>
      <c r="G377" s="106"/>
      <c r="H377" s="106"/>
      <c r="I377" s="105"/>
      <c r="J377" s="108"/>
      <c r="K377" s="108"/>
      <c r="L377" s="106"/>
      <c r="M377" s="106"/>
      <c r="N377" s="106"/>
      <c r="O377" s="483"/>
      <c r="P377" s="483"/>
      <c r="Q377" s="109"/>
      <c r="R377" s="289"/>
      <c r="S377" s="107"/>
      <c r="T377" s="106"/>
      <c r="U377" s="106"/>
      <c r="V377" s="127">
        <f>Table62689345679[[#This Row],[PO Value]]-Table62689345679[[#This Row],[Offer Value]]</f>
        <v>0</v>
      </c>
      <c r="W377" s="106"/>
      <c r="X377" s="106"/>
      <c r="Y377" s="217"/>
      <c r="Z377" s="257"/>
    </row>
    <row r="378" spans="1:26" ht="15.6">
      <c r="A378" s="106"/>
      <c r="B378" s="106"/>
      <c r="C378" s="108"/>
      <c r="D378" s="303"/>
      <c r="E378" s="106"/>
      <c r="F378" s="106"/>
      <c r="G378" s="106"/>
      <c r="H378" s="106"/>
      <c r="I378" s="105"/>
      <c r="J378" s="108"/>
      <c r="K378" s="108"/>
      <c r="L378" s="106"/>
      <c r="M378" s="106"/>
      <c r="N378" s="106"/>
      <c r="O378" s="483"/>
      <c r="P378" s="483"/>
      <c r="Q378" s="109"/>
      <c r="R378" s="289"/>
      <c r="S378" s="107"/>
      <c r="T378" s="106"/>
      <c r="U378" s="106"/>
      <c r="V378" s="127">
        <f>Table62689345679[[#This Row],[PO Value]]-Table62689345679[[#This Row],[Offer Value]]</f>
        <v>0</v>
      </c>
      <c r="W378" s="106"/>
      <c r="X378" s="106"/>
      <c r="Y378" s="217"/>
      <c r="Z378" s="257"/>
    </row>
    <row r="379" spans="1:26" ht="15.6">
      <c r="A379" s="106"/>
      <c r="B379" s="106"/>
      <c r="C379" s="108"/>
      <c r="D379" s="303"/>
      <c r="E379" s="106"/>
      <c r="F379" s="106"/>
      <c r="G379" s="106"/>
      <c r="H379" s="106"/>
      <c r="I379" s="105"/>
      <c r="J379" s="108"/>
      <c r="K379" s="108"/>
      <c r="L379" s="106"/>
      <c r="M379" s="106"/>
      <c r="N379" s="106"/>
      <c r="O379" s="483"/>
      <c r="P379" s="483"/>
      <c r="Q379" s="109"/>
      <c r="R379" s="289"/>
      <c r="S379" s="107"/>
      <c r="T379" s="106"/>
      <c r="U379" s="106"/>
      <c r="V379" s="127">
        <f>Table62689345679[[#This Row],[PO Value]]-Table62689345679[[#This Row],[Offer Value]]</f>
        <v>0</v>
      </c>
      <c r="W379" s="106"/>
      <c r="X379" s="106"/>
      <c r="Y379" s="217"/>
      <c r="Z379" s="257"/>
    </row>
    <row r="380" spans="1:26" ht="15.6">
      <c r="A380" s="106"/>
      <c r="B380" s="106"/>
      <c r="C380" s="108"/>
      <c r="D380" s="303"/>
      <c r="E380" s="106"/>
      <c r="F380" s="106"/>
      <c r="G380" s="106"/>
      <c r="H380" s="106"/>
      <c r="I380" s="105"/>
      <c r="J380" s="108"/>
      <c r="K380" s="108"/>
      <c r="L380" s="106"/>
      <c r="M380" s="106"/>
      <c r="N380" s="106"/>
      <c r="O380" s="483"/>
      <c r="P380" s="483"/>
      <c r="Q380" s="109"/>
      <c r="R380" s="289"/>
      <c r="S380" s="107"/>
      <c r="T380" s="106"/>
      <c r="U380" s="106"/>
      <c r="V380" s="127">
        <f>Table62689345679[[#This Row],[PO Value]]-Table62689345679[[#This Row],[Offer Value]]</f>
        <v>0</v>
      </c>
      <c r="W380" s="106"/>
      <c r="X380" s="106"/>
      <c r="Y380" s="217"/>
      <c r="Z380" s="257"/>
    </row>
    <row r="381" spans="1:26" ht="15.6">
      <c r="A381" s="106"/>
      <c r="B381" s="106"/>
      <c r="C381" s="108"/>
      <c r="D381" s="303"/>
      <c r="E381" s="106"/>
      <c r="F381" s="106"/>
      <c r="G381" s="106"/>
      <c r="H381" s="106"/>
      <c r="I381" s="105"/>
      <c r="J381" s="108"/>
      <c r="K381" s="108"/>
      <c r="L381" s="106"/>
      <c r="M381" s="106"/>
      <c r="N381" s="106"/>
      <c r="O381" s="483"/>
      <c r="P381" s="483"/>
      <c r="Q381" s="109"/>
      <c r="R381" s="289"/>
      <c r="S381" s="107"/>
      <c r="T381" s="106"/>
      <c r="U381" s="106"/>
      <c r="V381" s="127">
        <f>Table62689345679[[#This Row],[PO Value]]-Table62689345679[[#This Row],[Offer Value]]</f>
        <v>0</v>
      </c>
      <c r="W381" s="106"/>
      <c r="X381" s="106"/>
      <c r="Y381" s="217"/>
      <c r="Z381" s="257"/>
    </row>
    <row r="382" spans="1:26" ht="15.6">
      <c r="A382" s="106"/>
      <c r="B382" s="106"/>
      <c r="C382" s="108"/>
      <c r="D382" s="303"/>
      <c r="E382" s="106"/>
      <c r="F382" s="106"/>
      <c r="G382" s="106"/>
      <c r="H382" s="106"/>
      <c r="I382" s="105"/>
      <c r="J382" s="108"/>
      <c r="K382" s="108"/>
      <c r="L382" s="106"/>
      <c r="M382" s="106"/>
      <c r="N382" s="106"/>
      <c r="O382" s="483"/>
      <c r="P382" s="483"/>
      <c r="Q382" s="109"/>
      <c r="R382" s="289"/>
      <c r="S382" s="107"/>
      <c r="T382" s="106"/>
      <c r="U382" s="106"/>
      <c r="V382" s="127">
        <f>Table62689345679[[#This Row],[PO Value]]-Table62689345679[[#This Row],[Offer Value]]</f>
        <v>0</v>
      </c>
      <c r="W382" s="106"/>
      <c r="X382" s="106"/>
      <c r="Y382" s="217"/>
      <c r="Z382" s="257"/>
    </row>
    <row r="383" spans="1:26" ht="15.6">
      <c r="A383" s="106"/>
      <c r="B383" s="106"/>
      <c r="C383" s="108"/>
      <c r="D383" s="303"/>
      <c r="E383" s="106"/>
      <c r="F383" s="106"/>
      <c r="G383" s="106"/>
      <c r="H383" s="106"/>
      <c r="I383" s="105"/>
      <c r="J383" s="108"/>
      <c r="K383" s="108"/>
      <c r="L383" s="106"/>
      <c r="M383" s="106"/>
      <c r="N383" s="106"/>
      <c r="O383" s="483"/>
      <c r="P383" s="483"/>
      <c r="Q383" s="109"/>
      <c r="R383" s="289"/>
      <c r="S383" s="107"/>
      <c r="T383" s="106"/>
      <c r="U383" s="106"/>
      <c r="V383" s="127">
        <f>Table62689345679[[#This Row],[PO Value]]-Table62689345679[[#This Row],[Offer Value]]</f>
        <v>0</v>
      </c>
      <c r="W383" s="106"/>
      <c r="X383" s="106"/>
      <c r="Y383" s="217"/>
      <c r="Z383" s="257"/>
    </row>
    <row r="384" spans="1:26" ht="15.6">
      <c r="A384" s="106"/>
      <c r="B384" s="106"/>
      <c r="C384" s="108"/>
      <c r="D384" s="303"/>
      <c r="E384" s="106"/>
      <c r="F384" s="106"/>
      <c r="G384" s="106"/>
      <c r="H384" s="106"/>
      <c r="I384" s="105"/>
      <c r="J384" s="108"/>
      <c r="K384" s="108"/>
      <c r="L384" s="106"/>
      <c r="M384" s="106"/>
      <c r="N384" s="106"/>
      <c r="O384" s="483"/>
      <c r="P384" s="483"/>
      <c r="Q384" s="109"/>
      <c r="R384" s="289"/>
      <c r="S384" s="107"/>
      <c r="T384" s="106"/>
      <c r="U384" s="106"/>
      <c r="V384" s="127">
        <f>Table62689345679[[#This Row],[PO Value]]-Table62689345679[[#This Row],[Offer Value]]</f>
        <v>0</v>
      </c>
      <c r="W384" s="106"/>
      <c r="X384" s="106"/>
      <c r="Y384" s="217"/>
      <c r="Z384" s="257"/>
    </row>
    <row r="385" spans="1:26" ht="15.6">
      <c r="A385" s="106"/>
      <c r="B385" s="106"/>
      <c r="C385" s="108"/>
      <c r="D385" s="303"/>
      <c r="E385" s="106"/>
      <c r="F385" s="106"/>
      <c r="G385" s="106"/>
      <c r="H385" s="106"/>
      <c r="I385" s="105"/>
      <c r="J385" s="108"/>
      <c r="K385" s="108"/>
      <c r="L385" s="106"/>
      <c r="M385" s="106"/>
      <c r="N385" s="106"/>
      <c r="O385" s="483"/>
      <c r="P385" s="483"/>
      <c r="Q385" s="109"/>
      <c r="R385" s="289"/>
      <c r="S385" s="107"/>
      <c r="T385" s="106"/>
      <c r="U385" s="106"/>
      <c r="V385" s="127">
        <f>Table62689345679[[#This Row],[PO Value]]-Table62689345679[[#This Row],[Offer Value]]</f>
        <v>0</v>
      </c>
      <c r="W385" s="106"/>
      <c r="X385" s="106"/>
      <c r="Y385" s="217"/>
      <c r="Z385" s="257"/>
    </row>
    <row r="386" spans="1:26" ht="15.6">
      <c r="A386" s="106"/>
      <c r="B386" s="106"/>
      <c r="C386" s="108"/>
      <c r="D386" s="303"/>
      <c r="E386" s="106"/>
      <c r="F386" s="106"/>
      <c r="G386" s="106"/>
      <c r="H386" s="106"/>
      <c r="I386" s="105"/>
      <c r="J386" s="108"/>
      <c r="K386" s="108"/>
      <c r="L386" s="106"/>
      <c r="M386" s="106"/>
      <c r="N386" s="106"/>
      <c r="O386" s="483"/>
      <c r="P386" s="483"/>
      <c r="Q386" s="109"/>
      <c r="R386" s="289"/>
      <c r="S386" s="107"/>
      <c r="T386" s="106"/>
      <c r="U386" s="106"/>
      <c r="V386" s="127">
        <f>Table62689345679[[#This Row],[PO Value]]-Table62689345679[[#This Row],[Offer Value]]</f>
        <v>0</v>
      </c>
      <c r="W386" s="106"/>
      <c r="X386" s="106"/>
      <c r="Y386" s="217"/>
      <c r="Z386" s="257"/>
    </row>
    <row r="387" spans="1:26" ht="15.6">
      <c r="A387" s="106"/>
      <c r="B387" s="106"/>
      <c r="C387" s="108"/>
      <c r="D387" s="303"/>
      <c r="E387" s="106"/>
      <c r="F387" s="106"/>
      <c r="G387" s="106"/>
      <c r="H387" s="106"/>
      <c r="I387" s="105"/>
      <c r="J387" s="108"/>
      <c r="K387" s="108"/>
      <c r="L387" s="106"/>
      <c r="M387" s="106"/>
      <c r="N387" s="106"/>
      <c r="O387" s="483"/>
      <c r="P387" s="483"/>
      <c r="Q387" s="109"/>
      <c r="R387" s="289"/>
      <c r="S387" s="107"/>
      <c r="T387" s="106"/>
      <c r="U387" s="106"/>
      <c r="V387" s="127">
        <f>Table62689345679[[#This Row],[PO Value]]-Table62689345679[[#This Row],[Offer Value]]</f>
        <v>0</v>
      </c>
      <c r="W387" s="106"/>
      <c r="X387" s="106"/>
      <c r="Y387" s="217"/>
      <c r="Z387" s="257"/>
    </row>
    <row r="388" spans="1:26" ht="15.6">
      <c r="A388" s="106"/>
      <c r="B388" s="106"/>
      <c r="C388" s="108"/>
      <c r="D388" s="303"/>
      <c r="E388" s="106"/>
      <c r="F388" s="106"/>
      <c r="G388" s="106"/>
      <c r="H388" s="106"/>
      <c r="I388" s="105"/>
      <c r="J388" s="108"/>
      <c r="K388" s="108"/>
      <c r="L388" s="106"/>
      <c r="M388" s="106"/>
      <c r="N388" s="106"/>
      <c r="O388" s="483"/>
      <c r="P388" s="483"/>
      <c r="Q388" s="109"/>
      <c r="R388" s="289"/>
      <c r="S388" s="107"/>
      <c r="T388" s="106"/>
      <c r="U388" s="106"/>
      <c r="V388" s="127">
        <f>Table62689345679[[#This Row],[PO Value]]-Table62689345679[[#This Row],[Offer Value]]</f>
        <v>0</v>
      </c>
      <c r="W388" s="106"/>
      <c r="X388" s="106"/>
      <c r="Y388" s="217"/>
      <c r="Z388" s="257"/>
    </row>
    <row r="389" spans="1:26" ht="15.6">
      <c r="A389" s="106"/>
      <c r="B389" s="106"/>
      <c r="C389" s="108"/>
      <c r="D389" s="303"/>
      <c r="E389" s="106"/>
      <c r="F389" s="106"/>
      <c r="G389" s="106"/>
      <c r="H389" s="106"/>
      <c r="I389" s="105"/>
      <c r="J389" s="108"/>
      <c r="K389" s="108"/>
      <c r="L389" s="106"/>
      <c r="M389" s="106"/>
      <c r="N389" s="106"/>
      <c r="O389" s="483"/>
      <c r="P389" s="483"/>
      <c r="Q389" s="109"/>
      <c r="R389" s="289"/>
      <c r="S389" s="107"/>
      <c r="T389" s="106"/>
      <c r="U389" s="106"/>
      <c r="V389" s="127">
        <f>Table62689345679[[#This Row],[PO Value]]-Table62689345679[[#This Row],[Offer Value]]</f>
        <v>0</v>
      </c>
      <c r="W389" s="106"/>
      <c r="X389" s="106"/>
      <c r="Y389" s="217"/>
      <c r="Z389" s="257"/>
    </row>
    <row r="390" spans="1:26" ht="15.6">
      <c r="A390" s="106"/>
      <c r="B390" s="106"/>
      <c r="C390" s="108"/>
      <c r="D390" s="303"/>
      <c r="E390" s="106"/>
      <c r="F390" s="106"/>
      <c r="G390" s="106"/>
      <c r="H390" s="106"/>
      <c r="I390" s="105"/>
      <c r="J390" s="108"/>
      <c r="K390" s="108"/>
      <c r="L390" s="106"/>
      <c r="M390" s="106"/>
      <c r="N390" s="106"/>
      <c r="O390" s="483"/>
      <c r="P390" s="483"/>
      <c r="Q390" s="109"/>
      <c r="R390" s="289"/>
      <c r="S390" s="107"/>
      <c r="T390" s="106"/>
      <c r="U390" s="106"/>
      <c r="V390" s="127">
        <f>Table62689345679[[#This Row],[PO Value]]-Table62689345679[[#This Row],[Offer Value]]</f>
        <v>0</v>
      </c>
      <c r="W390" s="106"/>
      <c r="X390" s="106"/>
      <c r="Y390" s="217"/>
      <c r="Z390" s="257"/>
    </row>
    <row r="391" spans="1:26" ht="15.6">
      <c r="A391" s="106"/>
      <c r="B391" s="106"/>
      <c r="C391" s="108"/>
      <c r="D391" s="303"/>
      <c r="E391" s="106"/>
      <c r="F391" s="106"/>
      <c r="G391" s="106"/>
      <c r="H391" s="106"/>
      <c r="I391" s="105"/>
      <c r="J391" s="108"/>
      <c r="K391" s="108"/>
      <c r="L391" s="106"/>
      <c r="M391" s="106"/>
      <c r="N391" s="106"/>
      <c r="O391" s="483"/>
      <c r="P391" s="483"/>
      <c r="Q391" s="109"/>
      <c r="R391" s="289"/>
      <c r="S391" s="107"/>
      <c r="T391" s="106"/>
      <c r="U391" s="106"/>
      <c r="V391" s="127">
        <f>Table62689345679[[#This Row],[PO Value]]-Table62689345679[[#This Row],[Offer Value]]</f>
        <v>0</v>
      </c>
      <c r="W391" s="106"/>
      <c r="X391" s="106"/>
      <c r="Y391" s="217"/>
      <c r="Z391" s="257"/>
    </row>
    <row r="392" spans="1:26" ht="15.6">
      <c r="A392" s="106"/>
      <c r="B392" s="106"/>
      <c r="C392" s="108"/>
      <c r="D392" s="303"/>
      <c r="E392" s="106"/>
      <c r="F392" s="106"/>
      <c r="G392" s="106"/>
      <c r="H392" s="106"/>
      <c r="I392" s="105"/>
      <c r="J392" s="108"/>
      <c r="K392" s="108"/>
      <c r="L392" s="106"/>
      <c r="M392" s="106"/>
      <c r="N392" s="106"/>
      <c r="O392" s="483"/>
      <c r="P392" s="483"/>
      <c r="Q392" s="109"/>
      <c r="R392" s="289"/>
      <c r="S392" s="107"/>
      <c r="T392" s="106"/>
      <c r="U392" s="106"/>
      <c r="V392" s="127">
        <f>Table62689345679[[#This Row],[PO Value]]-Table62689345679[[#This Row],[Offer Value]]</f>
        <v>0</v>
      </c>
      <c r="W392" s="106"/>
      <c r="X392" s="106"/>
      <c r="Y392" s="217"/>
      <c r="Z392" s="257"/>
    </row>
    <row r="393" spans="1:26" ht="15.6">
      <c r="A393" s="106"/>
      <c r="B393" s="106"/>
      <c r="C393" s="108"/>
      <c r="D393" s="303"/>
      <c r="E393" s="106"/>
      <c r="F393" s="106"/>
      <c r="G393" s="106"/>
      <c r="H393" s="106"/>
      <c r="I393" s="105"/>
      <c r="J393" s="108"/>
      <c r="K393" s="108"/>
      <c r="L393" s="106"/>
      <c r="M393" s="106"/>
      <c r="N393" s="106"/>
      <c r="O393" s="483"/>
      <c r="P393" s="483"/>
      <c r="Q393" s="109"/>
      <c r="R393" s="289"/>
      <c r="S393" s="107"/>
      <c r="T393" s="106"/>
      <c r="U393" s="106"/>
      <c r="V393" s="127">
        <f>Table62689345679[[#This Row],[PO Value]]-Table62689345679[[#This Row],[Offer Value]]</f>
        <v>0</v>
      </c>
      <c r="W393" s="106"/>
      <c r="X393" s="106"/>
      <c r="Y393" s="217"/>
      <c r="Z393" s="257"/>
    </row>
    <row r="394" spans="1:26" ht="15.6">
      <c r="A394" s="106"/>
      <c r="B394" s="106"/>
      <c r="C394" s="108"/>
      <c r="D394" s="303"/>
      <c r="E394" s="106"/>
      <c r="F394" s="106"/>
      <c r="G394" s="106"/>
      <c r="H394" s="106"/>
      <c r="I394" s="105"/>
      <c r="J394" s="108"/>
      <c r="K394" s="108"/>
      <c r="L394" s="106"/>
      <c r="M394" s="106"/>
      <c r="N394" s="106"/>
      <c r="O394" s="483"/>
      <c r="P394" s="483"/>
      <c r="Q394" s="109"/>
      <c r="R394" s="289"/>
      <c r="S394" s="107"/>
      <c r="T394" s="106"/>
      <c r="U394" s="106"/>
      <c r="V394" s="127">
        <f>Table62689345679[[#This Row],[PO Value]]-Table62689345679[[#This Row],[Offer Value]]</f>
        <v>0</v>
      </c>
      <c r="W394" s="106"/>
      <c r="X394" s="106"/>
      <c r="Y394" s="217"/>
      <c r="Z394" s="257"/>
    </row>
    <row r="395" spans="1:26" ht="15.6">
      <c r="A395" s="106"/>
      <c r="B395" s="106"/>
      <c r="C395" s="108"/>
      <c r="D395" s="303"/>
      <c r="E395" s="106"/>
      <c r="F395" s="106"/>
      <c r="G395" s="106"/>
      <c r="H395" s="106"/>
      <c r="I395" s="105"/>
      <c r="J395" s="108"/>
      <c r="K395" s="108"/>
      <c r="L395" s="106"/>
      <c r="M395" s="106"/>
      <c r="N395" s="106"/>
      <c r="O395" s="483"/>
      <c r="P395" s="483"/>
      <c r="Q395" s="109"/>
      <c r="R395" s="289"/>
      <c r="S395" s="107"/>
      <c r="T395" s="106"/>
      <c r="U395" s="106"/>
      <c r="V395" s="127">
        <f>Table62689345679[[#This Row],[PO Value]]-Table62689345679[[#This Row],[Offer Value]]</f>
        <v>0</v>
      </c>
      <c r="W395" s="106"/>
      <c r="X395" s="106"/>
      <c r="Y395" s="217"/>
      <c r="Z395" s="257"/>
    </row>
    <row r="396" spans="1:26" ht="15.6">
      <c r="A396" s="106"/>
      <c r="B396" s="106"/>
      <c r="C396" s="108"/>
      <c r="D396" s="303"/>
      <c r="E396" s="106"/>
      <c r="F396" s="106"/>
      <c r="G396" s="106"/>
      <c r="H396" s="106"/>
      <c r="I396" s="105"/>
      <c r="J396" s="108"/>
      <c r="K396" s="108"/>
      <c r="L396" s="106"/>
      <c r="M396" s="106"/>
      <c r="N396" s="106"/>
      <c r="O396" s="483"/>
      <c r="P396" s="483"/>
      <c r="Q396" s="109"/>
      <c r="R396" s="289"/>
      <c r="S396" s="107"/>
      <c r="T396" s="106"/>
      <c r="U396" s="106"/>
      <c r="V396" s="127">
        <f>Table62689345679[[#This Row],[PO Value]]-Table62689345679[[#This Row],[Offer Value]]</f>
        <v>0</v>
      </c>
      <c r="W396" s="106"/>
      <c r="X396" s="106"/>
      <c r="Y396" s="217"/>
      <c r="Z396" s="257"/>
    </row>
    <row r="397" spans="1:26" ht="15.6">
      <c r="A397" s="106"/>
      <c r="B397" s="106"/>
      <c r="C397" s="108"/>
      <c r="D397" s="303"/>
      <c r="E397" s="106"/>
      <c r="F397" s="106"/>
      <c r="G397" s="106"/>
      <c r="H397" s="106"/>
      <c r="I397" s="105"/>
      <c r="J397" s="108"/>
      <c r="K397" s="108"/>
      <c r="L397" s="106"/>
      <c r="M397" s="106"/>
      <c r="N397" s="106"/>
      <c r="O397" s="483"/>
      <c r="P397" s="483"/>
      <c r="Q397" s="109"/>
      <c r="R397" s="289"/>
      <c r="S397" s="107"/>
      <c r="T397" s="106"/>
      <c r="U397" s="106"/>
      <c r="V397" s="127">
        <f>Table62689345679[[#This Row],[PO Value]]-Table62689345679[[#This Row],[Offer Value]]</f>
        <v>0</v>
      </c>
      <c r="W397" s="106"/>
      <c r="X397" s="106"/>
      <c r="Y397" s="217"/>
      <c r="Z397" s="257"/>
    </row>
    <row r="398" spans="1:26" ht="15.6">
      <c r="A398" s="106"/>
      <c r="B398" s="106"/>
      <c r="C398" s="108"/>
      <c r="D398" s="303"/>
      <c r="E398" s="106"/>
      <c r="F398" s="106"/>
      <c r="G398" s="106"/>
      <c r="H398" s="106"/>
      <c r="I398" s="105"/>
      <c r="J398" s="108"/>
      <c r="K398" s="108"/>
      <c r="L398" s="106"/>
      <c r="M398" s="106"/>
      <c r="N398" s="106"/>
      <c r="O398" s="483"/>
      <c r="P398" s="483"/>
      <c r="Q398" s="109"/>
      <c r="R398" s="289"/>
      <c r="S398" s="107"/>
      <c r="T398" s="106"/>
      <c r="U398" s="106"/>
      <c r="V398" s="127">
        <f>Table62689345679[[#This Row],[PO Value]]-Table62689345679[[#This Row],[Offer Value]]</f>
        <v>0</v>
      </c>
      <c r="W398" s="106"/>
      <c r="X398" s="106"/>
      <c r="Y398" s="217"/>
      <c r="Z398" s="257"/>
    </row>
    <row r="399" spans="1:26" ht="15.6">
      <c r="A399" s="106"/>
      <c r="B399" s="106"/>
      <c r="C399" s="108"/>
      <c r="D399" s="303"/>
      <c r="E399" s="106"/>
      <c r="F399" s="106"/>
      <c r="G399" s="106"/>
      <c r="H399" s="106"/>
      <c r="I399" s="105"/>
      <c r="J399" s="108"/>
      <c r="K399" s="108"/>
      <c r="L399" s="106"/>
      <c r="M399" s="106"/>
      <c r="N399" s="128"/>
      <c r="O399" s="483"/>
      <c r="P399" s="483"/>
      <c r="Q399" s="109"/>
      <c r="R399" s="619"/>
      <c r="S399" s="130"/>
      <c r="T399" s="106"/>
      <c r="U399" s="129"/>
      <c r="V399" s="127">
        <f>Table62689345679[[#This Row],[PO Value]]-Table62689345679[[#This Row],[Offer Value]]</f>
        <v>0</v>
      </c>
      <c r="W399" s="106"/>
      <c r="X399" s="106"/>
      <c r="Y399" s="620"/>
      <c r="Z399" s="354"/>
    </row>
    <row r="400" spans="1:26" ht="15.6">
      <c r="A400" s="118"/>
      <c r="B400" s="119"/>
      <c r="C400" s="108"/>
      <c r="D400" s="303"/>
      <c r="E400" s="120"/>
      <c r="F400" s="120"/>
      <c r="G400" s="120"/>
      <c r="H400" s="120"/>
      <c r="I400" s="105"/>
      <c r="J400" s="108"/>
      <c r="K400" s="108"/>
      <c r="L400" s="120"/>
      <c r="M400" s="122"/>
      <c r="N400" s="131"/>
      <c r="O400" s="483"/>
      <c r="P400" s="483"/>
      <c r="Q400" s="124"/>
      <c r="R400" s="122"/>
      <c r="S400" s="125"/>
      <c r="T400" s="123"/>
      <c r="U400" s="131"/>
      <c r="V400" s="127">
        <f>Table62689345679[[#This Row],[PO Value]]-Table62689345679[[#This Row],[Offer Value]]</f>
        <v>0</v>
      </c>
      <c r="W400" s="123"/>
      <c r="X400" s="123"/>
      <c r="Y400" s="621"/>
      <c r="Z400" s="39"/>
    </row>
    <row r="401" spans="1:26" ht="15.6">
      <c r="A401" s="118"/>
      <c r="B401" s="119"/>
      <c r="C401" s="108"/>
      <c r="D401" s="303"/>
      <c r="E401" s="120"/>
      <c r="F401" s="120"/>
      <c r="G401" s="120"/>
      <c r="H401" s="120"/>
      <c r="I401" s="105"/>
      <c r="J401" s="108"/>
      <c r="K401" s="108"/>
      <c r="L401" s="120"/>
      <c r="M401" s="122"/>
      <c r="N401" s="131"/>
      <c r="O401" s="483"/>
      <c r="P401" s="483"/>
      <c r="Q401" s="124"/>
      <c r="R401" s="122"/>
      <c r="S401" s="125"/>
      <c r="T401" s="123"/>
      <c r="U401" s="131"/>
      <c r="V401" s="127">
        <f>Table62689345679[[#This Row],[PO Value]]-Table62689345679[[#This Row],[Offer Value]]</f>
        <v>0</v>
      </c>
      <c r="W401" s="123"/>
      <c r="X401" s="123"/>
      <c r="Y401" s="621"/>
      <c r="Z401" s="39"/>
    </row>
    <row r="402" spans="1:26" ht="15.6">
      <c r="A402" s="118"/>
      <c r="B402" s="126"/>
      <c r="C402" s="108"/>
      <c r="D402" s="303"/>
      <c r="E402" s="120"/>
      <c r="F402" s="120"/>
      <c r="G402" s="120"/>
      <c r="H402" s="120"/>
      <c r="I402" s="105"/>
      <c r="J402" s="108"/>
      <c r="K402" s="108"/>
      <c r="L402" s="120"/>
      <c r="M402" s="122"/>
      <c r="N402" s="131"/>
      <c r="O402" s="483"/>
      <c r="P402" s="483"/>
      <c r="Q402" s="124"/>
      <c r="R402" s="122"/>
      <c r="S402" s="125"/>
      <c r="T402" s="131"/>
      <c r="U402" s="131"/>
      <c r="V402" s="127">
        <f>Table62689345679[[#This Row],[PO Value]]-Table62689345679[[#This Row],[Offer Value]]</f>
        <v>0</v>
      </c>
      <c r="W402" s="123"/>
      <c r="X402" s="123"/>
      <c r="Y402" s="621"/>
      <c r="Z402" s="39"/>
    </row>
    <row r="403" spans="1:26" ht="15.6">
      <c r="A403" s="118"/>
      <c r="B403" s="119"/>
      <c r="C403" s="108"/>
      <c r="D403" s="303"/>
      <c r="E403" s="120"/>
      <c r="F403" s="120"/>
      <c r="G403" s="120"/>
      <c r="H403" s="120"/>
      <c r="I403" s="105"/>
      <c r="J403" s="108"/>
      <c r="K403" s="108"/>
      <c r="L403" s="120"/>
      <c r="M403" s="122"/>
      <c r="N403" s="131"/>
      <c r="O403" s="483"/>
      <c r="P403" s="483"/>
      <c r="Q403" s="124"/>
      <c r="R403" s="122"/>
      <c r="S403" s="125"/>
      <c r="T403" s="123"/>
      <c r="U403" s="131"/>
      <c r="V403" s="127">
        <f>Table62689345679[[#This Row],[PO Value]]-Table62689345679[[#This Row],[Offer Value]]</f>
        <v>0</v>
      </c>
      <c r="W403" s="123"/>
      <c r="X403" s="123"/>
      <c r="Y403" s="621"/>
      <c r="Z403" s="39"/>
    </row>
    <row r="404" spans="1:26" ht="15.6">
      <c r="A404" s="33"/>
      <c r="B404" s="34"/>
      <c r="C404" s="108"/>
      <c r="D404" s="303"/>
      <c r="E404" s="35"/>
      <c r="F404" s="35"/>
      <c r="G404" s="35"/>
      <c r="H404" s="35"/>
      <c r="I404" s="105"/>
      <c r="J404" s="108"/>
      <c r="K404" s="108"/>
      <c r="L404" s="35"/>
      <c r="M404" s="37"/>
      <c r="N404" s="38"/>
      <c r="O404" s="483"/>
      <c r="P404" s="483"/>
      <c r="Q404" s="98"/>
      <c r="R404" s="37"/>
      <c r="S404" s="40"/>
      <c r="T404" s="39"/>
      <c r="U404" s="41"/>
      <c r="V404" s="127">
        <f>Table62689345679[[#This Row],[PO Value]]-Table62689345679[[#This Row],[Offer Value]]</f>
        <v>0</v>
      </c>
      <c r="W404" s="39"/>
      <c r="X404" s="39"/>
      <c r="Y404" s="622"/>
      <c r="Z404" s="39"/>
    </row>
    <row r="405" spans="1:26" ht="15.6">
      <c r="A405" s="33"/>
      <c r="B405" s="34"/>
      <c r="C405" s="108"/>
      <c r="D405" s="303"/>
      <c r="E405" s="35"/>
      <c r="F405" s="35"/>
      <c r="G405" s="35"/>
      <c r="H405" s="35"/>
      <c r="I405" s="105"/>
      <c r="J405" s="108"/>
      <c r="K405" s="108"/>
      <c r="L405" s="35"/>
      <c r="M405" s="37"/>
      <c r="N405" s="38"/>
      <c r="O405" s="483"/>
      <c r="P405" s="483"/>
      <c r="Q405" s="98"/>
      <c r="R405" s="37"/>
      <c r="S405" s="40"/>
      <c r="T405" s="39"/>
      <c r="U405" s="41"/>
      <c r="V405" s="127">
        <f>Table62689345679[[#This Row],[PO Value]]-Table62689345679[[#This Row],[Offer Value]]</f>
        <v>0</v>
      </c>
      <c r="W405" s="39"/>
      <c r="X405" s="39"/>
      <c r="Y405" s="622"/>
      <c r="Z405" s="39"/>
    </row>
    <row r="406" spans="1:26" ht="15.6">
      <c r="A406" s="33"/>
      <c r="B406" s="34"/>
      <c r="C406" s="108"/>
      <c r="D406" s="303"/>
      <c r="E406" s="35"/>
      <c r="F406" s="35"/>
      <c r="G406" s="35"/>
      <c r="H406" s="35"/>
      <c r="I406" s="105"/>
      <c r="J406" s="108"/>
      <c r="K406" s="108"/>
      <c r="L406" s="35"/>
      <c r="M406" s="37"/>
      <c r="N406" s="38"/>
      <c r="O406" s="483"/>
      <c r="P406" s="483"/>
      <c r="Q406" s="98"/>
      <c r="R406" s="37"/>
      <c r="S406" s="40"/>
      <c r="T406" s="39"/>
      <c r="U406" s="41"/>
      <c r="V406" s="127">
        <f>Table62689345679[[#This Row],[PO Value]]-Table62689345679[[#This Row],[Offer Value]]</f>
        <v>0</v>
      </c>
      <c r="W406" s="39"/>
      <c r="X406" s="39"/>
      <c r="Y406" s="622"/>
      <c r="Z406" s="39"/>
    </row>
    <row r="407" spans="1:26" ht="15.6">
      <c r="A407" s="33"/>
      <c r="B407" s="34"/>
      <c r="C407" s="108"/>
      <c r="D407" s="303"/>
      <c r="E407" s="35"/>
      <c r="F407" s="35"/>
      <c r="G407" s="35"/>
      <c r="H407" s="35"/>
      <c r="I407" s="105"/>
      <c r="J407" s="108"/>
      <c r="K407" s="108"/>
      <c r="L407" s="35"/>
      <c r="M407" s="37"/>
      <c r="N407" s="38"/>
      <c r="O407" s="483"/>
      <c r="P407" s="483"/>
      <c r="Q407" s="98"/>
      <c r="R407" s="37"/>
      <c r="S407" s="40"/>
      <c r="T407" s="39"/>
      <c r="U407" s="41"/>
      <c r="V407" s="127">
        <f>Table62689345679[[#This Row],[PO Value]]-Table62689345679[[#This Row],[Offer Value]]</f>
        <v>0</v>
      </c>
      <c r="W407" s="39"/>
      <c r="X407" s="39"/>
      <c r="Y407" s="622"/>
      <c r="Z407" s="39"/>
    </row>
    <row r="408" spans="1:26" ht="15.6">
      <c r="A408" s="33"/>
      <c r="B408" s="34"/>
      <c r="C408" s="108"/>
      <c r="D408" s="303"/>
      <c r="E408" s="35"/>
      <c r="F408" s="35"/>
      <c r="G408" s="35"/>
      <c r="H408" s="35"/>
      <c r="I408" s="105"/>
      <c r="J408" s="108"/>
      <c r="K408" s="108"/>
      <c r="L408" s="35"/>
      <c r="M408" s="37"/>
      <c r="N408" s="38"/>
      <c r="O408" s="38"/>
      <c r="P408" s="483"/>
      <c r="Q408" s="98"/>
      <c r="R408" s="37"/>
      <c r="S408" s="40"/>
      <c r="T408" s="39"/>
      <c r="U408" s="41"/>
      <c r="V408" s="127">
        <f>Table62689345679[[#This Row],[PO Value]]-Table62689345679[[#This Row],[Offer Value]]</f>
        <v>0</v>
      </c>
      <c r="W408" s="39"/>
      <c r="X408" s="39"/>
      <c r="Y408" s="622"/>
      <c r="Z408" s="39"/>
    </row>
    <row r="409" spans="1:26" ht="15.6">
      <c r="A409" s="33"/>
      <c r="B409" s="34"/>
      <c r="C409" s="108"/>
      <c r="D409" s="303"/>
      <c r="E409" s="35"/>
      <c r="F409" s="35"/>
      <c r="G409" s="35"/>
      <c r="H409" s="35"/>
      <c r="I409" s="105"/>
      <c r="J409" s="108"/>
      <c r="K409" s="108"/>
      <c r="L409" s="35"/>
      <c r="M409" s="37"/>
      <c r="N409" s="38"/>
      <c r="O409" s="38"/>
      <c r="P409" s="483"/>
      <c r="Q409" s="98"/>
      <c r="R409" s="37"/>
      <c r="S409" s="40"/>
      <c r="T409" s="39"/>
      <c r="U409" s="41"/>
      <c r="V409" s="127">
        <f>Table62689345679[[#This Row],[PO Value]]-Table62689345679[[#This Row],[Offer Value]]</f>
        <v>0</v>
      </c>
      <c r="W409" s="39"/>
      <c r="X409" s="39"/>
      <c r="Y409" s="622"/>
      <c r="Z409" s="39"/>
    </row>
    <row r="410" spans="1:26" ht="15.6">
      <c r="A410" s="33"/>
      <c r="B410" s="34"/>
      <c r="C410" s="108"/>
      <c r="D410" s="303"/>
      <c r="E410" s="35"/>
      <c r="F410" s="35"/>
      <c r="G410" s="35"/>
      <c r="H410" s="35"/>
      <c r="I410" s="105"/>
      <c r="J410" s="108"/>
      <c r="K410" s="108"/>
      <c r="L410" s="35"/>
      <c r="M410" s="37"/>
      <c r="N410" s="38"/>
      <c r="O410" s="38"/>
      <c r="P410" s="483"/>
      <c r="Q410" s="98"/>
      <c r="R410" s="37"/>
      <c r="S410" s="40"/>
      <c r="T410" s="39"/>
      <c r="U410" s="41"/>
      <c r="V410" s="127">
        <f>Table62689345679[[#This Row],[PO Value]]-Table62689345679[[#This Row],[Offer Value]]</f>
        <v>0</v>
      </c>
      <c r="W410" s="39"/>
      <c r="X410" s="39"/>
      <c r="Y410" s="622"/>
      <c r="Z410" s="39"/>
    </row>
    <row r="411" spans="1:26" ht="15.6">
      <c r="A411" s="33"/>
      <c r="B411" s="34"/>
      <c r="C411" s="108"/>
      <c r="D411" s="303"/>
      <c r="E411" s="35"/>
      <c r="F411" s="35"/>
      <c r="G411" s="35"/>
      <c r="H411" s="35"/>
      <c r="I411" s="105"/>
      <c r="J411" s="108"/>
      <c r="K411" s="108"/>
      <c r="L411" s="35"/>
      <c r="M411" s="37"/>
      <c r="N411" s="38"/>
      <c r="O411" s="38"/>
      <c r="P411" s="483"/>
      <c r="Q411" s="98"/>
      <c r="R411" s="37"/>
      <c r="S411" s="40"/>
      <c r="T411" s="39"/>
      <c r="U411" s="41"/>
      <c r="V411" s="127">
        <f>Table62689345679[[#This Row],[PO Value]]-Table62689345679[[#This Row],[Offer Value]]</f>
        <v>0</v>
      </c>
      <c r="W411" s="39"/>
      <c r="X411" s="39"/>
      <c r="Y411" s="622"/>
      <c r="Z411" s="39"/>
    </row>
    <row r="412" spans="1:26" ht="15.6">
      <c r="A412" s="33"/>
      <c r="B412" s="34"/>
      <c r="C412" s="108"/>
      <c r="D412" s="303"/>
      <c r="E412" s="35"/>
      <c r="F412" s="35"/>
      <c r="G412" s="35"/>
      <c r="H412" s="35"/>
      <c r="I412" s="105"/>
      <c r="J412" s="108"/>
      <c r="K412" s="108"/>
      <c r="L412" s="35"/>
      <c r="M412" s="37"/>
      <c r="N412" s="38"/>
      <c r="O412" s="38"/>
      <c r="P412" s="483"/>
      <c r="Q412" s="98"/>
      <c r="R412" s="37"/>
      <c r="S412" s="40"/>
      <c r="T412" s="39"/>
      <c r="U412" s="41"/>
      <c r="V412" s="127">
        <f>Table62689345679[[#This Row],[PO Value]]-Table62689345679[[#This Row],[Offer Value]]</f>
        <v>0</v>
      </c>
      <c r="W412" s="39"/>
      <c r="X412" s="39"/>
      <c r="Y412" s="622"/>
      <c r="Z412" s="39"/>
    </row>
    <row r="413" spans="1:26" ht="15.6">
      <c r="A413" s="42"/>
      <c r="B413" s="43"/>
      <c r="C413" s="44"/>
      <c r="D413" s="303"/>
      <c r="E413" s="44"/>
      <c r="F413" s="44"/>
      <c r="G413" s="44"/>
      <c r="H413" s="44"/>
      <c r="I413" s="105"/>
      <c r="J413" s="108"/>
      <c r="K413" s="108"/>
      <c r="L413" s="44"/>
      <c r="M413" s="45"/>
      <c r="N413" s="38"/>
      <c r="O413" s="38"/>
      <c r="P413" s="483"/>
      <c r="Q413" s="99"/>
      <c r="R413" s="623"/>
      <c r="S413" s="46"/>
      <c r="T413" s="7"/>
      <c r="U413" s="47"/>
      <c r="V413" s="127">
        <f>Table62689345679[[#This Row],[PO Value]]-Table62689345679[[#This Row],[Offer Value]]</f>
        <v>0</v>
      </c>
      <c r="W413" s="7"/>
      <c r="X413" s="7"/>
      <c r="Y413" s="624"/>
      <c r="Z413" s="7"/>
    </row>
    <row r="451" spans="6:8" ht="15.6">
      <c r="F451" s="105"/>
      <c r="G451" s="105" t="s">
        <v>120</v>
      </c>
      <c r="H451" s="105" t="s">
        <v>125</v>
      </c>
    </row>
    <row r="452" spans="6:8" ht="15.6">
      <c r="F452" s="105" t="s">
        <v>2244</v>
      </c>
      <c r="G452" s="105">
        <f>SUMIFS(N7:N445,J7:J445,"=SPP",K7:K445,"=YES")</f>
        <v>13011006</v>
      </c>
      <c r="H452" s="105">
        <f>SUMIFS(T7:T445,J7:J445,"=SPP",K7:K445,"=YES")</f>
        <v>7177118</v>
      </c>
    </row>
    <row r="453" spans="6:8" ht="15.6">
      <c r="F453" s="105" t="s">
        <v>2245</v>
      </c>
      <c r="G453" s="105">
        <f>SUMIFS(N7:N446,J7:J446,"=Contract",K7:K446,"=YES")</f>
        <v>1247000</v>
      </c>
      <c r="H453" s="105">
        <f>SUMIFS(T7:T446,J7:J446,"=Contract",K7:K446,"=YES")</f>
        <v>1232100</v>
      </c>
    </row>
    <row r="454" spans="6:8" ht="15.6">
      <c r="F454" s="105" t="s">
        <v>2246</v>
      </c>
      <c r="G454" s="105">
        <f>SUMIFS(N7:N447,J7:J447,"=Retrofit Kit",K7:K447,"=YES")</f>
        <v>0</v>
      </c>
      <c r="H454" s="105">
        <f>SUMIFS(T9:T447,J9:J447,"=Retrofit kit",K9:K447,"=YES")</f>
        <v>0</v>
      </c>
    </row>
    <row r="455" spans="6:8" ht="15.6">
      <c r="F455" s="105" t="s">
        <v>2247</v>
      </c>
      <c r="G455" s="105">
        <f>SUMIFS(N7:N448,J7:J448,"=Midlife Upgrade",K7:K448,"=YES")</f>
        <v>694970</v>
      </c>
      <c r="H455" s="105">
        <f>SUMIFS(T7:T448,J7:J448,"=Midlife Upgrade",K7:K448,"=YES")</f>
        <v>660221</v>
      </c>
    </row>
    <row r="456" spans="6:8" ht="15.6">
      <c r="F456" s="105"/>
      <c r="G456" s="105"/>
      <c r="H456" s="105"/>
    </row>
    <row r="457" spans="6:8" ht="15.6">
      <c r="F457" s="105"/>
      <c r="G457" s="105"/>
      <c r="H457" s="105"/>
    </row>
    <row r="458" spans="6:8" ht="15.6">
      <c r="F458" s="105" t="s">
        <v>2248</v>
      </c>
      <c r="G458" s="105">
        <f>SUMIFS(N7:N451,J7:J451,"=Relocation",K7:K451,"=No")</f>
        <v>1885600</v>
      </c>
      <c r="H458" s="105">
        <f>SUMIFS(T7:T451,J7:J451,"=Relocation",K7:K451,"=No")</f>
        <v>1857600</v>
      </c>
    </row>
    <row r="459" spans="6:8" ht="15.6">
      <c r="F459" s="105" t="s">
        <v>2249</v>
      </c>
      <c r="G459" s="105">
        <f>SUMIFS(O264:O452,K264:K452,"=SPP",K264:K452,"=BD Spare",L264:L452,"=No")</f>
        <v>0</v>
      </c>
      <c r="H459" s="105" t="e">
        <f>SUMIFS(U271:U452,K120:K452,"=Relocation",L120:L452,"=No")</f>
        <v>#VALUE!</v>
      </c>
    </row>
    <row r="460" spans="6:8" ht="15.6">
      <c r="F460" s="105" t="s">
        <v>2250</v>
      </c>
      <c r="G460" s="105">
        <f>SUMIFS(N7:N453,J7:J453,"=Contract",K7:K453,"=No")</f>
        <v>8685325</v>
      </c>
      <c r="H460" s="105">
        <f>SUMIFS(T7:T453,J7:J453,"=Contract",K7:K453,"=No")</f>
        <v>6806225</v>
      </c>
    </row>
  </sheetData>
  <mergeCells count="1">
    <mergeCell ref="Z5:AA5"/>
  </mergeCells>
  <conditionalFormatting sqref="L7">
    <cfRule type="duplicateValues" dxfId="100" priority="14"/>
  </conditionalFormatting>
  <conditionalFormatting sqref="L29">
    <cfRule type="duplicateValues" dxfId="99" priority="34"/>
  </conditionalFormatting>
  <conditionalFormatting sqref="L30">
    <cfRule type="duplicateValues" dxfId="98" priority="33"/>
  </conditionalFormatting>
  <conditionalFormatting sqref="L31">
    <cfRule type="duplicateValues" dxfId="97" priority="32"/>
  </conditionalFormatting>
  <conditionalFormatting sqref="L32">
    <cfRule type="duplicateValues" dxfId="96" priority="31"/>
  </conditionalFormatting>
  <conditionalFormatting sqref="L33:L34">
    <cfRule type="duplicateValues" dxfId="95" priority="30"/>
  </conditionalFormatting>
  <conditionalFormatting sqref="L35">
    <cfRule type="duplicateValues" dxfId="94" priority="28"/>
  </conditionalFormatting>
  <conditionalFormatting sqref="L36:L38">
    <cfRule type="duplicateValues" dxfId="93" priority="4"/>
  </conditionalFormatting>
  <conditionalFormatting sqref="L39:L40">
    <cfRule type="duplicateValues" dxfId="92" priority="25"/>
  </conditionalFormatting>
  <conditionalFormatting sqref="L41:L43">
    <cfRule type="duplicateValues" dxfId="91" priority="24"/>
  </conditionalFormatting>
  <conditionalFormatting sqref="L44">
    <cfRule type="duplicateValues" dxfId="90" priority="23"/>
  </conditionalFormatting>
  <conditionalFormatting sqref="L45:L46">
    <cfRule type="duplicateValues" dxfId="89" priority="22"/>
  </conditionalFormatting>
  <conditionalFormatting sqref="L47:L56">
    <cfRule type="duplicateValues" dxfId="88" priority="21"/>
  </conditionalFormatting>
  <conditionalFormatting sqref="L57:L90">
    <cfRule type="duplicateValues" dxfId="87" priority="20"/>
  </conditionalFormatting>
  <conditionalFormatting sqref="L94:L104">
    <cfRule type="duplicateValues" dxfId="86" priority="1"/>
  </conditionalFormatting>
  <conditionalFormatting sqref="L109">
    <cfRule type="duplicateValues" dxfId="85" priority="2"/>
  </conditionalFormatting>
  <conditionalFormatting sqref="L206:L208 L1:L6 L228:L1048576 L15:L28 L91:L93 L142:L143 L156:L158 L136:L138 L161:L164">
    <cfRule type="duplicateValues" dxfId="84" priority="35"/>
  </conditionalFormatting>
  <conditionalFormatting sqref="R1:R6 R11 R14 R17:R19 R26:R28 R30:R34 R39:R1048576">
    <cfRule type="duplicateValues" dxfId="83" priority="15"/>
  </conditionalFormatting>
  <conditionalFormatting sqref="R7">
    <cfRule type="duplicateValues" dxfId="82" priority="13"/>
  </conditionalFormatting>
  <conditionalFormatting sqref="R8:R10">
    <cfRule type="duplicateValues" dxfId="81" priority="12"/>
  </conditionalFormatting>
  <conditionalFormatting sqref="R12">
    <cfRule type="duplicateValues" dxfId="80" priority="11"/>
  </conditionalFormatting>
  <conditionalFormatting sqref="R13">
    <cfRule type="duplicateValues" dxfId="79" priority="10"/>
  </conditionalFormatting>
  <conditionalFormatting sqref="R15:R16">
    <cfRule type="duplicateValues" dxfId="78" priority="9"/>
  </conditionalFormatting>
  <conditionalFormatting sqref="R20">
    <cfRule type="duplicateValues" dxfId="77" priority="8"/>
  </conditionalFormatting>
  <conditionalFormatting sqref="R21:R25">
    <cfRule type="duplicateValues" dxfId="76" priority="7"/>
  </conditionalFormatting>
  <conditionalFormatting sqref="R29">
    <cfRule type="duplicateValues" dxfId="75" priority="6"/>
  </conditionalFormatting>
  <conditionalFormatting sqref="R35">
    <cfRule type="duplicateValues" dxfId="74" priority="5"/>
  </conditionalFormatting>
  <conditionalFormatting sqref="R36:R38">
    <cfRule type="duplicateValues" dxfId="73" priority="3"/>
  </conditionalFormatting>
  <dataValidations count="2">
    <dataValidation type="custom" allowBlank="1" showInputMessage="1" showErrorMessage="1" errorTitle="Error" error="Entered data format is wrong" promptTitle="Enter Date format : 01/10/2021 " sqref="B400:B651" xr:uid="{EBCA1D31-CCA7-47E1-B244-E2804B893E79}">
      <formula1>AND(ISNUMBER(B400),LEFT(CELL("format",B400),1)="D")</formula1>
    </dataValidation>
    <dataValidation type="list" allowBlank="1" showInputMessage="1" showErrorMessage="1" error="Do not Enter any other text except Month" sqref="T400:T401 T403:T412" xr:uid="{CCA88081-E28A-4FF4-A7AE-C2B0C60C7370}">
      <formula1>#REF!</formula1>
    </dataValidation>
  </dataValidations>
  <hyperlinks>
    <hyperlink ref="H7" r:id="rId1" display="mailto:krunal.patel@kolsitegroup.com" xr:uid="{2CA6050A-D950-46A6-9A36-E3691953783F}"/>
    <hyperlink ref="H8" r:id="rId2" xr:uid="{22DA3E4A-16AF-4D81-9DE5-706C634D107C}"/>
    <hyperlink ref="H9" r:id="rId3" xr:uid="{88F4EA3B-4DD4-4ACC-8F4D-8FE330C13A70}"/>
    <hyperlink ref="H10" r:id="rId4" xr:uid="{DB664307-86D5-459B-9000-53F2157862E0}"/>
    <hyperlink ref="H11" r:id="rId5" display="mailto:rakesh.shah@celloworld.com" xr:uid="{99F510EB-319E-46FA-9152-1661CD561F03}"/>
    <hyperlink ref="H12" r:id="rId6" display="mailto:jaikoindustries2011@gmail.com" xr:uid="{E42F303F-4D3C-4AD4-AD58-9CB93625CF33}"/>
    <hyperlink ref="H13" r:id="rId7" xr:uid="{06CE9C89-59AD-4074-8145-639B1358C5FE}"/>
    <hyperlink ref="H14" r:id="rId8" xr:uid="{3A16B30D-499C-4537-A4B4-0B43A5C6353E}"/>
    <hyperlink ref="H15" r:id="rId9" xr:uid="{A683F6CB-9701-45A7-B216-3A4149D8CD6A}"/>
    <hyperlink ref="H16" r:id="rId10" xr:uid="{A6510101-F7A9-4C7E-BA6F-4F2725490830}"/>
    <hyperlink ref="H17" r:id="rId11" xr:uid="{C3F2F5FF-9ED3-4284-8A68-954AE2D72966}"/>
    <hyperlink ref="H18" r:id="rId12" display="mailto:daupadhyay@akaaish.com" xr:uid="{3FBAE96A-B2E5-4B97-876B-CC842EA49E05}"/>
    <hyperlink ref="H19" r:id="rId13" xr:uid="{2C337721-4A03-427E-A6D5-EC969962A1EE}"/>
    <hyperlink ref="H20" r:id="rId14" xr:uid="{D5CBA9A5-6EF4-42EC-B5BC-BA36F9434DFD}"/>
    <hyperlink ref="H21" r:id="rId15" xr:uid="{3E769BD6-44E7-4079-A705-E03E4DFAD888}"/>
    <hyperlink ref="H22" r:id="rId16" xr:uid="{944D8165-77CC-4EFF-B004-06405556E9CE}"/>
    <hyperlink ref="H23" r:id="rId17" xr:uid="{35222F68-0637-46AF-9B21-2B72EF9F33D6}"/>
    <hyperlink ref="H24" r:id="rId18" xr:uid="{92B544FF-4E9C-4EF6-AA8F-B16A8C69EA54}"/>
    <hyperlink ref="H25" r:id="rId19" xr:uid="{45DF8DFB-464A-4BBC-86C6-B34676D7580E}"/>
    <hyperlink ref="H26" r:id="rId20" display="mailto:Kalpesh_Panchal@milacron.com" xr:uid="{A76F9D38-149B-4901-8B20-E1ACB065D311}"/>
    <hyperlink ref="H27" r:id="rId21" display="mailto:Kalpesh_Panchal@milacron.com" xr:uid="{AE65C68B-6FEE-40FC-8FB8-832DFFFB38CA}"/>
    <hyperlink ref="H28" r:id="rId22" display="mailto:Kalpesh_Panchal@milacron.com" xr:uid="{76BC31CA-DD0E-43E4-B265-FEC93F382B1A}"/>
    <hyperlink ref="H29" r:id="rId23" display="mailto:c-purchase@prashantgroup.com" xr:uid="{6F7B6AFC-4846-43EB-8106-DF1C93665D28}"/>
    <hyperlink ref="H30" r:id="rId24" xr:uid="{7E7A4213-9FC6-48F9-814B-F67400FB5C45}"/>
    <hyperlink ref="H31" r:id="rId25" xr:uid="{9CD05362-0A2B-48B7-8E9E-B3AD166AA390}"/>
    <hyperlink ref="H32" r:id="rId26" xr:uid="{6F49F49D-1822-4049-9BA4-A2CAEA0C3BE3}"/>
    <hyperlink ref="H33" r:id="rId27" xr:uid="{3E139844-9AF8-46FA-A864-9EB1148EB0FA}"/>
    <hyperlink ref="H34" r:id="rId28" xr:uid="{EF7F5794-AEDD-47FE-AE07-0202F5B5E136}"/>
    <hyperlink ref="H35" r:id="rId29" xr:uid="{79A7526E-BF74-4370-8268-F6E380025919}"/>
    <hyperlink ref="H36" r:id="rId30" xr:uid="{C6090B53-050C-4CDE-8BFD-E0B2A16EFB6D}"/>
    <hyperlink ref="H37" r:id="rId31" xr:uid="{55B12616-854B-4C4D-BA5A-5480326F717E}"/>
    <hyperlink ref="H38" r:id="rId32" xr:uid="{D2415ECD-2EB8-49E4-AAAC-0C7682C6B2F7}"/>
    <hyperlink ref="H39" r:id="rId33" xr:uid="{8459DFCB-BE3D-4486-BD9E-20D629045FB7}"/>
    <hyperlink ref="H40" r:id="rId34" xr:uid="{8A9A1295-CF8C-4D4C-9771-2923B4EBD5A7}"/>
    <hyperlink ref="H41" r:id="rId35" xr:uid="{60933B4F-5E20-428D-968D-9C3C1CBA246A}"/>
    <hyperlink ref="H42" r:id="rId36" xr:uid="{29338574-9778-4042-BC4E-C49B05740990}"/>
    <hyperlink ref="H43" r:id="rId37" xr:uid="{B33DF2F8-5527-46BA-B90B-2EA3FF91EE0B}"/>
    <hyperlink ref="H44" r:id="rId38" xr:uid="{17FE008D-99F5-49DA-93DE-0F2CD6E11912}"/>
    <hyperlink ref="H45" r:id="rId39" xr:uid="{8E6F8CA8-6FBD-4C8A-BC4F-6ACA90148414}"/>
    <hyperlink ref="H46" r:id="rId40" xr:uid="{DABC9A22-EEE9-4971-AA8B-9938133222D1}"/>
    <hyperlink ref="H47" r:id="rId41" xr:uid="{3C0522F1-9B08-4E95-95C2-3F02113A20D9}"/>
    <hyperlink ref="H48" r:id="rId42" display="mailto:parth.bhatwadekar@hitachienergy.com" xr:uid="{B7862E9F-8942-4D67-A0BC-CB953A8F364B}"/>
    <hyperlink ref="H49" r:id="rId43" xr:uid="{CA19FA5C-FA47-4BFC-A784-2CA36298D576}"/>
    <hyperlink ref="H50" r:id="rId44" xr:uid="{BC055D9C-5AEF-47E4-B855-34BD82E5744C}"/>
    <hyperlink ref="H51" r:id="rId45" xr:uid="{9F3310DE-D184-4AEF-B6BE-17DFADA57BE3}"/>
    <hyperlink ref="H52" r:id="rId46" xr:uid="{D61BE59E-8E8E-42EC-B314-65AC75BDA013}"/>
    <hyperlink ref="H53" r:id="rId47" xr:uid="{CDE6D1A6-0533-4E31-B80B-3825EC339A37}"/>
    <hyperlink ref="H54" r:id="rId48" xr:uid="{929CE13A-580C-4591-B997-7F87F604EA9A}"/>
    <hyperlink ref="H55" r:id="rId49" xr:uid="{DECEFE38-706E-4DA7-9B16-1B1C0CB38A01}"/>
    <hyperlink ref="H56" r:id="rId50" xr:uid="{7479BE44-BBD9-42B9-8581-443BB7FF6912}"/>
    <hyperlink ref="H57" r:id="rId51" xr:uid="{34225256-A10F-4F3D-A6A1-25BC6E6576F1}"/>
    <hyperlink ref="H58" r:id="rId52" xr:uid="{DFB70718-C4E3-4B78-91B9-4FFE3EAA0026}"/>
    <hyperlink ref="H59" r:id="rId53" xr:uid="{134F83E8-E965-4C89-90E6-E18BE499C187}"/>
    <hyperlink ref="H60" r:id="rId54" xr:uid="{4D69D864-A49E-4316-899C-29E8FF6863A2}"/>
    <hyperlink ref="H61" r:id="rId55" xr:uid="{68928E70-60C5-4DF7-8D4B-28FB84815DF5}"/>
    <hyperlink ref="H62" r:id="rId56" xr:uid="{EAEFB37B-2AA1-4ED8-B5A3-3EFFDFB7FCB7}"/>
    <hyperlink ref="H63" r:id="rId57" xr:uid="{8A9BB5BE-0B37-4096-A652-F55BA83A35E4}"/>
    <hyperlink ref="H64" r:id="rId58" xr:uid="{04F8F734-4BDC-4740-B985-4D695CE2D09D}"/>
    <hyperlink ref="H65" r:id="rId59" xr:uid="{D1CA7ACD-8AC6-49AE-8787-EA8A72BAA3EA}"/>
    <hyperlink ref="H66" r:id="rId60" xr:uid="{AE91E6EE-413D-484D-AE47-BF7A2754F192}"/>
    <hyperlink ref="H67" r:id="rId61" xr:uid="{7DBC4419-2524-4E1F-A733-54F147AAC37F}"/>
    <hyperlink ref="H68" r:id="rId62" xr:uid="{6345C286-D2FE-4299-9BCB-C5B8DE86A5C2}"/>
    <hyperlink ref="H69" r:id="rId63" xr:uid="{BAA257E1-394B-4BB5-9085-46D5010F8B22}"/>
    <hyperlink ref="H70" r:id="rId64" xr:uid="{C797AC47-461E-4BAB-9A2B-B922B848B8BA}"/>
    <hyperlink ref="H71" r:id="rId65" xr:uid="{E905A886-4574-4D93-B248-B91C4199A2F0}"/>
    <hyperlink ref="H72" r:id="rId66" xr:uid="{C27F3E9A-C225-42E0-8EA7-F5C76397B131}"/>
    <hyperlink ref="H73" r:id="rId67" xr:uid="{F5340457-3D52-449A-89B1-C45EBE22A0FB}"/>
    <hyperlink ref="H74" r:id="rId68" xr:uid="{4DCB3B0A-CDB6-4207-A321-7C1D60A51EE0}"/>
    <hyperlink ref="H75" r:id="rId69" xr:uid="{C5012A5D-F680-4B7C-9D59-E30605A46A3C}"/>
    <hyperlink ref="H76" r:id="rId70" xr:uid="{75557D94-72DC-4864-9F8E-7256B0E950AE}"/>
    <hyperlink ref="H77" r:id="rId71" xr:uid="{F9A9BEDE-BCD6-44C4-90F2-01C282D9D292}"/>
    <hyperlink ref="H78" r:id="rId72" xr:uid="{7BEBA8D3-6905-4CC6-9E0E-7046D3B70712}"/>
    <hyperlink ref="H79" r:id="rId73" xr:uid="{EE40CE9C-311D-43CF-8C54-A218E3A5E9FE}"/>
    <hyperlink ref="H80" r:id="rId74" xr:uid="{7D91E8D8-5F4F-415C-88EF-CD5583F3AF17}"/>
    <hyperlink ref="H81" r:id="rId75" xr:uid="{A9A8A772-7A4C-4AD8-8101-279C80B9E756}"/>
    <hyperlink ref="H82" r:id="rId76" xr:uid="{C5E8EAE3-7792-46EE-A3F4-901B57A8E3C3}"/>
    <hyperlink ref="H83" r:id="rId77" xr:uid="{86DF339D-3375-44DD-A3F4-F5BDE7B37C8B}"/>
    <hyperlink ref="H84" r:id="rId78" xr:uid="{46EB183F-E1A4-41CE-952B-A59FD750EBF7}"/>
    <hyperlink ref="H85" r:id="rId79" xr:uid="{63B9E082-9F93-4627-969D-C3BCEB06B11F}"/>
    <hyperlink ref="H86" r:id="rId80" xr:uid="{74A2487F-2F6A-46B9-B2C1-202BF993D1B1}"/>
    <hyperlink ref="H87" r:id="rId81" xr:uid="{2AE87A4A-B7FC-4E52-B178-6111BD5316C2}"/>
    <hyperlink ref="H88" r:id="rId82" xr:uid="{9C8FCD49-FC4C-41D0-BDE9-E8CAA42E4E72}"/>
    <hyperlink ref="H89" r:id="rId83" xr:uid="{3C443A44-EC88-461C-B2E0-F7271EE26968}"/>
    <hyperlink ref="H90" r:id="rId84" xr:uid="{AD520FCD-078F-46A1-BD07-4619FF42C5D3}"/>
    <hyperlink ref="H91" r:id="rId85" xr:uid="{736B3DCD-7038-4561-B1D0-03BED06FC858}"/>
    <hyperlink ref="H92" r:id="rId86" xr:uid="{970FEA8A-5169-4DAA-9FA1-869D7F9F8BA3}"/>
    <hyperlink ref="H93" r:id="rId87" xr:uid="{90B730AA-23C5-47A7-8398-23A57D2A05CC}"/>
    <hyperlink ref="H94" r:id="rId88" xr:uid="{E8B5F0E6-5CD0-4E9A-BAF1-6777B1F8904C}"/>
    <hyperlink ref="H95" r:id="rId89" display="mailto:Kalpesh_Panchal@milacron.com" xr:uid="{1D160A1E-19CD-442E-9FBB-7F9A714F1A4F}"/>
    <hyperlink ref="H96" r:id="rId90" display="mailto:Kalpesh_Panchal@milacron.com" xr:uid="{FAE8533E-C84C-49AE-BC25-7ADAC87214CC}"/>
    <hyperlink ref="H97" r:id="rId91" display="mailto:Kalpesh_Panchal@milacron.com" xr:uid="{EAECC4DD-89F1-41C2-851A-26C03203CF0D}"/>
    <hyperlink ref="H98" r:id="rId92" display="mailto:Kalpesh_Panchal@milacron.com" xr:uid="{7B71813B-9105-4164-AE08-04B67D1EFCF1}"/>
    <hyperlink ref="H99" r:id="rId93" xr:uid="{3C0286E8-2D9B-4632-98D1-905AF38639CC}"/>
    <hyperlink ref="H100" r:id="rId94" xr:uid="{5E8DE557-9E63-4E43-B89A-864872E7F8BD}"/>
    <hyperlink ref="H101" r:id="rId95" xr:uid="{90655B8B-9525-46A6-8388-23E2BD47CB14}"/>
    <hyperlink ref="H102" r:id="rId96" xr:uid="{27196CA7-2EE5-424E-9DC4-842F28FE3385}"/>
    <hyperlink ref="H103" r:id="rId97" xr:uid="{C861651F-A1B1-41CD-885D-1AE34E3A02CD}"/>
    <hyperlink ref="H104" r:id="rId98" xr:uid="{E86A8935-EFED-4017-B283-091731A59DD9}"/>
    <hyperlink ref="H105" r:id="rId99" xr:uid="{AB4076B1-BF19-48D1-B9F7-23F3592F1CC7}"/>
    <hyperlink ref="H106" r:id="rId100" xr:uid="{8DA7E370-C516-42DA-B71B-954E9E219F22}"/>
    <hyperlink ref="H107" r:id="rId101" xr:uid="{5536F606-11B1-4877-B9D2-B9095FC8707A}"/>
    <hyperlink ref="H108" r:id="rId102" xr:uid="{BDB8259A-76BA-4639-A3CF-09A0AD5A38D6}"/>
    <hyperlink ref="H109" r:id="rId103" xr:uid="{BF0D2C99-1696-4214-8CD2-0EA46A02D787}"/>
    <hyperlink ref="H110" r:id="rId104" xr:uid="{9634893E-D7FE-49C1-B801-BA99BC8357E4}"/>
    <hyperlink ref="H111" r:id="rId105" display="mailto:Kalpesh_Panchal@milacron.com" xr:uid="{3EA47D98-0EB2-4CA6-8448-48AC86E248E4}"/>
    <hyperlink ref="H112" r:id="rId106" xr:uid="{2D8C345D-CC9C-400F-BDE0-261477270990}"/>
    <hyperlink ref="H113" r:id="rId107" xr:uid="{631F7F40-BB0B-4801-9D62-E9B9E5195C76}"/>
    <hyperlink ref="H114" r:id="rId108" xr:uid="{414529F9-A4F8-49F1-A18E-85FD10F02068}"/>
    <hyperlink ref="H115" r:id="rId109" xr:uid="{1D1EE09D-58B7-4839-BA87-D0BDAB1E7DF4}"/>
    <hyperlink ref="H116" r:id="rId110" xr:uid="{3BBE154D-7CB9-4C32-A66E-17A5FB1E1969}"/>
    <hyperlink ref="H117" r:id="rId111" xr:uid="{C96C79D8-DB37-4E84-AC92-B63D36E3C9EC}"/>
    <hyperlink ref="H118" r:id="rId112" xr:uid="{FCB952E8-4641-4EF8-8D12-99FBA28FC657}"/>
    <hyperlink ref="H119" r:id="rId113" xr:uid="{89EAA912-BFE2-4B82-9463-1DF37874C7B0}"/>
    <hyperlink ref="H120" r:id="rId114" xr:uid="{4CC76645-11B0-4260-85AB-340D676573C2}"/>
    <hyperlink ref="H121" r:id="rId115" xr:uid="{FC0B022C-848D-467A-8E93-CD6B6BB0B624}"/>
    <hyperlink ref="H122" r:id="rId116" xr:uid="{9C03D587-ACB3-4DDB-B9BB-63BDBE5081E3}"/>
    <hyperlink ref="H123" r:id="rId117" xr:uid="{6F902B22-D488-4033-9E10-7ED63BE77E03}"/>
    <hyperlink ref="H124" r:id="rId118" xr:uid="{FE9E0DD7-4295-4F93-930A-F520FD749740}"/>
    <hyperlink ref="H125" r:id="rId119" xr:uid="{EDDF9321-1FA0-4B35-B644-54E9277906CE}"/>
    <hyperlink ref="H126" r:id="rId120" xr:uid="{4D8337F4-FB7F-4629-A9A1-AE8CFCD50DBF}"/>
    <hyperlink ref="H127" r:id="rId121" xr:uid="{4F23327D-4508-4F99-9A17-A5161CFCBE37}"/>
    <hyperlink ref="H128" r:id="rId122" xr:uid="{48A490EA-A80E-4350-8D15-41C95D9232CB}"/>
    <hyperlink ref="H129" r:id="rId123" xr:uid="{ADACFF1A-9D52-46BD-8053-9FDFDF0EF636}"/>
    <hyperlink ref="H130" r:id="rId124" xr:uid="{43195CA3-3E54-4EA6-92A3-AEF06842E089}"/>
    <hyperlink ref="H131" r:id="rId125" xr:uid="{B69E9C54-56A7-4F77-AAD3-0932CFA9CC52}"/>
    <hyperlink ref="H132" r:id="rId126" xr:uid="{067A8881-360A-43C8-8DA6-A99CD755F0AA}"/>
    <hyperlink ref="H133" r:id="rId127" xr:uid="{A9B679B7-4AEA-4BB1-B3C4-7063D5788AE1}"/>
    <hyperlink ref="H134" r:id="rId128" xr:uid="{54A4A363-EB43-4006-91C4-247C824B6A52}"/>
    <hyperlink ref="H135" r:id="rId129" xr:uid="{94DF2237-0FDD-4966-ACA6-97C48B6B1DAE}"/>
    <hyperlink ref="H136" r:id="rId130" xr:uid="{D7E743CD-5D07-4A8C-BE19-9299611F7757}"/>
    <hyperlink ref="H137" r:id="rId131" xr:uid="{3332A4F2-C58A-472F-9146-9E893E78A0ED}"/>
    <hyperlink ref="H138" r:id="rId132" xr:uid="{11673E50-F403-4AA0-82A1-5385C20EC938}"/>
    <hyperlink ref="H139" r:id="rId133" xr:uid="{1B64626D-BB30-422A-842B-3780C4B674EF}"/>
    <hyperlink ref="H140" r:id="rId134" display="mailto:maintedept-1@inductothermindia.com" xr:uid="{E801EEA9-26EE-4371-BB58-86E900477C7B}"/>
    <hyperlink ref="H141" r:id="rId135" xr:uid="{896BE0CC-4430-4CD9-B0BB-33EBA953076D}"/>
    <hyperlink ref="H142" r:id="rId136" xr:uid="{C08C8F75-D206-4B02-8CBB-7A4E7AB71523}"/>
    <hyperlink ref="H143" r:id="rId137" display="mailto:purchase@jpel.in" xr:uid="{DB1BDA4C-A1CD-4E1D-A447-2F650861FF24}"/>
    <hyperlink ref="H144" r:id="rId138" xr:uid="{A4621492-7701-43B5-A3E3-AE2A51278156}"/>
    <hyperlink ref="H145" r:id="rId139" xr:uid="{DFAFD1E0-BE54-4BD7-84F4-7E52E8D296FD}"/>
    <hyperlink ref="H147" r:id="rId140" xr:uid="{5793F1C7-82D1-4B93-AD22-B6599F87004B}"/>
    <hyperlink ref="H148" r:id="rId141" xr:uid="{AE259395-80BE-404B-82F2-77D07ADB85F3}"/>
    <hyperlink ref="H149" r:id="rId142" xr:uid="{F8BA1F11-34C3-4684-8F8C-93EF3E80A2D8}"/>
    <hyperlink ref="H146" r:id="rId143" xr:uid="{182C3A0B-607B-4392-8AFC-4EAE9ABC775E}"/>
    <hyperlink ref="H150" r:id="rId144" xr:uid="{CD22FF75-20B1-44A5-B722-DDFE26001C0C}"/>
    <hyperlink ref="H151" r:id="rId145" xr:uid="{84EBAFAD-9469-415A-81E2-A66188FD8AC5}"/>
    <hyperlink ref="H152" r:id="rId146" xr:uid="{FDB58B85-A8A9-430F-8ECC-7BEC33493709}"/>
    <hyperlink ref="H153" r:id="rId147" xr:uid="{6819F16A-C393-42B8-AA50-2C85613B6C51}"/>
    <hyperlink ref="H154" r:id="rId148" xr:uid="{4E793CCD-D55A-491E-843A-333FFA8344BD}"/>
    <hyperlink ref="H155" r:id="rId149" xr:uid="{67640D82-EFF2-4760-9B85-9B28D1E11E5F}"/>
    <hyperlink ref="H156" r:id="rId150" xr:uid="{B00B8685-11E0-43AF-871F-E983E1C30CAB}"/>
    <hyperlink ref="H157" r:id="rId151" xr:uid="{86EA173A-7E74-4119-9E9C-4D371E3DADA4}"/>
    <hyperlink ref="H158" r:id="rId152" xr:uid="{46F9D782-3FB5-4BA0-A477-888B2FB161BF}"/>
    <hyperlink ref="H159" r:id="rId153" display="mailto:utility@prasadgroup.com" xr:uid="{7D5A7F7E-EBA2-401C-BAC7-03E855E93591}"/>
    <hyperlink ref="H160" r:id="rId154" xr:uid="{F5D7E816-8A21-4863-A0A3-CFDF4BBA7699}"/>
    <hyperlink ref="H161" r:id="rId155" xr:uid="{17AD831A-AA15-46E3-9EDA-4B321906217A}"/>
    <hyperlink ref="H162" r:id="rId156" xr:uid="{AFC77D9D-7BE4-42CE-9CF3-D807C5894A42}"/>
    <hyperlink ref="H163" r:id="rId157" display="mailto:krunal.patel@kolsitegroup.com" xr:uid="{10C62899-39CC-43A4-AEEA-459E413405FD}"/>
    <hyperlink ref="H164" r:id="rId158" display="mailto:Hirenkumar.Patel@kbl.co.in" xr:uid="{2FE26EDB-3B15-408E-8084-6E89B4F010D5}"/>
    <hyperlink ref="H165" r:id="rId159" xr:uid="{693EDF16-8AE1-40E1-A5FA-08B9343C4EAC}"/>
    <hyperlink ref="H166" r:id="rId160" xr:uid="{CAF9A4F5-27E3-4056-84F0-5D0A40EF69B1}"/>
    <hyperlink ref="H167" r:id="rId161" xr:uid="{B705F4D2-860A-41E4-B155-CFF421F0CC6E}"/>
    <hyperlink ref="H168" r:id="rId162" xr:uid="{1D555014-DB04-4ADB-982F-843023C3BCBE}"/>
    <hyperlink ref="H169" r:id="rId163" xr:uid="{AC7CCB65-1784-41A2-A430-B5B11D8221D0}"/>
    <hyperlink ref="H170" r:id="rId164" xr:uid="{343D8650-FC64-4F9A-A548-A3CE11C2E0A9}"/>
    <hyperlink ref="H171" r:id="rId165" xr:uid="{922F330A-D02F-4746-9AC1-A712EC36C4D4}"/>
    <hyperlink ref="H172" r:id="rId166" display="mailto:jaikoindustries2011@gmail.com" xr:uid="{8D3B3D39-59AA-43B8-AFF4-92BC80BC0E17}"/>
    <hyperlink ref="H173" r:id="rId167" xr:uid="{E93BB7D6-279A-48A7-ABE7-D73FCA4B1B2B}"/>
    <hyperlink ref="H174" r:id="rId168" xr:uid="{E337F85C-6378-4C2F-B034-DC3EFB95C97D}"/>
    <hyperlink ref="H175" r:id="rId169" xr:uid="{BB1DE5D2-99D9-4DCD-A1B1-B4D4968EC4E7}"/>
    <hyperlink ref="H176" r:id="rId170" xr:uid="{58392F8F-7E38-4621-9C10-562657C77E36}"/>
    <hyperlink ref="H177" r:id="rId171" xr:uid="{4D4F9919-51EA-45FA-966F-E4AF735B8613}"/>
    <hyperlink ref="H178" r:id="rId172" xr:uid="{C4BDA928-339F-4741-BCD2-83A46CDB6D9F}"/>
    <hyperlink ref="H179" r:id="rId173" xr:uid="{771DD7C7-79E7-49B5-9BAF-2C0E3D09DBBF}"/>
    <hyperlink ref="H180" r:id="rId174" xr:uid="{FB7D1D32-8807-43FE-A035-0E143349FF84}"/>
    <hyperlink ref="H181" r:id="rId175" xr:uid="{29127248-9484-4AA3-8EB4-EAA8AD7DF98B}"/>
    <hyperlink ref="H182" r:id="rId176" xr:uid="{717E0C41-21A5-4C8F-B63E-9D51A7680C59}"/>
    <hyperlink ref="H183" r:id="rId177" xr:uid="{E6F93B5E-8616-45D9-96E8-6EF08986F01D}"/>
    <hyperlink ref="H184" r:id="rId178" xr:uid="{F1F80857-1AB3-40C6-B293-56EB3164EB2C}"/>
    <hyperlink ref="H185" r:id="rId179" xr:uid="{DB5146D5-9B65-4E18-8309-BD1418D3ECED}"/>
    <hyperlink ref="H186" r:id="rId180" xr:uid="{4A73938D-3164-4036-A8BB-9763D5D4FA85}"/>
    <hyperlink ref="H187" r:id="rId181" display="mailto:Kalpesh_Panchal@milacron.com" xr:uid="{CD59A53E-8F01-42AE-A38D-BCA29A26113E}"/>
    <hyperlink ref="H188" r:id="rId182" display="mailto:Kalpesh_Panchal@milacron.com" xr:uid="{34B11BDE-9479-4C28-8638-A200B3052676}"/>
    <hyperlink ref="H189" r:id="rId183" display="mailto:Kalpesh_Panchal@milacron.com" xr:uid="{C6A0E6DF-0EA6-401F-A3F5-B783007D8310}"/>
    <hyperlink ref="H190" r:id="rId184" display="mailto:Kalpesh_Panchal@milacron.com" xr:uid="{5D175898-37D0-4306-82D2-905829B28DD5}"/>
    <hyperlink ref="H191" r:id="rId185" display="mailto:Kalpesh_Panchal@milacron.com" xr:uid="{243C87A8-82BA-48A3-997A-C2761CB8B461}"/>
    <hyperlink ref="H192" r:id="rId186" display="mailto:Kalpesh_Panchal@milacron.com" xr:uid="{1FAEC4E5-4105-4C47-8629-8445F4A49F18}"/>
    <hyperlink ref="H193" r:id="rId187" display="mailto:Kalpesh_Panchal@milacron.com" xr:uid="{41FE8130-5B83-4AEA-8435-01B7C3E6817F}"/>
    <hyperlink ref="H194" r:id="rId188" xr:uid="{81CD7BEF-E899-476B-B1A7-E6D5E8A839CA}"/>
    <hyperlink ref="H195" r:id="rId189" xr:uid="{85113ED7-FB2C-498B-8FA2-CB3C985F267C}"/>
    <hyperlink ref="H196" r:id="rId190" xr:uid="{1BDDFCA7-FE7F-4E6C-8E36-C81AC2BB8986}"/>
    <hyperlink ref="H197" r:id="rId191" xr:uid="{F8CECD44-6F26-48D8-AF7B-C0CACB96147D}"/>
    <hyperlink ref="H198" r:id="rId192" xr:uid="{2DE9D963-FBDF-493F-9C86-184C670E9FA0}"/>
    <hyperlink ref="H199" r:id="rId193" xr:uid="{78786F2A-C0DA-4F76-8587-FEDA3DBD39F2}"/>
    <hyperlink ref="H200" r:id="rId194" xr:uid="{2420E5FE-2175-4731-9341-D1B819604E07}"/>
    <hyperlink ref="H201" r:id="rId195" xr:uid="{40275945-1315-4306-A8D4-274ED4530AEE}"/>
    <hyperlink ref="H202" r:id="rId196" xr:uid="{793D4C0A-391B-4A66-9A8A-0E4361657EE5}"/>
    <hyperlink ref="H203" r:id="rId197" xr:uid="{F7A57D75-8533-4B1E-8F8C-3918E95BE3FF}"/>
    <hyperlink ref="H204" r:id="rId198" xr:uid="{F32EBF5D-392B-4C54-B046-E25F73900710}"/>
  </hyperlinks>
  <pageMargins left="0.7" right="0.7" top="0.75" bottom="0.75" header="0.3" footer="0.3"/>
  <pageSetup orientation="portrait" r:id="rId199"/>
  <legacyDrawing r:id="rId200"/>
  <tableParts count="1">
    <tablePart r:id="rId20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="Select from drop down" xr:uid="{AD35AE5D-6F86-4F1E-AA98-5D8C83F2EA82}">
          <x14:formula1>
            <xm:f>'Month Prod Names'!$J$4:$J$5</xm:f>
          </x14:formula1>
          <xm:sqref>K7:K87 K95:K413</xm:sqref>
        </x14:dataValidation>
        <x14:dataValidation type="list" allowBlank="1" showInputMessage="1" showErrorMessage="1" error="Select From Drop Down" xr:uid="{8F8F7BD3-7B30-4169-8564-902D5990CA80}">
          <x14:formula1>
            <xm:f>'Month Prod Names'!$B$4:$B$15</xm:f>
          </x14:formula1>
          <xm:sqref>U11:U72 P30:P72 O31:O72 U136:U402</xm:sqref>
        </x14:dataValidation>
        <x14:dataValidation type="list" allowBlank="1" showInputMessage="1" showErrorMessage="1" error="Select From Drop Down" xr:uid="{DACE7503-9B53-4F7B-B04D-F3FC5D7277D7}">
          <x14:formula1>
            <xm:f>Location!$B$2:$B$126</xm:f>
          </x14:formula1>
          <xm:sqref>D89:D90 D7:D73 D92:D413</xm:sqref>
        </x14:dataValidation>
        <x14:dataValidation type="list" allowBlank="1" showInputMessage="1" showErrorMessage="1" error="Select From Drop Down" xr:uid="{DC26DEFF-94CA-49E5-86A5-D523C28851C9}">
          <x14:formula1>
            <xm:f>'Machine Serial Numbers'!$A$2:$A$1502</xm:f>
          </x14:formula1>
          <xm:sqref>I1:I1048576</xm:sqref>
        </x14:dataValidation>
        <x14:dataValidation type="list" allowBlank="1" showInputMessage="1" showErrorMessage="1" xr:uid="{E0427A1B-FC77-4A52-9EF7-1C66D5FA0202}">
          <x14:formula1>
            <xm:f>'Month Prod Names'!$D$4:$D$46</xm:f>
          </x14:formula1>
          <xm:sqref>J1:J6 J8:J87 J95:J1048576</xm:sqref>
        </x14:dataValidation>
        <x14:dataValidation type="list" allowBlank="1" showInputMessage="1" showErrorMessage="1" xr:uid="{E561DDFA-9091-4677-9027-DCEA03A61F0C}">
          <x14:formula1>
            <xm:f>'Month Prod Names'!$B$4:$B$15</xm:f>
          </x14:formula1>
          <xm:sqref>U7:U10 O7:P29 O30 P91 O95:O407 P94:P413</xm:sqref>
        </x14:dataValidation>
        <x14:dataValidation type="list" allowBlank="1" showInputMessage="1" showErrorMessage="1" error="Select From Drop Down" xr:uid="{56732A31-9F88-4D25-87BE-AB3ACE40EB99}">
          <x14:formula1>
            <xm:f>'Month Prod Names'!$D$4:$D$12</xm:f>
          </x14:formula1>
          <xm:sqref>J7</xm:sqref>
        </x14:dataValidation>
        <x14:dataValidation type="list" allowBlank="1" showInputMessage="1" showErrorMessage="1" xr:uid="{B2A8FE7A-F8A1-49EC-BE55-BD4E063DFBED}">
          <x14:formula1>
            <xm:f>'Month Prod Names'!$K$4:$K$19</xm:f>
          </x14:formula1>
          <xm:sqref>Q1:Q1048576</xm:sqref>
        </x14:dataValidation>
        <x14:dataValidation type="list" allowBlank="1" showInputMessage="1" showErrorMessage="1" error="Select From Drop Down" xr:uid="{88F08DF1-FAC4-42A9-9CF1-0535DD1429B4}">
          <x14:formula1>
            <xm:f>Customer!$B$2:$B$240</xm:f>
          </x14:formula1>
          <xm:sqref>C8:C412</xm:sqref>
        </x14:dataValidation>
        <x14:dataValidation type="list" allowBlank="1" showInputMessage="1" showErrorMessage="1" error="Select From Drop Down" xr:uid="{52CAB134-6807-4BEC-B80B-9CA9A7F96488}">
          <x14:formula1>
            <xm:f>Customer!$B$2:$B$2391</xm:f>
          </x14:formula1>
          <xm:sqref>C7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316E-2AD1-44A4-8939-AF69D910E0C9}">
  <dimension ref="A2:AG430"/>
  <sheetViews>
    <sheetView topLeftCell="A3" zoomScaleNormal="100" workbookViewId="0">
      <pane ySplit="6" topLeftCell="A117" activePane="bottomLeft" state="frozen"/>
      <selection activeCell="M3" sqref="M3"/>
      <selection pane="bottomLeft" activeCell="B282" sqref="B282"/>
    </sheetView>
  </sheetViews>
  <sheetFormatPr defaultColWidth="8.5546875" defaultRowHeight="14.4"/>
  <cols>
    <col min="1" max="1" width="11.5546875" style="171" customWidth="1"/>
    <col min="2" max="2" width="15.44140625" style="230" bestFit="1" customWidth="1"/>
    <col min="3" max="3" width="23" style="294" customWidth="1"/>
    <col min="4" max="4" width="15.5546875" style="171" bestFit="1" customWidth="1"/>
    <col min="5" max="5" width="12.44140625" style="294" customWidth="1"/>
    <col min="6" max="6" width="31.88671875" style="294" customWidth="1"/>
    <col min="7" max="7" width="18.44140625" style="294" customWidth="1"/>
    <col min="8" max="8" width="28.5546875" style="294" customWidth="1"/>
    <col min="9" max="9" width="17.44140625" style="171" customWidth="1"/>
    <col min="10" max="10" width="15.5546875" style="294" bestFit="1" customWidth="1"/>
    <col min="11" max="11" width="7.44140625" style="171" customWidth="1"/>
    <col min="12" max="12" width="23" style="171" customWidth="1"/>
    <col min="13" max="13" width="14.44140625" style="672" customWidth="1"/>
    <col min="14" max="14" width="12.5546875" style="297" customWidth="1"/>
    <col min="15" max="15" width="17.44140625" style="297" customWidth="1"/>
    <col min="16" max="16" width="14" style="294" customWidth="1"/>
    <col min="17" max="17" width="15.44140625" style="244" customWidth="1"/>
    <col min="18" max="18" width="17.33203125" style="294" customWidth="1"/>
    <col min="19" max="19" width="23" style="672" customWidth="1"/>
    <col min="20" max="20" width="13.5546875" style="294" customWidth="1"/>
    <col min="21" max="21" width="12.5546875" style="294" customWidth="1"/>
    <col min="22" max="22" width="20.5546875" style="231" bestFit="1" customWidth="1"/>
    <col min="23" max="23" width="25.5546875" style="171" customWidth="1"/>
    <col min="24" max="24" width="9.5546875" style="171" bestFit="1" customWidth="1"/>
    <col min="25" max="25" width="29" style="171" customWidth="1"/>
    <col min="26" max="26" width="13.44140625" style="171" customWidth="1"/>
    <col min="27" max="27" width="24.44140625" style="171" customWidth="1"/>
    <col min="28" max="28" width="15.5546875" style="294" customWidth="1"/>
    <col min="29" max="29" width="21.5546875" style="171" customWidth="1"/>
    <col min="30" max="30" width="18.33203125" style="171" customWidth="1"/>
    <col min="31" max="31" width="17.44140625" style="171" bestFit="1" customWidth="1"/>
    <col min="32" max="32" width="16.5546875" style="171" customWidth="1"/>
    <col min="33" max="33" width="23.33203125" style="171" customWidth="1"/>
    <col min="34" max="16384" width="8.5546875" style="171"/>
  </cols>
  <sheetData>
    <row r="2" spans="1:33" ht="15" thickBot="1"/>
    <row r="3" spans="1:33" ht="31.2">
      <c r="C3" s="263"/>
      <c r="D3" s="172"/>
      <c r="E3" s="403" t="s">
        <v>2251</v>
      </c>
      <c r="F3" s="263"/>
      <c r="G3" s="263"/>
      <c r="H3" s="263"/>
      <c r="I3" s="172"/>
      <c r="J3" s="263"/>
      <c r="K3" s="172"/>
      <c r="L3" s="172"/>
      <c r="M3" s="673"/>
      <c r="N3" s="263"/>
      <c r="O3" s="263"/>
      <c r="P3" s="263"/>
      <c r="Q3" s="172"/>
      <c r="R3" s="108"/>
      <c r="S3" s="673"/>
      <c r="T3" s="263"/>
      <c r="U3" s="263"/>
      <c r="V3" s="172"/>
      <c r="W3" s="172"/>
      <c r="X3" s="172"/>
      <c r="Y3" s="229"/>
      <c r="Z3" s="224"/>
      <c r="AC3" s="876" t="s">
        <v>99</v>
      </c>
      <c r="AD3" s="876"/>
      <c r="AE3" s="876"/>
    </row>
    <row r="4" spans="1:33" ht="16.8">
      <c r="J4" s="297"/>
      <c r="K4" s="223"/>
      <c r="L4" s="223"/>
      <c r="M4" s="674"/>
      <c r="P4" s="297"/>
      <c r="Q4" s="232"/>
      <c r="R4" s="297"/>
      <c r="S4" s="674"/>
      <c r="T4" s="3488" t="s">
        <v>104</v>
      </c>
      <c r="U4" s="3489"/>
      <c r="V4" s="233">
        <f>SUM(N8:N373)</f>
        <v>52086059.269999996</v>
      </c>
      <c r="W4" s="234"/>
      <c r="X4" s="234"/>
      <c r="Y4" s="234"/>
      <c r="Z4" s="234"/>
      <c r="AC4" s="898" t="s">
        <v>22</v>
      </c>
      <c r="AD4" s="898" t="s">
        <v>101</v>
      </c>
      <c r="AE4" s="898" t="s">
        <v>102</v>
      </c>
      <c r="AF4" s="899" t="s">
        <v>2</v>
      </c>
      <c r="AG4" s="994" t="s">
        <v>103</v>
      </c>
    </row>
    <row r="5" spans="1:33" ht="21">
      <c r="A5" s="296" t="s">
        <v>105</v>
      </c>
      <c r="B5" s="93">
        <f>COUNT(A8:A476)</f>
        <v>112</v>
      </c>
      <c r="C5" s="295"/>
      <c r="D5" s="173"/>
      <c r="E5" s="295"/>
      <c r="F5" s="295"/>
      <c r="G5" s="295"/>
      <c r="H5" s="295"/>
      <c r="I5" s="173"/>
      <c r="J5" s="298"/>
      <c r="K5" s="235"/>
      <c r="L5" s="235"/>
      <c r="M5" s="674"/>
      <c r="N5" s="432"/>
      <c r="O5" s="432"/>
      <c r="P5" s="432"/>
      <c r="Q5" s="232"/>
      <c r="R5" s="432"/>
      <c r="S5" s="674"/>
      <c r="T5" s="3490" t="s">
        <v>54</v>
      </c>
      <c r="U5" s="3491"/>
      <c r="V5" s="236">
        <f>SUM(T8:T373)</f>
        <v>37997271.070000008</v>
      </c>
      <c r="W5" s="237"/>
      <c r="X5" s="237"/>
      <c r="Y5" s="234"/>
      <c r="Z5" s="237"/>
      <c r="AC5" s="900" t="s">
        <v>7</v>
      </c>
      <c r="AD5" s="901">
        <f>SUMIF($O$8:$O$396,"January",$N$8:$N$396)</f>
        <v>12057349.48</v>
      </c>
      <c r="AE5" s="901">
        <f>SUMIF($U$8:$U$396,"January",$T$8:$T$396)</f>
        <v>3393373</v>
      </c>
      <c r="AF5" s="902">
        <f>SUMIF($P$7:$P$402,"January",$N$7:$N$402)</f>
        <v>3105373</v>
      </c>
      <c r="AG5" s="995">
        <f>AF5-AE5</f>
        <v>-288000</v>
      </c>
    </row>
    <row r="6" spans="1:33" ht="21">
      <c r="A6" s="179"/>
      <c r="B6" s="238"/>
      <c r="C6" s="295"/>
      <c r="D6" s="173"/>
      <c r="E6" s="295"/>
      <c r="F6" s="295"/>
      <c r="G6" s="295"/>
      <c r="H6" s="295"/>
      <c r="I6" s="173"/>
      <c r="J6" s="298"/>
      <c r="K6" s="235"/>
      <c r="L6" s="235"/>
      <c r="M6" s="674"/>
      <c r="N6" s="432"/>
      <c r="O6" s="432"/>
      <c r="P6" s="432"/>
      <c r="Q6" s="232"/>
      <c r="R6" s="432"/>
      <c r="S6" s="674"/>
      <c r="T6" s="3490" t="s">
        <v>13</v>
      </c>
      <c r="U6" s="3491"/>
      <c r="V6" s="236">
        <f>SUM(V8:V374)</f>
        <v>14352607.32</v>
      </c>
      <c r="W6" s="239"/>
      <c r="X6" s="239"/>
      <c r="Y6" s="240" t="s">
        <v>106</v>
      </c>
      <c r="Z6" s="3487"/>
      <c r="AA6" s="3487"/>
      <c r="AB6" s="447"/>
      <c r="AC6" s="903" t="s">
        <v>18</v>
      </c>
      <c r="AD6" s="901">
        <f>SUMIF($O$8:$O$396,"February",$N$8:$N$396)</f>
        <v>1580247.04</v>
      </c>
      <c r="AE6" s="901">
        <f>SUMIF($U$8:$U$396,"February",$T$8:$T$396)</f>
        <v>1318199.8400000001</v>
      </c>
      <c r="AF6" s="902">
        <f>SUMIF($P$7:$P$402,"February",$N$7:$N$402)</f>
        <v>1618199.84</v>
      </c>
      <c r="AG6" s="995">
        <f t="shared" ref="AG6:AG16" si="0">AF6-AE6</f>
        <v>300000</v>
      </c>
    </row>
    <row r="7" spans="1:33" ht="28.8">
      <c r="A7" s="134" t="s">
        <v>107</v>
      </c>
      <c r="B7" s="134" t="s">
        <v>108</v>
      </c>
      <c r="C7" s="266" t="s">
        <v>109</v>
      </c>
      <c r="D7" s="134" t="s">
        <v>110</v>
      </c>
      <c r="E7" s="266" t="s">
        <v>111</v>
      </c>
      <c r="F7" s="266" t="s">
        <v>112</v>
      </c>
      <c r="G7" s="266" t="s">
        <v>113</v>
      </c>
      <c r="H7" s="266" t="s">
        <v>114</v>
      </c>
      <c r="I7" s="241" t="s">
        <v>115</v>
      </c>
      <c r="J7" s="266" t="s">
        <v>116</v>
      </c>
      <c r="K7" s="134" t="s">
        <v>117</v>
      </c>
      <c r="L7" s="134" t="s">
        <v>118</v>
      </c>
      <c r="M7" s="675" t="s">
        <v>119</v>
      </c>
      <c r="N7" s="266" t="s">
        <v>120</v>
      </c>
      <c r="O7" s="266" t="s">
        <v>121</v>
      </c>
      <c r="P7" s="266" t="s">
        <v>93</v>
      </c>
      <c r="Q7" s="134" t="s">
        <v>122</v>
      </c>
      <c r="R7" s="266" t="s">
        <v>123</v>
      </c>
      <c r="S7" s="675" t="s">
        <v>124</v>
      </c>
      <c r="T7" s="266" t="s">
        <v>125</v>
      </c>
      <c r="U7" s="266" t="s">
        <v>126</v>
      </c>
      <c r="V7" s="134" t="s">
        <v>13</v>
      </c>
      <c r="W7" s="134" t="s">
        <v>127</v>
      </c>
      <c r="X7" s="197" t="s">
        <v>128</v>
      </c>
      <c r="Y7" s="197" t="s">
        <v>129</v>
      </c>
      <c r="Z7" s="242" t="s">
        <v>130</v>
      </c>
      <c r="AA7" s="446" t="s">
        <v>131</v>
      </c>
      <c r="AB7" s="448"/>
      <c r="AC7" s="900" t="s">
        <v>25</v>
      </c>
      <c r="AD7" s="901">
        <f>SUMIF($O$8:$O$396,"March",$N$8:$N$396)</f>
        <v>1876765</v>
      </c>
      <c r="AE7" s="904">
        <f>SUMIF($U$8:$U$396,"March",$T$8:$T$396)</f>
        <v>426778</v>
      </c>
      <c r="AF7" s="902">
        <f>SUMIF($P$7:$P$402,"March",$N$7:$N$402)</f>
        <v>227778</v>
      </c>
      <c r="AG7" s="995">
        <f t="shared" si="0"/>
        <v>-199000</v>
      </c>
    </row>
    <row r="8" spans="1:33" s="243" customFormat="1" ht="18">
      <c r="A8" s="1155">
        <v>1</v>
      </c>
      <c r="B8" s="3125">
        <v>45901</v>
      </c>
      <c r="C8" s="1156" t="s">
        <v>614</v>
      </c>
      <c r="D8" s="1156" t="s">
        <v>2252</v>
      </c>
      <c r="E8" s="1156" t="s">
        <v>2253</v>
      </c>
      <c r="F8" s="1156" t="s">
        <v>2254</v>
      </c>
      <c r="G8" s="1156">
        <v>9900104075</v>
      </c>
      <c r="H8" s="1156" t="s">
        <v>2255</v>
      </c>
      <c r="I8" s="3167" t="s">
        <v>2256</v>
      </c>
      <c r="J8" s="1157" t="s">
        <v>73</v>
      </c>
      <c r="K8" s="1157" t="s">
        <v>138</v>
      </c>
      <c r="L8" s="1156" t="s">
        <v>2257</v>
      </c>
      <c r="M8" s="1156" t="s">
        <v>1166</v>
      </c>
      <c r="N8" s="1156">
        <v>57000</v>
      </c>
      <c r="O8" s="1156" t="s">
        <v>7</v>
      </c>
      <c r="P8" s="1156" t="s">
        <v>7</v>
      </c>
      <c r="Q8" s="3224">
        <v>1</v>
      </c>
      <c r="R8" s="1156" t="s">
        <v>2258</v>
      </c>
      <c r="S8" s="1156" t="s">
        <v>2259</v>
      </c>
      <c r="T8" s="3250">
        <v>57000</v>
      </c>
      <c r="U8" s="3250" t="s">
        <v>7</v>
      </c>
      <c r="V8" s="1158">
        <f>Table6268934567910[[#This Row],[Offer Value]]-Table6268934567910[[#This Row],[PO Value]]</f>
        <v>0</v>
      </c>
      <c r="W8" s="1156"/>
      <c r="X8" s="1159"/>
      <c r="Y8" s="3186" t="s">
        <v>1300</v>
      </c>
      <c r="Z8" s="1160"/>
      <c r="AA8" s="1161"/>
      <c r="AB8" s="991"/>
      <c r="AC8" s="989" t="s">
        <v>28</v>
      </c>
      <c r="AD8" s="901">
        <f>SUMIF($O$8:$O$396,"April",$N$8:$N$396)</f>
        <v>5219211.5999999996</v>
      </c>
      <c r="AE8" s="904">
        <f>SUMIF($U$8:$U$396,"April",$T$8:$T$396)</f>
        <v>4412831.78</v>
      </c>
      <c r="AF8" s="902">
        <f>SUMIF($P$7:$P$402,"April",$N$7:$N$402)</f>
        <v>4482331.82</v>
      </c>
      <c r="AG8" s="995">
        <f t="shared" si="0"/>
        <v>69500.040000000037</v>
      </c>
    </row>
    <row r="9" spans="1:33" s="243" customFormat="1" ht="18">
      <c r="A9" s="1155">
        <v>2</v>
      </c>
      <c r="B9" s="3125">
        <v>45901</v>
      </c>
      <c r="C9" s="1156" t="s">
        <v>2260</v>
      </c>
      <c r="D9" s="1156" t="s">
        <v>2261</v>
      </c>
      <c r="E9" s="1156" t="s">
        <v>2262</v>
      </c>
      <c r="F9" s="1156" t="s">
        <v>2263</v>
      </c>
      <c r="G9" s="1156" t="s">
        <v>2264</v>
      </c>
      <c r="H9" s="1156" t="s">
        <v>2265</v>
      </c>
      <c r="I9" s="3168" t="s">
        <v>2266</v>
      </c>
      <c r="J9" s="1157" t="s">
        <v>73</v>
      </c>
      <c r="K9" s="1157" t="s">
        <v>138</v>
      </c>
      <c r="L9" s="1156" t="s">
        <v>2267</v>
      </c>
      <c r="M9" s="3201">
        <v>45475</v>
      </c>
      <c r="N9" s="1156">
        <v>83200</v>
      </c>
      <c r="O9" s="1156" t="s">
        <v>7</v>
      </c>
      <c r="P9" s="1156" t="s">
        <v>7</v>
      </c>
      <c r="Q9" s="3224">
        <v>1</v>
      </c>
      <c r="R9" s="1156">
        <v>2800087085</v>
      </c>
      <c r="S9" s="3201">
        <v>45506</v>
      </c>
      <c r="T9" s="3250">
        <v>83200</v>
      </c>
      <c r="U9" s="3250" t="s">
        <v>7</v>
      </c>
      <c r="V9" s="1158">
        <f>Table6268934567910[[#This Row],[Offer Value]]-Table6268934567910[[#This Row],[PO Value]]</f>
        <v>0</v>
      </c>
      <c r="W9" s="1156"/>
      <c r="X9" s="3186"/>
      <c r="Y9" s="3186" t="s">
        <v>1359</v>
      </c>
      <c r="Z9" s="1162"/>
      <c r="AA9" s="1163"/>
      <c r="AB9" s="991"/>
      <c r="AC9" s="989" t="s">
        <v>30</v>
      </c>
      <c r="AD9" s="901">
        <f>SUMIF($O$8:$O$396,"May",$N$8:$N$396)</f>
        <v>2110807.33</v>
      </c>
      <c r="AE9" s="904">
        <f>SUMIF($U$8:$U$396,"May",$T$8:$T$396)</f>
        <v>2716218</v>
      </c>
      <c r="AF9" s="902">
        <f>SUMIF($P$7:$P$402,"May",$N$7:$N$402)</f>
        <v>2891108.8</v>
      </c>
      <c r="AG9" s="995">
        <f t="shared" si="0"/>
        <v>174890.79999999981</v>
      </c>
    </row>
    <row r="10" spans="1:33" s="243" customFormat="1" ht="31.8">
      <c r="A10" s="1155">
        <v>3</v>
      </c>
      <c r="B10" s="3125">
        <v>45901</v>
      </c>
      <c r="C10" s="1155" t="s">
        <v>2268</v>
      </c>
      <c r="D10" s="1157" t="s">
        <v>2269</v>
      </c>
      <c r="E10" s="1157" t="s">
        <v>2262</v>
      </c>
      <c r="F10" s="1155" t="s">
        <v>2270</v>
      </c>
      <c r="G10" s="1157">
        <v>9894536340</v>
      </c>
      <c r="H10" s="3159" t="s">
        <v>2271</v>
      </c>
      <c r="I10" s="1155" t="s">
        <v>2272</v>
      </c>
      <c r="J10" s="3184" t="s">
        <v>73</v>
      </c>
      <c r="K10" s="3184" t="s">
        <v>157</v>
      </c>
      <c r="L10" s="1155" t="s">
        <v>2273</v>
      </c>
      <c r="M10" s="3125">
        <v>45516</v>
      </c>
      <c r="N10" s="1155">
        <v>304000</v>
      </c>
      <c r="O10" s="1156" t="s">
        <v>7</v>
      </c>
      <c r="P10" s="1156" t="s">
        <v>7</v>
      </c>
      <c r="Q10" s="3225">
        <v>1</v>
      </c>
      <c r="R10" s="1155" t="s">
        <v>2274</v>
      </c>
      <c r="S10" s="1155" t="s">
        <v>2275</v>
      </c>
      <c r="T10" s="1159">
        <v>304000</v>
      </c>
      <c r="U10" s="3250" t="s">
        <v>7</v>
      </c>
      <c r="V10" s="1158">
        <f>Table6268934567910[[#This Row],[Offer Value]]-Table6268934567910[[#This Row],[PO Value]]</f>
        <v>0</v>
      </c>
      <c r="W10" s="1156"/>
      <c r="X10" s="1159"/>
      <c r="Y10" s="3186" t="s">
        <v>2276</v>
      </c>
      <c r="Z10" s="1162"/>
      <c r="AA10" s="1163"/>
      <c r="AB10" s="991"/>
      <c r="AC10" s="989" t="s">
        <v>34</v>
      </c>
      <c r="AD10" s="901">
        <f>SUMIF($O$8:$O$396,"June",$N$8:$N$396)</f>
        <v>1149000</v>
      </c>
      <c r="AE10" s="904">
        <f>SUMIF($U$8:$U$396,"June",$T$8:$T$396)</f>
        <v>2199126.6</v>
      </c>
      <c r="AF10" s="902">
        <f>SUMIF($P$7:$P$402,"June",$N$7:$N$402)</f>
        <v>226708</v>
      </c>
      <c r="AG10" s="995">
        <f t="shared" si="0"/>
        <v>-1972418.6</v>
      </c>
    </row>
    <row r="11" spans="1:33" s="243" customFormat="1" ht="18">
      <c r="A11" s="1155">
        <v>4</v>
      </c>
      <c r="B11" s="3125">
        <v>45901</v>
      </c>
      <c r="C11" s="1155" t="s">
        <v>614</v>
      </c>
      <c r="D11" s="1155" t="s">
        <v>2252</v>
      </c>
      <c r="E11" s="1155" t="s">
        <v>2277</v>
      </c>
      <c r="F11" s="1155" t="s">
        <v>2278</v>
      </c>
      <c r="G11" s="1155" t="s">
        <v>2279</v>
      </c>
      <c r="H11" s="1155" t="s">
        <v>2280</v>
      </c>
      <c r="I11" s="1155" t="s">
        <v>2281</v>
      </c>
      <c r="J11" s="3184" t="s">
        <v>73</v>
      </c>
      <c r="K11" s="3184" t="s">
        <v>138</v>
      </c>
      <c r="L11" s="1155" t="s">
        <v>2282</v>
      </c>
      <c r="M11" s="3125">
        <v>45478</v>
      </c>
      <c r="N11" s="1155">
        <v>59850</v>
      </c>
      <c r="O11" s="1156" t="s">
        <v>7</v>
      </c>
      <c r="P11" s="1155" t="s">
        <v>7</v>
      </c>
      <c r="Q11" s="3225">
        <v>1</v>
      </c>
      <c r="R11" s="1155" t="s">
        <v>2283</v>
      </c>
      <c r="S11" s="1155" t="s">
        <v>2284</v>
      </c>
      <c r="T11" s="1159">
        <v>59850</v>
      </c>
      <c r="U11" s="1159" t="s">
        <v>7</v>
      </c>
      <c r="V11" s="1158">
        <f>Table6268934567910[[#This Row],[Offer Value]]-Table6268934567910[[#This Row],[PO Value]]</f>
        <v>0</v>
      </c>
      <c r="W11" s="1156"/>
      <c r="X11" s="3257"/>
      <c r="Y11" s="3260">
        <v>45718</v>
      </c>
      <c r="Z11" s="1162"/>
      <c r="AA11" s="1163"/>
      <c r="AB11" s="992"/>
      <c r="AC11" s="989" t="s">
        <v>37</v>
      </c>
      <c r="AD11" s="901">
        <f>SUMIF($O$8:$O$396,"July",$N$8:$N$396)</f>
        <v>3523330.08</v>
      </c>
      <c r="AE11" s="904">
        <f>SUMIF($U$8:$U$396,"July",$T$8:$T$396)</f>
        <v>114208</v>
      </c>
      <c r="AF11" s="902">
        <f>SUMIF($P$7:$P$402,"July",$N$7:$N$402)</f>
        <v>4423990.21</v>
      </c>
      <c r="AG11" s="995">
        <f t="shared" si="0"/>
        <v>4309782.21</v>
      </c>
    </row>
    <row r="12" spans="1:33" s="243" customFormat="1" ht="18">
      <c r="A12" s="1155">
        <v>5</v>
      </c>
      <c r="B12" s="3125">
        <v>45901</v>
      </c>
      <c r="C12" s="1156" t="s">
        <v>2285</v>
      </c>
      <c r="D12" s="1156" t="s">
        <v>2286</v>
      </c>
      <c r="E12" s="1156" t="s">
        <v>2262</v>
      </c>
      <c r="F12" s="1156" t="s">
        <v>2287</v>
      </c>
      <c r="G12" s="1166" t="s">
        <v>2288</v>
      </c>
      <c r="H12" s="1167" t="s">
        <v>2289</v>
      </c>
      <c r="I12" s="1156" t="s">
        <v>2290</v>
      </c>
      <c r="J12" s="1157" t="s">
        <v>73</v>
      </c>
      <c r="K12" s="1157" t="s">
        <v>157</v>
      </c>
      <c r="L12" s="1156" t="s">
        <v>2291</v>
      </c>
      <c r="M12" s="1156" t="s">
        <v>2292</v>
      </c>
      <c r="N12" s="3209">
        <v>94500</v>
      </c>
      <c r="O12" s="1156" t="s">
        <v>7</v>
      </c>
      <c r="P12" s="1156" t="s">
        <v>7</v>
      </c>
      <c r="Q12" s="3224">
        <v>0.9</v>
      </c>
      <c r="R12" s="1168" t="s">
        <v>2293</v>
      </c>
      <c r="S12" s="3240">
        <v>45664</v>
      </c>
      <c r="T12" s="3214">
        <v>94500</v>
      </c>
      <c r="U12" s="3250" t="s">
        <v>7</v>
      </c>
      <c r="V12" s="1158">
        <f>Table6268934567910[[#This Row],[Offer Value]]-Table6268934567910[[#This Row],[PO Value]]</f>
        <v>0</v>
      </c>
      <c r="W12" s="1156"/>
      <c r="X12" s="3186"/>
      <c r="Y12" s="3186"/>
      <c r="Z12" s="1162"/>
      <c r="AA12" s="1163"/>
      <c r="AB12" s="991"/>
      <c r="AC12" s="989" t="s">
        <v>39</v>
      </c>
      <c r="AD12" s="901">
        <f>SUMIF($O$8:$O$396,"August",$N$8:$N$396)</f>
        <v>1655853.32</v>
      </c>
      <c r="AE12" s="904">
        <f>SUMIF($U$8:$U$396,"August",$T$8:$T$396)</f>
        <v>2032051.01</v>
      </c>
      <c r="AF12" s="902">
        <f>SUMIF($P$7:$P$402,"August",$N$7:$N$402)</f>
        <v>3722715.5599999996</v>
      </c>
      <c r="AG12" s="995">
        <f t="shared" si="0"/>
        <v>1690664.5499999996</v>
      </c>
    </row>
    <row r="13" spans="1:33" s="243" customFormat="1" ht="31.8">
      <c r="A13" s="1155">
        <v>6</v>
      </c>
      <c r="B13" s="3125">
        <v>45901</v>
      </c>
      <c r="C13" s="1155" t="s">
        <v>2294</v>
      </c>
      <c r="D13" s="1155" t="s">
        <v>2295</v>
      </c>
      <c r="E13" s="1155" t="s">
        <v>153</v>
      </c>
      <c r="F13" s="1155" t="s">
        <v>2296</v>
      </c>
      <c r="G13" s="1155">
        <v>9911259861</v>
      </c>
      <c r="H13" s="3160" t="s">
        <v>2297</v>
      </c>
      <c r="I13" s="1155" t="s">
        <v>2298</v>
      </c>
      <c r="J13" s="3184" t="s">
        <v>73</v>
      </c>
      <c r="K13" s="3184" t="s">
        <v>138</v>
      </c>
      <c r="L13" s="1155" t="s">
        <v>2299</v>
      </c>
      <c r="M13" s="3125">
        <v>45605</v>
      </c>
      <c r="N13" s="1155">
        <v>89000</v>
      </c>
      <c r="O13" s="1156" t="s">
        <v>7</v>
      </c>
      <c r="P13" s="1156" t="s">
        <v>7</v>
      </c>
      <c r="Q13" s="3225">
        <v>1</v>
      </c>
      <c r="R13" s="3184" t="s">
        <v>2300</v>
      </c>
      <c r="S13" s="3240">
        <v>45661</v>
      </c>
      <c r="T13" s="1159">
        <v>89000</v>
      </c>
      <c r="U13" s="1159" t="s">
        <v>7</v>
      </c>
      <c r="V13" s="1158">
        <f>Table6268934567910[[#This Row],[Offer Value]]-Table6268934567910[[#This Row],[PO Value]]</f>
        <v>0</v>
      </c>
      <c r="W13" s="1156"/>
      <c r="X13" s="1159"/>
      <c r="Y13" s="3260" t="s">
        <v>2301</v>
      </c>
      <c r="Z13" s="1162"/>
      <c r="AA13" s="1163"/>
      <c r="AB13" s="991"/>
      <c r="AC13" s="989" t="s">
        <v>44</v>
      </c>
      <c r="AD13" s="901">
        <f>SUMIF($O$8:$O$396,"September",$N$8:$N$396)</f>
        <v>2205389</v>
      </c>
      <c r="AE13" s="904">
        <f>SUMIF($U$8:$U$396,"September",$T$8:$T$396)</f>
        <v>0</v>
      </c>
      <c r="AF13" s="902">
        <f>SUMIF($P$7:$P$402,"September",$N$7:$N$402)</f>
        <v>630274.5</v>
      </c>
      <c r="AG13" s="995">
        <f t="shared" si="0"/>
        <v>630274.5</v>
      </c>
    </row>
    <row r="14" spans="1:33" s="243" customFormat="1" ht="18">
      <c r="A14" s="1155">
        <v>7</v>
      </c>
      <c r="B14" s="3125">
        <v>45901</v>
      </c>
      <c r="C14" s="1155" t="s">
        <v>614</v>
      </c>
      <c r="D14" s="1155" t="s">
        <v>2252</v>
      </c>
      <c r="E14" s="1155" t="s">
        <v>2302</v>
      </c>
      <c r="F14" s="1155" t="s">
        <v>2303</v>
      </c>
      <c r="G14" s="1168" t="s">
        <v>2304</v>
      </c>
      <c r="H14" s="1155" t="s">
        <v>2305</v>
      </c>
      <c r="I14" s="1155" t="s">
        <v>2306</v>
      </c>
      <c r="J14" s="3184" t="s">
        <v>77</v>
      </c>
      <c r="K14" s="3184" t="s">
        <v>138</v>
      </c>
      <c r="L14" s="1155" t="s">
        <v>2307</v>
      </c>
      <c r="M14" s="3125">
        <v>45601</v>
      </c>
      <c r="N14" s="1155">
        <v>169500</v>
      </c>
      <c r="O14" s="1156" t="s">
        <v>7</v>
      </c>
      <c r="P14" s="1155" t="s">
        <v>7</v>
      </c>
      <c r="Q14" s="3225">
        <v>1</v>
      </c>
      <c r="R14" s="1155">
        <v>4800084016</v>
      </c>
      <c r="S14" s="1155" t="s">
        <v>2308</v>
      </c>
      <c r="T14" s="1159">
        <v>169500</v>
      </c>
      <c r="U14" s="1159" t="s">
        <v>7</v>
      </c>
      <c r="V14" s="1158">
        <f>Table6268934567910[[#This Row],[Offer Value]]-Table6268934567910[[#This Row],[PO Value]]</f>
        <v>0</v>
      </c>
      <c r="W14" s="1156"/>
      <c r="X14" s="1159"/>
      <c r="Y14" s="3260">
        <v>45839</v>
      </c>
      <c r="Z14" s="1162"/>
      <c r="AA14" s="1163"/>
      <c r="AB14" s="991"/>
      <c r="AC14" s="989" t="s">
        <v>47</v>
      </c>
      <c r="AD14" s="901">
        <f>SUMIF($O$8:$O$396,"October",$N$8:$N$396)</f>
        <v>19581294</v>
      </c>
      <c r="AE14" s="904">
        <f>SUMIF($U$8:$U$396, "October",$T$8:$T$396)</f>
        <v>6223271.7199999997</v>
      </c>
      <c r="AF14" s="902">
        <f>SUMIF($P$7:$P$402,"October",$N$7:$N$402)</f>
        <v>7388166.5999999996</v>
      </c>
      <c r="AG14" s="995">
        <f t="shared" si="0"/>
        <v>1164894.8799999999</v>
      </c>
    </row>
    <row r="15" spans="1:33" s="292" customFormat="1" ht="47.4">
      <c r="A15" s="1155">
        <v>8</v>
      </c>
      <c r="B15" s="3125">
        <v>45901</v>
      </c>
      <c r="C15" s="1157" t="s">
        <v>2309</v>
      </c>
      <c r="D15" s="1156" t="s">
        <v>2252</v>
      </c>
      <c r="E15" s="1156" t="s">
        <v>2262</v>
      </c>
      <c r="F15" s="1157" t="s">
        <v>2310</v>
      </c>
      <c r="G15" s="1156">
        <v>9742009996</v>
      </c>
      <c r="H15" s="3161" t="s">
        <v>2311</v>
      </c>
      <c r="I15" s="1157" t="s">
        <v>2312</v>
      </c>
      <c r="J15" s="1157" t="s">
        <v>75</v>
      </c>
      <c r="K15" s="1157" t="s">
        <v>157</v>
      </c>
      <c r="L15" s="1155" t="s">
        <v>2313</v>
      </c>
      <c r="M15" s="1157" t="s">
        <v>2314</v>
      </c>
      <c r="N15" s="1155">
        <v>203466</v>
      </c>
      <c r="O15" s="1156" t="s">
        <v>7</v>
      </c>
      <c r="P15" s="1156" t="s">
        <v>7</v>
      </c>
      <c r="Q15" s="3225">
        <v>1</v>
      </c>
      <c r="R15" s="1155" t="s">
        <v>2315</v>
      </c>
      <c r="S15" s="1155" t="s">
        <v>2316</v>
      </c>
      <c r="T15" s="1159">
        <v>203466</v>
      </c>
      <c r="U15" s="1159" t="s">
        <v>7</v>
      </c>
      <c r="V15" s="1158">
        <f>Table6268934567910[[#This Row],[Offer Value]]-Table6268934567910[[#This Row],[PO Value]]</f>
        <v>0</v>
      </c>
      <c r="W15" s="1156"/>
      <c r="X15" s="3186"/>
      <c r="Y15" s="3186" t="s">
        <v>1763</v>
      </c>
      <c r="Z15" s="1162"/>
      <c r="AA15" s="1163"/>
      <c r="AB15" s="993"/>
      <c r="AC15" s="990" t="s">
        <v>49</v>
      </c>
      <c r="AD15" s="901">
        <f>SUMIF($O$8:$O$396,"November",$N$8:$N$396)</f>
        <v>87128</v>
      </c>
      <c r="AE15" s="901">
        <f>SUMIF($U$8:$U$396,"November",$T$8:$T$396)</f>
        <v>13936085.120000001</v>
      </c>
      <c r="AF15" s="902">
        <f>SUMIF($P$7:$P$402,"November",$N$7:$N$402)</f>
        <v>6881354.9399999995</v>
      </c>
      <c r="AG15" s="995">
        <f t="shared" si="0"/>
        <v>-7054730.1800000016</v>
      </c>
    </row>
    <row r="16" spans="1:33" s="243" customFormat="1" ht="18">
      <c r="A16" s="1155">
        <v>9</v>
      </c>
      <c r="B16" s="3125">
        <v>45901</v>
      </c>
      <c r="C16" s="1155" t="s">
        <v>2317</v>
      </c>
      <c r="D16" s="1155" t="s">
        <v>2252</v>
      </c>
      <c r="E16" s="1155" t="s">
        <v>2262</v>
      </c>
      <c r="F16" s="1155" t="s">
        <v>2318</v>
      </c>
      <c r="G16" s="1155">
        <v>8197508735</v>
      </c>
      <c r="H16" s="3160" t="s">
        <v>2319</v>
      </c>
      <c r="I16" s="1155">
        <v>305000032</v>
      </c>
      <c r="J16" s="3184" t="s">
        <v>75</v>
      </c>
      <c r="K16" s="3184" t="s">
        <v>157</v>
      </c>
      <c r="L16" s="1155" t="s">
        <v>2320</v>
      </c>
      <c r="M16" s="1155" t="s">
        <v>2321</v>
      </c>
      <c r="N16" s="1155">
        <v>175142</v>
      </c>
      <c r="O16" s="1156" t="s">
        <v>7</v>
      </c>
      <c r="P16" s="1155" t="s">
        <v>7</v>
      </c>
      <c r="Q16" s="3225">
        <v>1</v>
      </c>
      <c r="R16" s="1168" t="s">
        <v>2322</v>
      </c>
      <c r="S16" s="3240">
        <v>45660</v>
      </c>
      <c r="T16" s="3214">
        <v>175142</v>
      </c>
      <c r="U16" s="1159" t="s">
        <v>7</v>
      </c>
      <c r="V16" s="1158">
        <f>Table6268934567910[[#This Row],[Offer Value]]-Table6268934567910[[#This Row],[PO Value]]</f>
        <v>0</v>
      </c>
      <c r="W16" s="1156"/>
      <c r="X16" s="1159"/>
      <c r="Y16" s="3186" t="s">
        <v>1763</v>
      </c>
      <c r="Z16" s="1162"/>
      <c r="AA16" s="1163"/>
      <c r="AB16" s="991"/>
      <c r="AC16" s="989" t="s">
        <v>62</v>
      </c>
      <c r="AD16" s="906">
        <f>SUMIF($O$8:$O$396,"December",$N$8:$N$396)</f>
        <v>0</v>
      </c>
      <c r="AE16" s="904">
        <f>SUMIF($U$8:$U$396,"December",$T$8:$T$396)</f>
        <v>565128</v>
      </c>
      <c r="AF16" s="902">
        <f>SUMIF($P$7:$P$402,"December",$N$7:$N$402)</f>
        <v>15439392</v>
      </c>
      <c r="AG16" s="995">
        <f t="shared" si="0"/>
        <v>14874264</v>
      </c>
    </row>
    <row r="17" spans="1:32" s="292" customFormat="1" ht="15.6">
      <c r="A17" s="1155">
        <v>10</v>
      </c>
      <c r="B17" s="3125">
        <v>45901</v>
      </c>
      <c r="C17" s="1155" t="s">
        <v>2323</v>
      </c>
      <c r="D17" s="1155" t="s">
        <v>2324</v>
      </c>
      <c r="E17" s="1155" t="s">
        <v>2325</v>
      </c>
      <c r="F17" s="1155" t="s">
        <v>2326</v>
      </c>
      <c r="G17" s="1155">
        <v>7010372298</v>
      </c>
      <c r="H17" s="3160" t="s">
        <v>2327</v>
      </c>
      <c r="I17" s="1155" t="s">
        <v>2328</v>
      </c>
      <c r="J17" s="3184" t="s">
        <v>74</v>
      </c>
      <c r="K17" s="3184" t="s">
        <v>138</v>
      </c>
      <c r="L17" s="1155" t="s">
        <v>2329</v>
      </c>
      <c r="M17" s="1155" t="s">
        <v>2330</v>
      </c>
      <c r="N17" s="1155">
        <v>132715</v>
      </c>
      <c r="O17" s="1156" t="s">
        <v>7</v>
      </c>
      <c r="P17" s="1156" t="s">
        <v>7</v>
      </c>
      <c r="Q17" s="3225">
        <v>0.9</v>
      </c>
      <c r="R17" s="1155">
        <v>101260192</v>
      </c>
      <c r="S17" s="1155" t="s">
        <v>2331</v>
      </c>
      <c r="T17" s="1159">
        <v>132715</v>
      </c>
      <c r="U17" s="1159" t="s">
        <v>7</v>
      </c>
      <c r="V17" s="1158">
        <f>Table6268934567910[[#This Row],[Offer Value]]-Table6268934567910[[#This Row],[PO Value]]</f>
        <v>0</v>
      </c>
      <c r="W17" s="1156"/>
      <c r="X17" s="1159"/>
      <c r="Y17" s="3186" t="s">
        <v>1763</v>
      </c>
      <c r="Z17" s="1164"/>
      <c r="AA17" s="1165"/>
      <c r="AB17" s="905"/>
      <c r="AC17" s="905"/>
      <c r="AD17" s="905"/>
      <c r="AE17" s="905"/>
      <c r="AF17" s="905"/>
    </row>
    <row r="18" spans="1:32" s="243" customFormat="1" ht="15.6">
      <c r="A18" s="1159">
        <v>11</v>
      </c>
      <c r="B18" s="3126">
        <v>45962</v>
      </c>
      <c r="C18" s="1159" t="s">
        <v>2268</v>
      </c>
      <c r="D18" s="1159" t="s">
        <v>2324</v>
      </c>
      <c r="E18" s="1159" t="s">
        <v>2262</v>
      </c>
      <c r="F18" s="1159" t="s">
        <v>2332</v>
      </c>
      <c r="G18" s="1157">
        <v>9360011702</v>
      </c>
      <c r="H18" s="1169" t="s">
        <v>2333</v>
      </c>
      <c r="I18" s="1159" t="s">
        <v>2334</v>
      </c>
      <c r="J18" s="3186" t="s">
        <v>73</v>
      </c>
      <c r="K18" s="3186" t="s">
        <v>157</v>
      </c>
      <c r="L18" s="1159" t="s">
        <v>2335</v>
      </c>
      <c r="M18" s="3202">
        <v>45901</v>
      </c>
      <c r="N18" s="3214">
        <v>104000</v>
      </c>
      <c r="O18" s="1159" t="s">
        <v>7</v>
      </c>
      <c r="P18" s="1159" t="s">
        <v>18</v>
      </c>
      <c r="Q18" s="3227">
        <v>0.8</v>
      </c>
      <c r="R18" s="1155" t="s">
        <v>2336</v>
      </c>
      <c r="S18" s="1286">
        <v>45659</v>
      </c>
      <c r="T18" s="3214">
        <v>104000</v>
      </c>
      <c r="U18" s="1159" t="s">
        <v>18</v>
      </c>
      <c r="V18" s="1158">
        <f>Table6268934567910[[#This Row],[Offer Value]]-Table6268934567910[[#This Row],[PO Value]]</f>
        <v>0</v>
      </c>
      <c r="W18" s="1159"/>
      <c r="X18" s="1159"/>
      <c r="Y18" s="3186"/>
      <c r="Z18" s="1164"/>
      <c r="AA18" s="1165"/>
    </row>
    <row r="19" spans="1:32" s="243" customFormat="1" ht="15.6">
      <c r="A19" s="1467">
        <v>12</v>
      </c>
      <c r="B19" s="3127">
        <v>45962</v>
      </c>
      <c r="C19" s="1467" t="s">
        <v>1064</v>
      </c>
      <c r="D19" s="1467" t="s">
        <v>2252</v>
      </c>
      <c r="E19" s="1467" t="s">
        <v>2337</v>
      </c>
      <c r="F19" s="1467" t="s">
        <v>2338</v>
      </c>
      <c r="G19" s="1467">
        <v>9980137131</v>
      </c>
      <c r="H19" s="3162" t="s">
        <v>2339</v>
      </c>
      <c r="I19" s="1467" t="s">
        <v>2340</v>
      </c>
      <c r="J19" s="2251" t="s">
        <v>73</v>
      </c>
      <c r="K19" s="2251" t="s">
        <v>138</v>
      </c>
      <c r="L19" s="1467" t="s">
        <v>2341</v>
      </c>
      <c r="M19" s="3203">
        <v>45809</v>
      </c>
      <c r="N19" s="2814">
        <v>104500</v>
      </c>
      <c r="O19" s="1467" t="s">
        <v>7</v>
      </c>
      <c r="P19" s="1467" t="s">
        <v>28</v>
      </c>
      <c r="Q19" s="3228">
        <v>0.9</v>
      </c>
      <c r="R19" s="2251">
        <v>1240065413</v>
      </c>
      <c r="S19" s="3203" t="s">
        <v>1975</v>
      </c>
      <c r="T19" s="1467">
        <v>102499.98</v>
      </c>
      <c r="U19" s="1467" t="s">
        <v>28</v>
      </c>
      <c r="V19" s="1316">
        <v>0</v>
      </c>
      <c r="W19" s="1467"/>
      <c r="X19" s="3258"/>
      <c r="Y19" s="3258"/>
      <c r="Z19" s="1164"/>
      <c r="AA19" s="1165"/>
    </row>
    <row r="20" spans="1:32" s="243" customFormat="1" ht="15.6">
      <c r="A20" s="1467">
        <v>13</v>
      </c>
      <c r="B20" s="3127" t="s">
        <v>2342</v>
      </c>
      <c r="C20" s="1467" t="s">
        <v>1190</v>
      </c>
      <c r="D20" s="1467" t="s">
        <v>2252</v>
      </c>
      <c r="E20" s="1467" t="s">
        <v>2262</v>
      </c>
      <c r="F20" s="1467" t="s">
        <v>2343</v>
      </c>
      <c r="G20" s="1467">
        <v>9481273435</v>
      </c>
      <c r="H20" s="3162" t="s">
        <v>2344</v>
      </c>
      <c r="I20" s="1467" t="s">
        <v>2345</v>
      </c>
      <c r="J20" s="2251" t="s">
        <v>75</v>
      </c>
      <c r="K20" s="2251" t="s">
        <v>157</v>
      </c>
      <c r="L20" s="1467" t="s">
        <v>2346</v>
      </c>
      <c r="M20" s="3203" t="s">
        <v>2342</v>
      </c>
      <c r="N20" s="2814">
        <v>1988578</v>
      </c>
      <c r="O20" s="1467" t="s">
        <v>28</v>
      </c>
      <c r="P20" s="1467" t="s">
        <v>47</v>
      </c>
      <c r="Q20" s="3228">
        <v>1</v>
      </c>
      <c r="R20" s="1467" t="s">
        <v>2347</v>
      </c>
      <c r="S20" s="3203">
        <v>45879</v>
      </c>
      <c r="T20" s="1467">
        <v>1948806.44</v>
      </c>
      <c r="U20" s="1467" t="s">
        <v>47</v>
      </c>
      <c r="V20" s="1316">
        <v>0</v>
      </c>
      <c r="W20" s="1467"/>
      <c r="X20" s="1467"/>
      <c r="Y20" s="3258"/>
      <c r="Z20" s="1164"/>
      <c r="AA20" s="1165"/>
    </row>
    <row r="21" spans="1:32" s="1366" customFormat="1" ht="15.6">
      <c r="A21" s="1467">
        <v>14</v>
      </c>
      <c r="B21" s="3127">
        <v>45962</v>
      </c>
      <c r="C21" s="1446" t="s">
        <v>614</v>
      </c>
      <c r="D21" s="1446" t="s">
        <v>2252</v>
      </c>
      <c r="E21" s="1446" t="s">
        <v>2348</v>
      </c>
      <c r="F21" s="1446" t="s">
        <v>2349</v>
      </c>
      <c r="G21" s="1446" t="s">
        <v>2350</v>
      </c>
      <c r="H21" s="1787" t="s">
        <v>2351</v>
      </c>
      <c r="I21" s="1446" t="s">
        <v>2352</v>
      </c>
      <c r="J21" s="1443" t="s">
        <v>73</v>
      </c>
      <c r="K21" s="1443" t="s">
        <v>138</v>
      </c>
      <c r="L21" s="3197" t="s">
        <v>2353</v>
      </c>
      <c r="M21" s="1582">
        <v>45638</v>
      </c>
      <c r="N21" s="1446">
        <v>62000</v>
      </c>
      <c r="O21" s="1446" t="s">
        <v>7</v>
      </c>
      <c r="P21" s="1446" t="s">
        <v>2354</v>
      </c>
      <c r="Q21" s="1566">
        <v>0.6</v>
      </c>
      <c r="R21" s="1467"/>
      <c r="S21" s="3203"/>
      <c r="T21" s="2814"/>
      <c r="U21" s="1467" t="s">
        <v>49</v>
      </c>
      <c r="V21" s="1316">
        <f>Table6268934567910[[#This Row],[Offer Value]]-Table6268934567910[[#This Row],[PO Value]]</f>
        <v>62000</v>
      </c>
      <c r="W21" s="1446" t="s">
        <v>2355</v>
      </c>
      <c r="X21" s="1467"/>
      <c r="Y21" s="3258"/>
      <c r="Z21" s="2920"/>
      <c r="AA21" s="1470"/>
    </row>
    <row r="22" spans="1:32" s="243" customFormat="1" ht="15.6">
      <c r="A22" s="1155">
        <v>15</v>
      </c>
      <c r="B22" s="3125">
        <v>45962</v>
      </c>
      <c r="C22" s="3134" t="s">
        <v>2356</v>
      </c>
      <c r="D22" s="3134" t="s">
        <v>2252</v>
      </c>
      <c r="E22" s="2846" t="s">
        <v>2357</v>
      </c>
      <c r="F22" s="2846" t="s">
        <v>2358</v>
      </c>
      <c r="G22" s="3134">
        <v>9845203244</v>
      </c>
      <c r="H22" s="3163" t="s">
        <v>2359</v>
      </c>
      <c r="I22" s="3171" t="s">
        <v>2360</v>
      </c>
      <c r="J22" s="3134" t="s">
        <v>73</v>
      </c>
      <c r="K22" s="3134" t="s">
        <v>138</v>
      </c>
      <c r="L22" s="3198" t="s">
        <v>2361</v>
      </c>
      <c r="M22" s="3131">
        <v>45638</v>
      </c>
      <c r="N22" s="2840">
        <v>111000</v>
      </c>
      <c r="O22" s="2840" t="s">
        <v>7</v>
      </c>
      <c r="P22" s="3221" t="s">
        <v>18</v>
      </c>
      <c r="Q22" s="3230">
        <v>0.8</v>
      </c>
      <c r="R22" s="2374" t="s">
        <v>2362</v>
      </c>
      <c r="S22" s="2374" t="s">
        <v>2363</v>
      </c>
      <c r="T22" s="1159">
        <v>111000</v>
      </c>
      <c r="U22" s="1159" t="s">
        <v>18</v>
      </c>
      <c r="V22" s="1158">
        <f>Table6268934567910[[#This Row],[Offer Value]]-Table6268934567910[[#This Row],[PO Value]]</f>
        <v>0</v>
      </c>
      <c r="W22" s="1248" t="s">
        <v>2355</v>
      </c>
      <c r="X22" s="3186"/>
      <c r="Y22" s="3260"/>
      <c r="Z22" s="1164"/>
      <c r="AA22" s="1165"/>
    </row>
    <row r="23" spans="1:32" s="243" customFormat="1" ht="15.6">
      <c r="A23" s="3121">
        <v>16</v>
      </c>
      <c r="B23" s="3127">
        <v>45962</v>
      </c>
      <c r="C23" s="1441" t="s">
        <v>2364</v>
      </c>
      <c r="D23" s="1441" t="s">
        <v>2365</v>
      </c>
      <c r="E23" s="1441" t="s">
        <v>2262</v>
      </c>
      <c r="F23" s="2755" t="s">
        <v>2366</v>
      </c>
      <c r="G23" s="1441" t="s">
        <v>2367</v>
      </c>
      <c r="H23" s="1787" t="s">
        <v>2368</v>
      </c>
      <c r="I23" s="3172" t="s">
        <v>2369</v>
      </c>
      <c r="J23" s="1443" t="s">
        <v>73</v>
      </c>
      <c r="K23" s="1443" t="s">
        <v>138</v>
      </c>
      <c r="L23" s="3197" t="s">
        <v>2370</v>
      </c>
      <c r="M23" s="1446" t="s">
        <v>1275</v>
      </c>
      <c r="N23" s="1467">
        <v>66080</v>
      </c>
      <c r="O23" s="1446" t="s">
        <v>7</v>
      </c>
      <c r="P23" s="1446" t="s">
        <v>28</v>
      </c>
      <c r="Q23" s="1566">
        <v>0.9</v>
      </c>
      <c r="R23" s="1467">
        <v>3400014785</v>
      </c>
      <c r="S23" s="3203" t="s">
        <v>2371</v>
      </c>
      <c r="T23" s="1467">
        <v>66080</v>
      </c>
      <c r="U23" s="1467" t="s">
        <v>28</v>
      </c>
      <c r="V23" s="1316">
        <f>Table6268934567910[[#This Row],[Offer Value]]-Table6268934567910[[#This Row],[PO Value]]</f>
        <v>0</v>
      </c>
      <c r="W23" s="1446" t="s">
        <v>2355</v>
      </c>
      <c r="X23" s="2721"/>
      <c r="Y23" s="3261"/>
      <c r="Z23" s="1164"/>
      <c r="AA23" s="1165"/>
    </row>
    <row r="24" spans="1:32" s="243" customFormat="1" ht="15.6">
      <c r="A24" s="2722">
        <v>17</v>
      </c>
      <c r="B24" s="3129">
        <v>45962</v>
      </c>
      <c r="C24" s="300" t="s">
        <v>152</v>
      </c>
      <c r="D24" s="300" t="s">
        <v>2324</v>
      </c>
      <c r="E24" s="300" t="s">
        <v>153</v>
      </c>
      <c r="F24" s="3148" t="s">
        <v>2372</v>
      </c>
      <c r="G24" s="3148">
        <v>7358102975</v>
      </c>
      <c r="H24" s="2485" t="s">
        <v>2373</v>
      </c>
      <c r="I24" s="3173" t="s">
        <v>2374</v>
      </c>
      <c r="J24" s="178" t="s">
        <v>77</v>
      </c>
      <c r="K24" s="178" t="s">
        <v>138</v>
      </c>
      <c r="L24" s="3199" t="s">
        <v>2375</v>
      </c>
      <c r="M24" s="300" t="s">
        <v>2013</v>
      </c>
      <c r="N24" s="300">
        <v>635000</v>
      </c>
      <c r="O24" s="300" t="s">
        <v>7</v>
      </c>
      <c r="P24" s="300" t="s">
        <v>62</v>
      </c>
      <c r="Q24" s="306">
        <v>0.9</v>
      </c>
      <c r="R24" s="694"/>
      <c r="S24" s="2812"/>
      <c r="T24" s="2815"/>
      <c r="U24" s="691"/>
      <c r="V24" s="692">
        <f>Table6268934567910[[#This Row],[Offer Value]]-Table6268934567910[[#This Row],[PO Value]]</f>
        <v>635000</v>
      </c>
      <c r="W24" s="300" t="s">
        <v>2376</v>
      </c>
      <c r="X24" s="754"/>
      <c r="Y24" s="3262"/>
      <c r="Z24" s="1164"/>
      <c r="AA24" s="1165"/>
    </row>
    <row r="25" spans="1:32" s="243" customFormat="1" ht="15.6">
      <c r="A25" s="3122">
        <v>18</v>
      </c>
      <c r="B25" s="3130">
        <v>45962</v>
      </c>
      <c r="C25" s="1359" t="s">
        <v>2377</v>
      </c>
      <c r="D25" s="1359" t="s">
        <v>2378</v>
      </c>
      <c r="E25" s="1359" t="s">
        <v>1166</v>
      </c>
      <c r="F25" s="1359" t="s">
        <v>2379</v>
      </c>
      <c r="G25" s="1360" t="s">
        <v>2380</v>
      </c>
      <c r="H25" s="1361" t="s">
        <v>2381</v>
      </c>
      <c r="I25" s="1359" t="s">
        <v>2382</v>
      </c>
      <c r="J25" s="3189" t="s">
        <v>73</v>
      </c>
      <c r="K25" s="3189" t="s">
        <v>138</v>
      </c>
      <c r="L25" s="1359" t="s">
        <v>2383</v>
      </c>
      <c r="M25" s="1359" t="s">
        <v>2384</v>
      </c>
      <c r="N25" s="1359">
        <v>99500</v>
      </c>
      <c r="O25" s="1359" t="s">
        <v>7</v>
      </c>
      <c r="P25" s="1446" t="s">
        <v>2385</v>
      </c>
      <c r="Q25" s="3231">
        <v>1</v>
      </c>
      <c r="R25" s="2828">
        <v>4500262958</v>
      </c>
      <c r="S25" s="3244">
        <v>45964</v>
      </c>
      <c r="T25" s="2814">
        <v>99500</v>
      </c>
      <c r="U25" s="1467" t="s">
        <v>25</v>
      </c>
      <c r="V25" s="1316">
        <f>Table6268934567910[[#This Row],[Offer Value]]-Table6268934567910[[#This Row],[PO Value]]</f>
        <v>0</v>
      </c>
      <c r="W25" s="1359" t="s">
        <v>2386</v>
      </c>
      <c r="X25" s="2721"/>
      <c r="Y25" s="3261"/>
      <c r="Z25" s="1164"/>
      <c r="AA25" s="1165"/>
    </row>
    <row r="26" spans="1:32" s="243" customFormat="1" ht="15.6">
      <c r="A26" s="3122">
        <v>19</v>
      </c>
      <c r="B26" s="3130">
        <v>45962</v>
      </c>
      <c r="C26" s="1359" t="s">
        <v>2294</v>
      </c>
      <c r="D26" s="1359" t="s">
        <v>2295</v>
      </c>
      <c r="E26" s="1359" t="s">
        <v>2387</v>
      </c>
      <c r="F26" s="1359" t="s">
        <v>2388</v>
      </c>
      <c r="G26" s="1359">
        <v>9289053639</v>
      </c>
      <c r="H26" s="1556" t="s">
        <v>2389</v>
      </c>
      <c r="I26" s="1359" t="s">
        <v>2390</v>
      </c>
      <c r="J26" s="3189" t="s">
        <v>73</v>
      </c>
      <c r="K26" s="3189" t="s">
        <v>138</v>
      </c>
      <c r="L26" s="1359" t="s">
        <v>2391</v>
      </c>
      <c r="M26" s="1359" t="s">
        <v>1204</v>
      </c>
      <c r="N26" s="1359">
        <v>89000</v>
      </c>
      <c r="O26" s="1359" t="s">
        <v>7</v>
      </c>
      <c r="P26" s="1467" t="s">
        <v>30</v>
      </c>
      <c r="Q26" s="3231">
        <v>1</v>
      </c>
      <c r="R26" s="1557" t="s">
        <v>2392</v>
      </c>
      <c r="S26" s="3244" t="s">
        <v>1929</v>
      </c>
      <c r="T26" s="2814">
        <v>89000</v>
      </c>
      <c r="U26" s="1467" t="s">
        <v>30</v>
      </c>
      <c r="V26" s="1316">
        <f>Table6268934567910[[#This Row],[Offer Value]]-Table6268934567910[[#This Row],[PO Value]]</f>
        <v>0</v>
      </c>
      <c r="W26" s="1359" t="s">
        <v>2386</v>
      </c>
      <c r="X26" s="2721"/>
      <c r="Y26" s="3261"/>
      <c r="Z26" s="1164"/>
      <c r="AA26" s="1165"/>
    </row>
    <row r="27" spans="1:32" s="292" customFormat="1" ht="15.6">
      <c r="A27" s="3123">
        <v>20</v>
      </c>
      <c r="B27" s="3131">
        <v>45962</v>
      </c>
      <c r="C27" s="2855" t="s">
        <v>2393</v>
      </c>
      <c r="D27" s="2855" t="s">
        <v>2252</v>
      </c>
      <c r="E27" s="2855" t="s">
        <v>2337</v>
      </c>
      <c r="F27" s="2855" t="s">
        <v>2394</v>
      </c>
      <c r="G27" s="2855">
        <v>9590027444</v>
      </c>
      <c r="H27" s="2855" t="s">
        <v>2395</v>
      </c>
      <c r="I27" s="3175" t="s">
        <v>2396</v>
      </c>
      <c r="J27" s="3134" t="s">
        <v>73</v>
      </c>
      <c r="K27" s="3134" t="s">
        <v>138</v>
      </c>
      <c r="L27" s="2855" t="s">
        <v>2397</v>
      </c>
      <c r="M27" s="3207">
        <v>45574</v>
      </c>
      <c r="N27" s="2855">
        <v>75000</v>
      </c>
      <c r="O27" s="2855" t="s">
        <v>7</v>
      </c>
      <c r="P27" s="3221" t="s">
        <v>18</v>
      </c>
      <c r="Q27" s="3232">
        <v>1</v>
      </c>
      <c r="R27" s="1168">
        <v>124919</v>
      </c>
      <c r="S27" s="3240" t="s">
        <v>1757</v>
      </c>
      <c r="T27" s="3252">
        <v>72000</v>
      </c>
      <c r="U27" s="1159" t="s">
        <v>7</v>
      </c>
      <c r="V27" s="1158">
        <v>0</v>
      </c>
      <c r="W27" s="2840"/>
      <c r="X27" s="3259"/>
      <c r="Y27" s="3263">
        <v>45840</v>
      </c>
      <c r="Z27" s="1164"/>
      <c r="AA27" s="1165"/>
    </row>
    <row r="28" spans="1:32" s="243" customFormat="1" ht="15.6">
      <c r="A28" s="3121">
        <v>21</v>
      </c>
      <c r="B28" s="3132" t="s">
        <v>723</v>
      </c>
      <c r="C28" s="1441" t="s">
        <v>614</v>
      </c>
      <c r="D28" s="1543" t="s">
        <v>2252</v>
      </c>
      <c r="E28" s="1543" t="s">
        <v>2398</v>
      </c>
      <c r="F28" s="1467" t="s">
        <v>2399</v>
      </c>
      <c r="G28" s="1543">
        <v>9008097055</v>
      </c>
      <c r="H28" s="1320" t="s">
        <v>2400</v>
      </c>
      <c r="I28" s="1543" t="s">
        <v>2401</v>
      </c>
      <c r="J28" s="2724" t="s">
        <v>73</v>
      </c>
      <c r="K28" s="2724" t="s">
        <v>812</v>
      </c>
      <c r="L28" s="1543" t="s">
        <v>2402</v>
      </c>
      <c r="M28" s="3203" t="s">
        <v>1757</v>
      </c>
      <c r="N28" s="2814">
        <v>59850</v>
      </c>
      <c r="O28" s="1467" t="s">
        <v>7</v>
      </c>
      <c r="P28" s="1467" t="s">
        <v>28</v>
      </c>
      <c r="Q28" s="2820">
        <v>0.8</v>
      </c>
      <c r="R28" s="1396">
        <v>4800086922</v>
      </c>
      <c r="S28" s="3245" t="s">
        <v>2403</v>
      </c>
      <c r="T28" s="2814">
        <v>59850</v>
      </c>
      <c r="U28" s="1467" t="s">
        <v>28</v>
      </c>
      <c r="V28" s="1316">
        <f>Table6268934567910[[#This Row],[Offer Value]]-Table6268934567910[[#This Row],[PO Value]]</f>
        <v>0</v>
      </c>
      <c r="W28" s="2721"/>
      <c r="X28" s="2721"/>
      <c r="Y28" s="3261"/>
      <c r="Z28" s="1164"/>
      <c r="AA28" s="1165"/>
    </row>
    <row r="29" spans="1:32" s="243" customFormat="1" ht="31.2">
      <c r="A29" s="3124">
        <v>22</v>
      </c>
      <c r="B29" s="3133">
        <v>45779</v>
      </c>
      <c r="C29" s="3135" t="s">
        <v>2364</v>
      </c>
      <c r="D29" s="1367" t="s">
        <v>2404</v>
      </c>
      <c r="E29" s="1367" t="s">
        <v>2262</v>
      </c>
      <c r="F29" s="3149" t="s">
        <v>2366</v>
      </c>
      <c r="G29" s="3157" t="s">
        <v>2367</v>
      </c>
      <c r="H29" s="1959" t="s">
        <v>2368</v>
      </c>
      <c r="I29" s="3177" t="s">
        <v>2405</v>
      </c>
      <c r="J29" s="3135" t="s">
        <v>75</v>
      </c>
      <c r="K29" s="3135" t="s">
        <v>157</v>
      </c>
      <c r="L29" s="1367" t="s">
        <v>2406</v>
      </c>
      <c r="M29" s="1369">
        <v>45749</v>
      </c>
      <c r="N29" s="1370">
        <v>1426200.8</v>
      </c>
      <c r="O29" s="1371" t="s">
        <v>7</v>
      </c>
      <c r="P29" s="1371" t="s">
        <v>30</v>
      </c>
      <c r="Q29" s="3233">
        <v>0.6</v>
      </c>
      <c r="R29" s="2829">
        <v>3600022888</v>
      </c>
      <c r="S29" s="1369" t="s">
        <v>2407</v>
      </c>
      <c r="T29" s="1370">
        <v>1355270</v>
      </c>
      <c r="U29" s="1371" t="s">
        <v>30</v>
      </c>
      <c r="V29" s="1316">
        <v>0</v>
      </c>
      <c r="W29" s="1372"/>
      <c r="X29" s="1372"/>
      <c r="Y29" s="3264"/>
      <c r="Z29" s="1470"/>
      <c r="AA29" s="1470"/>
    </row>
    <row r="30" spans="1:32" s="243" customFormat="1" ht="31.2">
      <c r="A30" s="1192">
        <v>23</v>
      </c>
      <c r="B30" s="1193">
        <v>45659</v>
      </c>
      <c r="C30" s="3136" t="s">
        <v>1190</v>
      </c>
      <c r="D30" s="3137" t="s">
        <v>2252</v>
      </c>
      <c r="E30" s="3137" t="s">
        <v>2408</v>
      </c>
      <c r="F30" s="3136" t="s">
        <v>2409</v>
      </c>
      <c r="G30" s="3137">
        <v>9481273435</v>
      </c>
      <c r="H30" s="3165" t="s">
        <v>2410</v>
      </c>
      <c r="I30" s="3136" t="s">
        <v>2345</v>
      </c>
      <c r="J30" s="3190" t="s">
        <v>73</v>
      </c>
      <c r="K30" s="3190" t="s">
        <v>138</v>
      </c>
      <c r="L30" s="3200" t="s">
        <v>2411</v>
      </c>
      <c r="M30" s="3208">
        <v>45629</v>
      </c>
      <c r="N30" s="3217">
        <v>68898</v>
      </c>
      <c r="O30" s="3219" t="s">
        <v>7</v>
      </c>
      <c r="P30" s="3222" t="s">
        <v>37</v>
      </c>
      <c r="Q30" s="3234">
        <v>1</v>
      </c>
      <c r="R30" s="3237" t="s">
        <v>2412</v>
      </c>
      <c r="S30" s="3246" t="s">
        <v>2413</v>
      </c>
      <c r="T30" s="3217">
        <v>68898</v>
      </c>
      <c r="U30" s="3222" t="s">
        <v>34</v>
      </c>
      <c r="V30" s="1158">
        <f>Table6268934567910[[#This Row],[Offer Value]]-Table6268934567910[[#This Row],[PO Value]]</f>
        <v>0</v>
      </c>
      <c r="W30" s="3256"/>
      <c r="X30" s="1183"/>
      <c r="Y30" s="1184"/>
      <c r="Z30" s="1470"/>
      <c r="AA30" s="1470"/>
    </row>
    <row r="31" spans="1:32" s="1366" customFormat="1" ht="15.6">
      <c r="A31" s="1192">
        <v>24</v>
      </c>
      <c r="B31" s="1193">
        <v>45659</v>
      </c>
      <c r="C31" s="1216" t="s">
        <v>1190</v>
      </c>
      <c r="D31" s="1216" t="s">
        <v>2252</v>
      </c>
      <c r="E31" s="1216" t="s">
        <v>2414</v>
      </c>
      <c r="F31" s="1216" t="s">
        <v>2415</v>
      </c>
      <c r="G31" s="1216">
        <v>9972356437</v>
      </c>
      <c r="H31" s="1216" t="s">
        <v>2416</v>
      </c>
      <c r="I31" s="1217" t="s">
        <v>2417</v>
      </c>
      <c r="J31" s="1204" t="s">
        <v>73</v>
      </c>
      <c r="K31" s="1204" t="s">
        <v>138</v>
      </c>
      <c r="L31" s="1208" t="s">
        <v>2418</v>
      </c>
      <c r="M31" s="1204" t="s">
        <v>2419</v>
      </c>
      <c r="N31" s="1189">
        <v>85000</v>
      </c>
      <c r="O31" s="1211" t="s">
        <v>7</v>
      </c>
      <c r="P31" s="1211" t="s">
        <v>7</v>
      </c>
      <c r="Q31" s="2824">
        <v>1</v>
      </c>
      <c r="R31" s="2452">
        <v>16882358</v>
      </c>
      <c r="S31" s="1202" t="s">
        <v>2420</v>
      </c>
      <c r="T31" s="1189">
        <v>85000</v>
      </c>
      <c r="U31" s="1211" t="s">
        <v>7</v>
      </c>
      <c r="V31" s="1158">
        <f>Table6268934567910[[#This Row],[Offer Value]]-Table6268934567910[[#This Row],[PO Value]]</f>
        <v>0</v>
      </c>
      <c r="W31" s="1183"/>
      <c r="X31" s="1183"/>
      <c r="Y31" s="1184" t="s">
        <v>723</v>
      </c>
      <c r="Z31" s="2364" t="s">
        <v>208</v>
      </c>
      <c r="AA31" s="2364"/>
    </row>
    <row r="32" spans="1:32" s="243" customFormat="1" ht="15.6">
      <c r="A32" s="1192">
        <v>25</v>
      </c>
      <c r="B32" s="1193">
        <v>45659</v>
      </c>
      <c r="C32" s="1205" t="s">
        <v>614</v>
      </c>
      <c r="D32" s="1239" t="s">
        <v>2252</v>
      </c>
      <c r="E32" s="1153" t="s">
        <v>2387</v>
      </c>
      <c r="F32" s="3151" t="s">
        <v>2421</v>
      </c>
      <c r="G32" s="3151">
        <v>9483049074</v>
      </c>
      <c r="H32" s="3151" t="s">
        <v>2422</v>
      </c>
      <c r="I32" s="2798" t="s">
        <v>2423</v>
      </c>
      <c r="J32" s="2801" t="s">
        <v>73</v>
      </c>
      <c r="K32" s="1204" t="s">
        <v>138</v>
      </c>
      <c r="L32" s="1208" t="s">
        <v>2424</v>
      </c>
      <c r="M32" s="1204" t="s">
        <v>2425</v>
      </c>
      <c r="N32" s="1189">
        <v>59000</v>
      </c>
      <c r="O32" s="1211" t="s">
        <v>7</v>
      </c>
      <c r="P32" s="1211" t="s">
        <v>18</v>
      </c>
      <c r="Q32" s="1210">
        <v>1</v>
      </c>
      <c r="R32" s="2826" t="s">
        <v>2426</v>
      </c>
      <c r="S32" s="1228">
        <v>45293</v>
      </c>
      <c r="T32" s="1189">
        <v>59000</v>
      </c>
      <c r="U32" s="1211" t="s">
        <v>18</v>
      </c>
      <c r="V32" s="1158">
        <f>Table6268934567910[[#This Row],[Offer Value]]-Table6268934567910[[#This Row],[PO Value]]</f>
        <v>0</v>
      </c>
      <c r="W32" s="1183"/>
      <c r="X32" s="1183"/>
      <c r="Y32" s="1183"/>
      <c r="Z32" s="471"/>
      <c r="AA32" s="471"/>
    </row>
    <row r="33" spans="1:27" s="292" customFormat="1" ht="15.6">
      <c r="A33" s="1192">
        <v>26</v>
      </c>
      <c r="B33" s="1193">
        <v>45659</v>
      </c>
      <c r="C33" s="1204" t="s">
        <v>614</v>
      </c>
      <c r="D33" s="3138" t="s">
        <v>2252</v>
      </c>
      <c r="E33" s="1253" t="s">
        <v>2427</v>
      </c>
      <c r="F33" s="1253" t="s">
        <v>2428</v>
      </c>
      <c r="G33" s="1253">
        <v>8147347034</v>
      </c>
      <c r="H33" s="2863" t="s">
        <v>2429</v>
      </c>
      <c r="I33" s="2798" t="s">
        <v>2430</v>
      </c>
      <c r="J33" s="2801" t="s">
        <v>73</v>
      </c>
      <c r="K33" s="1204" t="s">
        <v>138</v>
      </c>
      <c r="L33" s="1208" t="s">
        <v>2431</v>
      </c>
      <c r="M33" s="1227">
        <v>45172</v>
      </c>
      <c r="N33" s="1189">
        <v>58000</v>
      </c>
      <c r="O33" s="1211" t="s">
        <v>7</v>
      </c>
      <c r="P33" s="1211" t="s">
        <v>2432</v>
      </c>
      <c r="Q33" s="1210">
        <v>1</v>
      </c>
      <c r="R33" s="2826" t="s">
        <v>2433</v>
      </c>
      <c r="S33" s="1228">
        <v>45056</v>
      </c>
      <c r="T33" s="2913">
        <v>58000</v>
      </c>
      <c r="U33" s="1211" t="s">
        <v>2432</v>
      </c>
      <c r="V33" s="1158">
        <f>Table6268934567910[[#This Row],[Offer Value]]-Table6268934567910[[#This Row],[PO Value]]</f>
        <v>0</v>
      </c>
      <c r="W33" s="1183"/>
      <c r="X33" s="1183"/>
      <c r="Y33" s="1183"/>
      <c r="Z33" s="689"/>
      <c r="AA33" s="689"/>
    </row>
    <row r="34" spans="1:27" s="243" customFormat="1" ht="15.6">
      <c r="A34" s="1192">
        <v>27</v>
      </c>
      <c r="B34" s="1193">
        <v>45659</v>
      </c>
      <c r="C34" s="1194" t="s">
        <v>614</v>
      </c>
      <c r="D34" s="1194" t="s">
        <v>2252</v>
      </c>
      <c r="E34" s="1194" t="s">
        <v>2427</v>
      </c>
      <c r="F34" s="2879" t="s">
        <v>2434</v>
      </c>
      <c r="G34" s="2879">
        <v>9740619050</v>
      </c>
      <c r="H34" s="2879" t="s">
        <v>2435</v>
      </c>
      <c r="I34" s="2879" t="s">
        <v>2436</v>
      </c>
      <c r="J34" s="1232" t="s">
        <v>73</v>
      </c>
      <c r="K34" s="1232" t="s">
        <v>138</v>
      </c>
      <c r="L34" s="1203" t="s">
        <v>2411</v>
      </c>
      <c r="M34" s="1233">
        <v>45017</v>
      </c>
      <c r="N34" s="1181">
        <v>58000</v>
      </c>
      <c r="O34" s="1176" t="s">
        <v>7</v>
      </c>
      <c r="P34" s="2754" t="s">
        <v>30</v>
      </c>
      <c r="Q34" s="1234">
        <v>1</v>
      </c>
      <c r="R34" s="2410" t="s">
        <v>2437</v>
      </c>
      <c r="S34" s="3247" t="s">
        <v>2438</v>
      </c>
      <c r="T34" s="1181">
        <v>58000</v>
      </c>
      <c r="U34" s="1176" t="s">
        <v>30</v>
      </c>
      <c r="V34" s="1158">
        <f>Table6268934567910[[#This Row],[Offer Value]]-Table6268934567910[[#This Row],[PO Value]]</f>
        <v>0</v>
      </c>
      <c r="W34" s="1183"/>
      <c r="X34" s="1183"/>
      <c r="Y34" s="1231"/>
      <c r="Z34" s="1165"/>
      <c r="AA34" s="1165"/>
    </row>
    <row r="35" spans="1:27" s="292" customFormat="1" ht="31.2">
      <c r="A35" s="1192">
        <v>28</v>
      </c>
      <c r="B35" s="1193">
        <v>45659</v>
      </c>
      <c r="C35" s="1194" t="s">
        <v>2439</v>
      </c>
      <c r="D35" s="1195" t="s">
        <v>2324</v>
      </c>
      <c r="E35" s="1195" t="s">
        <v>2440</v>
      </c>
      <c r="F35" s="1237" t="s">
        <v>2441</v>
      </c>
      <c r="G35" s="1237">
        <v>9597085079</v>
      </c>
      <c r="H35" s="1237" t="s">
        <v>2442</v>
      </c>
      <c r="I35" s="1217" t="s">
        <v>2443</v>
      </c>
      <c r="J35" s="1194" t="s">
        <v>73</v>
      </c>
      <c r="K35" s="1194" t="s">
        <v>138</v>
      </c>
      <c r="L35" s="1198" t="s">
        <v>2444</v>
      </c>
      <c r="M35" s="1230">
        <v>45325</v>
      </c>
      <c r="N35" s="1220">
        <v>95001</v>
      </c>
      <c r="O35" s="1176" t="s">
        <v>7</v>
      </c>
      <c r="P35" s="2754" t="s">
        <v>30</v>
      </c>
      <c r="Q35" s="1200">
        <v>1</v>
      </c>
      <c r="R35" s="3238">
        <v>401186595</v>
      </c>
      <c r="S35" s="3248">
        <v>45446</v>
      </c>
      <c r="T35" s="1189">
        <v>95001</v>
      </c>
      <c r="U35" s="1177" t="s">
        <v>30</v>
      </c>
      <c r="V35" s="1158">
        <f>Table6268934567910[[#This Row],[Offer Value]]-Table6268934567910[[#This Row],[PO Value]]</f>
        <v>0</v>
      </c>
      <c r="W35" s="1183"/>
      <c r="X35" s="1183"/>
      <c r="Y35" s="1231"/>
      <c r="Z35" s="1165"/>
      <c r="AA35" s="1165"/>
    </row>
    <row r="36" spans="1:27" s="243" customFormat="1" ht="15.6">
      <c r="A36" s="1192">
        <v>29</v>
      </c>
      <c r="B36" s="1193">
        <v>45659</v>
      </c>
      <c r="C36" s="1225" t="s">
        <v>2393</v>
      </c>
      <c r="D36" s="1225" t="s">
        <v>2445</v>
      </c>
      <c r="E36" s="1225" t="s">
        <v>620</v>
      </c>
      <c r="F36" s="1225" t="s">
        <v>2394</v>
      </c>
      <c r="G36" s="1225">
        <v>9590027444</v>
      </c>
      <c r="H36" s="1225" t="s">
        <v>2395</v>
      </c>
      <c r="I36" s="1217" t="s">
        <v>2446</v>
      </c>
      <c r="J36" s="1219" t="s">
        <v>73</v>
      </c>
      <c r="K36" s="1219" t="s">
        <v>138</v>
      </c>
      <c r="L36" s="1198" t="s">
        <v>2447</v>
      </c>
      <c r="M36" s="1194" t="s">
        <v>2425</v>
      </c>
      <c r="N36" s="1189">
        <v>72000</v>
      </c>
      <c r="O36" s="1211" t="s">
        <v>7</v>
      </c>
      <c r="P36" s="3223" t="s">
        <v>7</v>
      </c>
      <c r="Q36" s="1222">
        <v>1</v>
      </c>
      <c r="R36" s="3238">
        <v>115885</v>
      </c>
      <c r="S36" s="3249"/>
      <c r="T36" s="1189">
        <v>72000</v>
      </c>
      <c r="U36" s="1211" t="s">
        <v>7</v>
      </c>
      <c r="V36" s="1158">
        <f>Table6268934567910[[#This Row],[Offer Value]]-Table6268934567910[[#This Row],[PO Value]]</f>
        <v>0</v>
      </c>
      <c r="W36" s="1174" t="s">
        <v>2386</v>
      </c>
      <c r="X36" s="1183"/>
      <c r="Y36" s="1231" t="s">
        <v>2301</v>
      </c>
      <c r="Z36" s="1108"/>
      <c r="AA36" s="1108"/>
    </row>
    <row r="37" spans="1:27" s="1366" customFormat="1" ht="15.6">
      <c r="A37" s="1192">
        <v>30</v>
      </c>
      <c r="B37" s="1193">
        <v>45659</v>
      </c>
      <c r="C37" s="1205" t="s">
        <v>2448</v>
      </c>
      <c r="D37" s="1205" t="s">
        <v>2252</v>
      </c>
      <c r="E37" s="1205" t="s">
        <v>1166</v>
      </c>
      <c r="F37" s="1204" t="s">
        <v>2449</v>
      </c>
      <c r="G37" s="1205">
        <v>9448325008</v>
      </c>
      <c r="H37" s="1241" t="s">
        <v>2450</v>
      </c>
      <c r="I37" s="1217" t="s">
        <v>2451</v>
      </c>
      <c r="J37" s="1204" t="s">
        <v>73</v>
      </c>
      <c r="K37" s="1204" t="s">
        <v>138</v>
      </c>
      <c r="L37" s="1208" t="s">
        <v>2452</v>
      </c>
      <c r="M37" s="1204" t="s">
        <v>2453</v>
      </c>
      <c r="N37" s="1189">
        <v>215600</v>
      </c>
      <c r="O37" s="1211" t="s">
        <v>7</v>
      </c>
      <c r="P37" s="1211" t="s">
        <v>7</v>
      </c>
      <c r="Q37" s="1210">
        <v>1</v>
      </c>
      <c r="R37" s="2826" t="s">
        <v>2454</v>
      </c>
      <c r="S37" s="1202" t="s">
        <v>2455</v>
      </c>
      <c r="T37" s="1189">
        <v>215600</v>
      </c>
      <c r="U37" s="1211" t="s">
        <v>7</v>
      </c>
      <c r="V37" s="1158">
        <f>Table6268934567910[[#This Row],[Offer Value]]-Table6268934567910[[#This Row],[PO Value]]</f>
        <v>0</v>
      </c>
      <c r="W37" s="1183"/>
      <c r="X37" s="1183"/>
      <c r="Y37" s="1231"/>
    </row>
    <row r="38" spans="1:27" s="1366" customFormat="1" ht="15.6">
      <c r="A38" s="1192">
        <v>31</v>
      </c>
      <c r="B38" s="1193">
        <v>45810</v>
      </c>
      <c r="C38" s="1203" t="s">
        <v>2294</v>
      </c>
      <c r="D38" s="1232" t="s">
        <v>2295</v>
      </c>
      <c r="E38" s="1232" t="s">
        <v>2387</v>
      </c>
      <c r="F38" s="1178" t="s">
        <v>2456</v>
      </c>
      <c r="G38" s="1232">
        <v>9902311047</v>
      </c>
      <c r="H38" s="2865" t="s">
        <v>2457</v>
      </c>
      <c r="I38" s="1203" t="s">
        <v>2458</v>
      </c>
      <c r="J38" s="1232" t="s">
        <v>74</v>
      </c>
      <c r="K38" s="1232" t="s">
        <v>138</v>
      </c>
      <c r="L38" s="1203" t="s">
        <v>2459</v>
      </c>
      <c r="M38" s="1233" t="s">
        <v>2460</v>
      </c>
      <c r="N38" s="1181">
        <v>594448.80000000005</v>
      </c>
      <c r="O38" s="1176" t="s">
        <v>7</v>
      </c>
      <c r="P38" s="1176" t="s">
        <v>18</v>
      </c>
      <c r="Q38" s="1234">
        <v>0.9</v>
      </c>
      <c r="R38" s="3239" t="s">
        <v>2461</v>
      </c>
      <c r="S38" s="1235" t="s">
        <v>319</v>
      </c>
      <c r="T38" s="1181">
        <v>594448.80000000005</v>
      </c>
      <c r="U38" s="1176" t="s">
        <v>18</v>
      </c>
      <c r="V38" s="1158">
        <f>Table6268934567910[[#This Row],[Offer Value]]-Table6268934567910[[#This Row],[PO Value]]</f>
        <v>0</v>
      </c>
      <c r="W38" s="1174" t="s">
        <v>2462</v>
      </c>
      <c r="X38" s="1183"/>
      <c r="Y38" s="1231">
        <v>45993</v>
      </c>
    </row>
    <row r="39" spans="1:27" s="1366" customFormat="1" ht="15.6">
      <c r="A39" s="1391">
        <v>32</v>
      </c>
      <c r="B39" s="1392">
        <v>45963</v>
      </c>
      <c r="C39" s="1393" t="s">
        <v>1064</v>
      </c>
      <c r="D39" s="1393" t="s">
        <v>2252</v>
      </c>
      <c r="E39" s="1393" t="s">
        <v>2262</v>
      </c>
      <c r="F39" s="1315" t="s">
        <v>2338</v>
      </c>
      <c r="G39" s="1315">
        <v>9980137131</v>
      </c>
      <c r="H39" s="2362" t="s">
        <v>2339</v>
      </c>
      <c r="I39" s="1315" t="s">
        <v>2463</v>
      </c>
      <c r="J39" s="1461" t="s">
        <v>75</v>
      </c>
      <c r="K39" s="1461" t="s">
        <v>157</v>
      </c>
      <c r="L39" s="1393" t="s">
        <v>2464</v>
      </c>
      <c r="M39" s="1394" t="s">
        <v>2465</v>
      </c>
      <c r="N39" s="1314">
        <v>109751.03999999999</v>
      </c>
      <c r="O39" s="1315" t="s">
        <v>18</v>
      </c>
      <c r="P39" s="1315" t="s">
        <v>18</v>
      </c>
      <c r="Q39" s="1395">
        <v>0.9</v>
      </c>
      <c r="R39" s="1315">
        <v>1240058785</v>
      </c>
      <c r="S39" s="1397" t="s">
        <v>1899</v>
      </c>
      <c r="T39" s="1314">
        <v>109751.03999999999</v>
      </c>
      <c r="U39" s="1315" t="s">
        <v>18</v>
      </c>
      <c r="V39" s="1316">
        <f>Table6268934567910[[#This Row],[Offer Value]]-Table6268934567910[[#This Row],[PO Value]]</f>
        <v>0</v>
      </c>
      <c r="W39" s="1317"/>
      <c r="X39" s="1317"/>
      <c r="Y39" s="1468"/>
    </row>
    <row r="40" spans="1:27" s="1366" customFormat="1" ht="62.4">
      <c r="A40" s="1391">
        <v>33</v>
      </c>
      <c r="B40" s="1393" t="s">
        <v>2466</v>
      </c>
      <c r="C40" s="1767" t="s">
        <v>614</v>
      </c>
      <c r="D40" s="1460" t="s">
        <v>2252</v>
      </c>
      <c r="E40" s="1460" t="s">
        <v>2467</v>
      </c>
      <c r="F40" s="2887" t="s">
        <v>2468</v>
      </c>
      <c r="G40" s="2893">
        <v>9343174460</v>
      </c>
      <c r="H40" s="2759" t="s">
        <v>2469</v>
      </c>
      <c r="I40" s="2901" t="s">
        <v>2256</v>
      </c>
      <c r="J40" s="1769" t="s">
        <v>75</v>
      </c>
      <c r="K40" s="1769" t="s">
        <v>157</v>
      </c>
      <c r="L40" s="1770" t="s">
        <v>2470</v>
      </c>
      <c r="M40" s="1460" t="s">
        <v>2186</v>
      </c>
      <c r="N40" s="1314">
        <v>1039684.42</v>
      </c>
      <c r="O40" s="1399" t="s">
        <v>2471</v>
      </c>
      <c r="P40" s="1399" t="s">
        <v>28</v>
      </c>
      <c r="Q40" s="1496">
        <v>0.9</v>
      </c>
      <c r="R40" s="2827">
        <v>4000520776</v>
      </c>
      <c r="S40" s="1397" t="s">
        <v>2472</v>
      </c>
      <c r="T40" s="1314">
        <v>1039684.42</v>
      </c>
      <c r="U40" s="1315" t="s">
        <v>28</v>
      </c>
      <c r="V40" s="1771">
        <v>0</v>
      </c>
      <c r="W40" s="1497" t="s">
        <v>2473</v>
      </c>
      <c r="X40" s="1317"/>
      <c r="Y40" s="1468"/>
    </row>
    <row r="41" spans="1:27" s="1366" customFormat="1" ht="15.6">
      <c r="A41" s="1391">
        <v>34</v>
      </c>
      <c r="B41" s="1393" t="s">
        <v>2474</v>
      </c>
      <c r="C41" s="1393" t="s">
        <v>2475</v>
      </c>
      <c r="D41" s="1393" t="s">
        <v>2445</v>
      </c>
      <c r="E41" s="1393" t="s">
        <v>954</v>
      </c>
      <c r="F41" s="1960" t="s">
        <v>2476</v>
      </c>
      <c r="G41" s="2894" t="s">
        <v>2477</v>
      </c>
      <c r="H41" s="1961" t="s">
        <v>2478</v>
      </c>
      <c r="I41" s="1393" t="s">
        <v>2479</v>
      </c>
      <c r="J41" s="1461" t="s">
        <v>73</v>
      </c>
      <c r="K41" s="1461" t="s">
        <v>138</v>
      </c>
      <c r="L41" s="1393" t="s">
        <v>2480</v>
      </c>
      <c r="M41" s="1394" t="s">
        <v>2371</v>
      </c>
      <c r="N41" s="1314">
        <v>82000</v>
      </c>
      <c r="O41" s="1315" t="s">
        <v>25</v>
      </c>
      <c r="P41" s="1315" t="s">
        <v>28</v>
      </c>
      <c r="Q41" s="1395">
        <v>0.9</v>
      </c>
      <c r="R41" s="2761">
        <v>7500114971</v>
      </c>
      <c r="S41" s="1545" t="s">
        <v>1371</v>
      </c>
      <c r="T41" s="1315">
        <v>82000</v>
      </c>
      <c r="U41" s="1315" t="s">
        <v>28</v>
      </c>
      <c r="V41" s="1316">
        <f>Table6268934567910[[#This Row],[Offer Value]]-Table6268934567910[[#This Row],[PO Value]]</f>
        <v>0</v>
      </c>
      <c r="W41" s="1317"/>
      <c r="X41" s="1317"/>
      <c r="Y41" s="1317"/>
    </row>
    <row r="42" spans="1:27" s="1366" customFormat="1" ht="15.6">
      <c r="A42" s="1391">
        <v>35</v>
      </c>
      <c r="B42" s="1393" t="s">
        <v>2474</v>
      </c>
      <c r="C42" s="1393" t="s">
        <v>2481</v>
      </c>
      <c r="D42" s="1393" t="s">
        <v>2482</v>
      </c>
      <c r="E42" s="1393" t="s">
        <v>2262</v>
      </c>
      <c r="F42" s="1315" t="s">
        <v>2483</v>
      </c>
      <c r="G42" s="1393">
        <v>9480844047</v>
      </c>
      <c r="H42" s="974" t="s">
        <v>2484</v>
      </c>
      <c r="I42" s="1393" t="s">
        <v>2485</v>
      </c>
      <c r="J42" s="1461" t="s">
        <v>73</v>
      </c>
      <c r="K42" s="1461" t="s">
        <v>138</v>
      </c>
      <c r="L42" s="1393" t="s">
        <v>2486</v>
      </c>
      <c r="M42" s="1394" t="s">
        <v>2371</v>
      </c>
      <c r="N42" s="1314">
        <v>90000</v>
      </c>
      <c r="O42" s="1315" t="s">
        <v>25</v>
      </c>
      <c r="P42" s="1315" t="s">
        <v>30</v>
      </c>
      <c r="Q42" s="1395">
        <v>0.9</v>
      </c>
      <c r="R42" s="1315" t="s">
        <v>2487</v>
      </c>
      <c r="S42" s="1545">
        <v>45789</v>
      </c>
      <c r="T42" s="1315">
        <v>90000</v>
      </c>
      <c r="U42" s="1315" t="s">
        <v>30</v>
      </c>
      <c r="V42" s="1316">
        <v>0</v>
      </c>
      <c r="W42" s="1317"/>
      <c r="X42" s="1317"/>
      <c r="Y42" s="1635"/>
    </row>
    <row r="43" spans="1:27" s="1366" customFormat="1" ht="15.6">
      <c r="A43" s="702">
        <v>36</v>
      </c>
      <c r="B43" s="703" t="s">
        <v>2474</v>
      </c>
      <c r="C43" s="703" t="s">
        <v>614</v>
      </c>
      <c r="D43" s="703" t="s">
        <v>2252</v>
      </c>
      <c r="E43" s="703" t="s">
        <v>2488</v>
      </c>
      <c r="F43" s="697" t="s">
        <v>2489</v>
      </c>
      <c r="G43" s="703">
        <v>9681203773</v>
      </c>
      <c r="H43" s="855" t="s">
        <v>2490</v>
      </c>
      <c r="I43" s="703" t="s">
        <v>2491</v>
      </c>
      <c r="J43" s="705" t="s">
        <v>73</v>
      </c>
      <c r="K43" s="705" t="s">
        <v>138</v>
      </c>
      <c r="L43" s="703" t="s">
        <v>2492</v>
      </c>
      <c r="M43" s="699" t="s">
        <v>2371</v>
      </c>
      <c r="N43" s="700">
        <v>61000</v>
      </c>
      <c r="O43" s="697" t="s">
        <v>25</v>
      </c>
      <c r="P43" s="697" t="s">
        <v>47</v>
      </c>
      <c r="Q43" s="707">
        <v>0.9</v>
      </c>
      <c r="R43" s="697"/>
      <c r="S43" s="716"/>
      <c r="T43" s="697"/>
      <c r="U43" s="697" t="s">
        <v>49</v>
      </c>
      <c r="V43" s="692">
        <f>Table6268934567910[[#This Row],[Offer Value]]-Table6268934567910[[#This Row],[PO Value]]</f>
        <v>61000</v>
      </c>
      <c r="W43" s="706"/>
      <c r="X43" s="706"/>
      <c r="Y43" s="709"/>
    </row>
    <row r="44" spans="1:27" s="1366" customFormat="1" ht="15.6">
      <c r="A44" s="1391">
        <v>37</v>
      </c>
      <c r="B44" s="1393" t="s">
        <v>2474</v>
      </c>
      <c r="C44" s="1357" t="s">
        <v>2377</v>
      </c>
      <c r="D44" s="1357" t="s">
        <v>2378</v>
      </c>
      <c r="E44" s="1357" t="s">
        <v>954</v>
      </c>
      <c r="F44" s="1357" t="s">
        <v>2379</v>
      </c>
      <c r="G44" s="2762" t="s">
        <v>2380</v>
      </c>
      <c r="H44" s="1549" t="s">
        <v>2381</v>
      </c>
      <c r="I44" s="1357" t="s">
        <v>2493</v>
      </c>
      <c r="J44" s="1363" t="s">
        <v>73</v>
      </c>
      <c r="K44" s="1363" t="s">
        <v>157</v>
      </c>
      <c r="L44" s="1357" t="s">
        <v>2494</v>
      </c>
      <c r="M44" s="1394" t="s">
        <v>2495</v>
      </c>
      <c r="N44" s="1314">
        <v>99500</v>
      </c>
      <c r="O44" s="1315" t="s">
        <v>25</v>
      </c>
      <c r="P44" s="1315" t="s">
        <v>30</v>
      </c>
      <c r="Q44" s="1395">
        <v>0.9</v>
      </c>
      <c r="R44" s="1315">
        <v>4500268257</v>
      </c>
      <c r="S44" s="1397" t="s">
        <v>2496</v>
      </c>
      <c r="T44" s="1314">
        <v>99500</v>
      </c>
      <c r="U44" s="1315" t="s">
        <v>34</v>
      </c>
      <c r="V44" s="1316">
        <f>Table6268934567910[[#This Row],[Offer Value]]-Table6268934567910[[#This Row],[PO Value]]</f>
        <v>0</v>
      </c>
      <c r="W44" s="1317"/>
      <c r="X44" s="1317"/>
      <c r="Y44" s="1468"/>
    </row>
    <row r="45" spans="1:27" s="1366" customFormat="1" ht="15.6">
      <c r="A45" s="1391">
        <v>38</v>
      </c>
      <c r="B45" s="1393" t="s">
        <v>1980</v>
      </c>
      <c r="C45" s="1393" t="s">
        <v>2323</v>
      </c>
      <c r="D45" s="1393" t="s">
        <v>2324</v>
      </c>
      <c r="E45" s="1393" t="s">
        <v>2497</v>
      </c>
      <c r="F45" s="1315" t="s">
        <v>2498</v>
      </c>
      <c r="G45" s="1393" t="s">
        <v>2499</v>
      </c>
      <c r="H45" s="974" t="s">
        <v>2500</v>
      </c>
      <c r="I45" s="1393" t="s">
        <v>2501</v>
      </c>
      <c r="J45" s="1461" t="s">
        <v>73</v>
      </c>
      <c r="K45" s="1461" t="s">
        <v>138</v>
      </c>
      <c r="L45" s="1393" t="s">
        <v>2502</v>
      </c>
      <c r="M45" s="1394" t="s">
        <v>2503</v>
      </c>
      <c r="N45" s="1314">
        <v>82400</v>
      </c>
      <c r="O45" s="1315" t="s">
        <v>18</v>
      </c>
      <c r="P45" s="1315" t="s">
        <v>28</v>
      </c>
      <c r="Q45" s="1395">
        <v>0.8</v>
      </c>
      <c r="R45" s="1315">
        <v>101265544</v>
      </c>
      <c r="S45" s="1397">
        <v>45744</v>
      </c>
      <c r="T45" s="1314">
        <v>82400</v>
      </c>
      <c r="U45" s="1315" t="s">
        <v>28</v>
      </c>
      <c r="V45" s="1316">
        <f>Table6268934567910[[#This Row],[Offer Value]]-Table6268934567910[[#This Row],[PO Value]]</f>
        <v>0</v>
      </c>
      <c r="W45" s="1317"/>
      <c r="X45" s="1317"/>
      <c r="Y45" s="1317"/>
    </row>
    <row r="46" spans="1:27" s="1366" customFormat="1" ht="15.6">
      <c r="A46" s="1391">
        <v>39</v>
      </c>
      <c r="B46" s="1393" t="s">
        <v>1980</v>
      </c>
      <c r="C46" s="1393" t="s">
        <v>2294</v>
      </c>
      <c r="D46" s="1393" t="s">
        <v>2295</v>
      </c>
      <c r="E46" s="1393" t="s">
        <v>2504</v>
      </c>
      <c r="F46" s="1315" t="s">
        <v>2505</v>
      </c>
      <c r="G46" s="1393">
        <v>9108482032</v>
      </c>
      <c r="H46" s="942" t="s">
        <v>2506</v>
      </c>
      <c r="I46" s="1393" t="s">
        <v>2507</v>
      </c>
      <c r="J46" s="1461" t="s">
        <v>73</v>
      </c>
      <c r="K46" s="1461" t="s">
        <v>138</v>
      </c>
      <c r="L46" s="1393" t="s">
        <v>2508</v>
      </c>
      <c r="M46" s="1394" t="s">
        <v>1899</v>
      </c>
      <c r="N46" s="1314">
        <v>89000</v>
      </c>
      <c r="O46" s="1315" t="s">
        <v>18</v>
      </c>
      <c r="P46" s="1315" t="s">
        <v>30</v>
      </c>
      <c r="Q46" s="1395">
        <v>1</v>
      </c>
      <c r="R46" s="2827" t="s">
        <v>2509</v>
      </c>
      <c r="S46" s="1397" t="s">
        <v>2510</v>
      </c>
      <c r="T46" s="1314">
        <v>89000</v>
      </c>
      <c r="U46" s="1315" t="s">
        <v>30</v>
      </c>
      <c r="V46" s="1316">
        <f>Table6268934567910[[#This Row],[Offer Value]]-Table6268934567910[[#This Row],[PO Value]]</f>
        <v>0</v>
      </c>
      <c r="W46" s="1317"/>
      <c r="X46" s="1317"/>
      <c r="Y46" s="1317"/>
    </row>
    <row r="47" spans="1:27" s="243" customFormat="1" ht="15.6">
      <c r="A47" s="1391">
        <v>40</v>
      </c>
      <c r="B47" s="1393" t="s">
        <v>1980</v>
      </c>
      <c r="C47" s="1393" t="s">
        <v>614</v>
      </c>
      <c r="D47" s="1555" t="s">
        <v>2252</v>
      </c>
      <c r="E47" s="2882" t="s">
        <v>2511</v>
      </c>
      <c r="F47" s="1960" t="s">
        <v>2512</v>
      </c>
      <c r="G47" s="1393">
        <v>8722375091</v>
      </c>
      <c r="H47" s="942" t="s">
        <v>2513</v>
      </c>
      <c r="I47" s="3179" t="s">
        <v>2514</v>
      </c>
      <c r="J47" s="2519" t="s">
        <v>73</v>
      </c>
      <c r="K47" s="1461" t="s">
        <v>138</v>
      </c>
      <c r="L47" s="1393" t="s">
        <v>2515</v>
      </c>
      <c r="M47" s="1394" t="s">
        <v>1899</v>
      </c>
      <c r="N47" s="1314">
        <v>65500</v>
      </c>
      <c r="O47" s="1315" t="s">
        <v>18</v>
      </c>
      <c r="P47" s="1315" t="s">
        <v>28</v>
      </c>
      <c r="Q47" s="1395">
        <v>0.9</v>
      </c>
      <c r="R47" s="1467">
        <v>4800088950</v>
      </c>
      <c r="S47" s="1545" t="s">
        <v>2516</v>
      </c>
      <c r="T47" s="1315">
        <v>65500</v>
      </c>
      <c r="U47" s="1315" t="s">
        <v>37</v>
      </c>
      <c r="V47" s="1316">
        <f>Table6268934567910[[#This Row],[Offer Value]]-Table6268934567910[[#This Row],[PO Value]]</f>
        <v>0</v>
      </c>
      <c r="W47" s="1317"/>
      <c r="X47" s="1317"/>
      <c r="Y47" s="1317"/>
    </row>
    <row r="48" spans="1:27" s="1366" customFormat="1" ht="15.6">
      <c r="A48" s="1391">
        <v>41</v>
      </c>
      <c r="B48" s="1392" t="s">
        <v>1980</v>
      </c>
      <c r="C48" s="1393" t="s">
        <v>2517</v>
      </c>
      <c r="D48" s="1555" t="s">
        <v>2252</v>
      </c>
      <c r="E48" s="1543" t="s">
        <v>2497</v>
      </c>
      <c r="F48" s="1467" t="s">
        <v>2518</v>
      </c>
      <c r="G48" s="1543">
        <v>9243797941</v>
      </c>
      <c r="H48" s="1787" t="s">
        <v>2519</v>
      </c>
      <c r="I48" s="1543" t="s">
        <v>2520</v>
      </c>
      <c r="J48" s="2519" t="s">
        <v>73</v>
      </c>
      <c r="K48" s="1461" t="s">
        <v>138</v>
      </c>
      <c r="L48" s="1393" t="s">
        <v>2521</v>
      </c>
      <c r="M48" s="1394" t="s">
        <v>2465</v>
      </c>
      <c r="N48" s="1314">
        <v>111500</v>
      </c>
      <c r="O48" s="1315" t="s">
        <v>18</v>
      </c>
      <c r="P48" s="1315" t="s">
        <v>30</v>
      </c>
      <c r="Q48" s="1395">
        <v>1</v>
      </c>
      <c r="R48" s="2754">
        <v>5400057119</v>
      </c>
      <c r="S48" s="1545" t="s">
        <v>2522</v>
      </c>
      <c r="T48" s="1643">
        <v>107040</v>
      </c>
      <c r="U48" s="1315" t="s">
        <v>30</v>
      </c>
      <c r="V48" s="1316">
        <v>0</v>
      </c>
      <c r="W48" s="1317"/>
      <c r="X48" s="1317"/>
      <c r="Y48" s="1317"/>
    </row>
    <row r="49" spans="1:27" s="1366" customFormat="1" ht="15.6">
      <c r="A49" s="1391">
        <v>42</v>
      </c>
      <c r="B49" s="1393" t="s">
        <v>1980</v>
      </c>
      <c r="C49" s="1393" t="s">
        <v>614</v>
      </c>
      <c r="D49" s="1555" t="s">
        <v>2252</v>
      </c>
      <c r="E49" s="1543" t="s">
        <v>2523</v>
      </c>
      <c r="F49" s="1467" t="s">
        <v>2524</v>
      </c>
      <c r="G49" s="1543"/>
      <c r="H49" s="1320" t="s">
        <v>2525</v>
      </c>
      <c r="I49" s="1543" t="s">
        <v>2526</v>
      </c>
      <c r="J49" s="2519" t="s">
        <v>75</v>
      </c>
      <c r="K49" s="1461" t="s">
        <v>157</v>
      </c>
      <c r="L49" s="1393" t="s">
        <v>2527</v>
      </c>
      <c r="M49" s="1394" t="s">
        <v>2371</v>
      </c>
      <c r="N49" s="1314">
        <v>1253613</v>
      </c>
      <c r="O49" s="1315" t="s">
        <v>25</v>
      </c>
      <c r="P49" s="1315" t="s">
        <v>39</v>
      </c>
      <c r="Q49" s="1395">
        <v>0.5</v>
      </c>
      <c r="R49" s="2754">
        <v>4000548189</v>
      </c>
      <c r="S49" s="1545" t="s">
        <v>2528</v>
      </c>
      <c r="T49" s="1643">
        <v>1034815.68</v>
      </c>
      <c r="U49" s="1315" t="s">
        <v>39</v>
      </c>
      <c r="V49" s="1316">
        <f>Table6268934567910[[#This Row],[Offer Value]]-Table6268934567910[[#This Row],[PO Value]]</f>
        <v>218797.31999999995</v>
      </c>
      <c r="W49" s="1317"/>
      <c r="X49" s="1317"/>
      <c r="Y49" s="1468"/>
    </row>
    <row r="50" spans="1:27" s="1366" customFormat="1" ht="15.6">
      <c r="A50" s="1391">
        <v>43</v>
      </c>
      <c r="B50" s="1393" t="s">
        <v>1980</v>
      </c>
      <c r="C50" s="1393" t="s">
        <v>2356</v>
      </c>
      <c r="D50" s="1555" t="s">
        <v>2252</v>
      </c>
      <c r="E50" s="1543" t="s">
        <v>954</v>
      </c>
      <c r="F50" s="1544" t="s">
        <v>2529</v>
      </c>
      <c r="G50" s="1544">
        <v>9986855960</v>
      </c>
      <c r="H50" s="1544" t="s">
        <v>2530</v>
      </c>
      <c r="I50" s="1543" t="s">
        <v>2531</v>
      </c>
      <c r="J50" s="2519" t="s">
        <v>75</v>
      </c>
      <c r="K50" s="1461" t="s">
        <v>157</v>
      </c>
      <c r="L50" s="1393" t="s">
        <v>2532</v>
      </c>
      <c r="M50" s="1394" t="s">
        <v>2533</v>
      </c>
      <c r="N50" s="1314">
        <v>518318</v>
      </c>
      <c r="O50" s="1315" t="s">
        <v>18</v>
      </c>
      <c r="P50" s="1315" t="s">
        <v>28</v>
      </c>
      <c r="Q50" s="1395">
        <v>0.9</v>
      </c>
      <c r="R50" s="1467" t="s">
        <v>2534</v>
      </c>
      <c r="S50" s="1545" t="s">
        <v>1473</v>
      </c>
      <c r="T50" s="1315">
        <v>518318</v>
      </c>
      <c r="U50" s="1315" t="s">
        <v>28</v>
      </c>
      <c r="V50" s="1316">
        <f>Table6268934567910[[#This Row],[Offer Value]]-Table6268934567910[[#This Row],[PO Value]]</f>
        <v>0</v>
      </c>
      <c r="W50" s="1317"/>
      <c r="X50" s="1317"/>
      <c r="Y50" s="1317"/>
    </row>
    <row r="51" spans="1:27" s="1366" customFormat="1" ht="15.6">
      <c r="A51" s="702">
        <v>44</v>
      </c>
      <c r="B51" s="717" t="s">
        <v>1980</v>
      </c>
      <c r="C51" s="2623" t="s">
        <v>2260</v>
      </c>
      <c r="D51" s="3139" t="s">
        <v>2261</v>
      </c>
      <c r="E51" s="3142" t="s">
        <v>2262</v>
      </c>
      <c r="F51" s="3142" t="s">
        <v>2263</v>
      </c>
      <c r="G51" s="3142" t="s">
        <v>2264</v>
      </c>
      <c r="H51" s="3142" t="s">
        <v>2265</v>
      </c>
      <c r="I51" s="3182" t="s">
        <v>2266</v>
      </c>
      <c r="J51" s="734" t="s">
        <v>75</v>
      </c>
      <c r="K51" s="705" t="s">
        <v>157</v>
      </c>
      <c r="L51" s="703" t="s">
        <v>2535</v>
      </c>
      <c r="M51" s="699">
        <v>45993</v>
      </c>
      <c r="N51" s="700">
        <v>39800</v>
      </c>
      <c r="O51" s="697" t="s">
        <v>18</v>
      </c>
      <c r="P51" s="697"/>
      <c r="Q51" s="707"/>
      <c r="R51" s="691"/>
      <c r="S51" s="716"/>
      <c r="T51" s="697"/>
      <c r="U51" s="697" t="s">
        <v>49</v>
      </c>
      <c r="V51" s="692">
        <f>Table6268934567910[[#This Row],[Offer Value]]-Table6268934567910[[#This Row],[PO Value]]</f>
        <v>39800</v>
      </c>
      <c r="W51" s="706"/>
      <c r="X51" s="706"/>
      <c r="Y51" s="709"/>
    </row>
    <row r="52" spans="1:27" s="243" customFormat="1" ht="46.8">
      <c r="A52" s="1391">
        <v>45</v>
      </c>
      <c r="B52" s="1392" t="s">
        <v>1980</v>
      </c>
      <c r="C52" s="2732" t="s">
        <v>2309</v>
      </c>
      <c r="D52" s="2737" t="s">
        <v>2252</v>
      </c>
      <c r="E52" s="2737" t="s">
        <v>2262</v>
      </c>
      <c r="F52" s="2732" t="s">
        <v>2310</v>
      </c>
      <c r="G52" s="2737">
        <v>9742009996</v>
      </c>
      <c r="H52" s="2779" t="s">
        <v>2311</v>
      </c>
      <c r="I52" s="2869" t="s">
        <v>2312</v>
      </c>
      <c r="J52" s="3191" t="s">
        <v>75</v>
      </c>
      <c r="K52" s="1461" t="s">
        <v>138</v>
      </c>
      <c r="L52" s="1393" t="s">
        <v>2536</v>
      </c>
      <c r="M52" s="1394">
        <v>45993</v>
      </c>
      <c r="N52" s="1314">
        <v>227778</v>
      </c>
      <c r="O52" s="1315" t="s">
        <v>18</v>
      </c>
      <c r="P52" s="2754" t="s">
        <v>25</v>
      </c>
      <c r="Q52" s="1395">
        <v>1</v>
      </c>
      <c r="R52" s="1396" t="s">
        <v>2537</v>
      </c>
      <c r="S52" s="1397" t="s">
        <v>2538</v>
      </c>
      <c r="T52" s="1314">
        <v>227778</v>
      </c>
      <c r="U52" s="1315" t="s">
        <v>25</v>
      </c>
      <c r="V52" s="692">
        <f>Table6268934567910[[#This Row],[Offer Value]]-Table6268934567910[[#This Row],[PO Value]]</f>
        <v>0</v>
      </c>
      <c r="W52" s="706"/>
      <c r="X52" s="706"/>
      <c r="Y52" s="706"/>
      <c r="Z52" s="1108"/>
      <c r="AA52" s="1108"/>
    </row>
    <row r="53" spans="1:27" s="292" customFormat="1" ht="15.6">
      <c r="A53" s="1391">
        <v>46</v>
      </c>
      <c r="B53" s="1393" t="s">
        <v>2539</v>
      </c>
      <c r="C53" s="1393" t="s">
        <v>2393</v>
      </c>
      <c r="D53" s="1393" t="s">
        <v>2252</v>
      </c>
      <c r="E53" s="1393" t="s">
        <v>2262</v>
      </c>
      <c r="F53" s="1460" t="s">
        <v>2394</v>
      </c>
      <c r="G53" s="1460">
        <v>9590027444</v>
      </c>
      <c r="H53" s="1460" t="s">
        <v>2395</v>
      </c>
      <c r="I53" s="2788" t="s">
        <v>2446</v>
      </c>
      <c r="J53" s="2519" t="s">
        <v>75</v>
      </c>
      <c r="K53" s="1461" t="s">
        <v>157</v>
      </c>
      <c r="L53" s="1393" t="s">
        <v>2540</v>
      </c>
      <c r="M53" s="1394" t="s">
        <v>2541</v>
      </c>
      <c r="N53" s="1314">
        <v>147198</v>
      </c>
      <c r="O53" s="1315" t="s">
        <v>7</v>
      </c>
      <c r="P53" s="2754" t="s">
        <v>28</v>
      </c>
      <c r="Q53" s="1395">
        <v>1</v>
      </c>
      <c r="R53" s="1467">
        <v>126776</v>
      </c>
      <c r="S53" s="1397">
        <v>45842</v>
      </c>
      <c r="T53" s="1314">
        <v>147198</v>
      </c>
      <c r="U53" s="1315" t="s">
        <v>28</v>
      </c>
      <c r="V53" s="1316">
        <f>Table6268934567910[[#This Row],[Offer Value]]-Table6268934567910[[#This Row],[PO Value]]</f>
        <v>0</v>
      </c>
      <c r="W53" s="1399" t="s">
        <v>2355</v>
      </c>
      <c r="X53" s="1317"/>
      <c r="Y53" s="1468"/>
      <c r="Z53" s="1108"/>
      <c r="AA53" s="1108"/>
    </row>
    <row r="54" spans="1:27" s="243" customFormat="1" ht="15.6">
      <c r="A54" s="1391">
        <v>47</v>
      </c>
      <c r="B54" s="1392" t="s">
        <v>2003</v>
      </c>
      <c r="C54" s="1461" t="s">
        <v>2377</v>
      </c>
      <c r="D54" s="1461" t="s">
        <v>2445</v>
      </c>
      <c r="E54" s="1461" t="s">
        <v>954</v>
      </c>
      <c r="F54" s="1357" t="s">
        <v>2379</v>
      </c>
      <c r="G54" s="2762" t="s">
        <v>2380</v>
      </c>
      <c r="H54" s="1549" t="s">
        <v>2381</v>
      </c>
      <c r="I54" s="2745" t="s">
        <v>2542</v>
      </c>
      <c r="J54" s="2519" t="s">
        <v>74</v>
      </c>
      <c r="K54" s="1461" t="s">
        <v>138</v>
      </c>
      <c r="L54" s="1393" t="s">
        <v>2543</v>
      </c>
      <c r="M54" s="1394">
        <v>45873</v>
      </c>
      <c r="N54" s="1314">
        <v>248165</v>
      </c>
      <c r="O54" s="1315" t="s">
        <v>28</v>
      </c>
      <c r="P54" s="2754" t="s">
        <v>28</v>
      </c>
      <c r="Q54" s="1395">
        <v>1</v>
      </c>
      <c r="R54" s="1467">
        <v>4500265418</v>
      </c>
      <c r="S54" s="1397" t="s">
        <v>1884</v>
      </c>
      <c r="T54" s="1314">
        <v>248165</v>
      </c>
      <c r="U54" s="1315" t="s">
        <v>28</v>
      </c>
      <c r="V54" s="1316">
        <f>Table6268934567910[[#This Row],[Offer Value]]-Table6268934567910[[#This Row],[PO Value]]</f>
        <v>0</v>
      </c>
      <c r="W54" s="706"/>
      <c r="X54" s="706"/>
      <c r="Y54" s="706"/>
      <c r="Z54" s="1108"/>
      <c r="AA54" s="1108"/>
    </row>
    <row r="55" spans="1:27" s="292" customFormat="1" ht="15.6">
      <c r="A55" s="1391">
        <v>48</v>
      </c>
      <c r="B55" s="1392" t="s">
        <v>1410</v>
      </c>
      <c r="C55" s="1461" t="s">
        <v>2377</v>
      </c>
      <c r="D55" s="1461" t="s">
        <v>2445</v>
      </c>
      <c r="E55" s="1461" t="s">
        <v>954</v>
      </c>
      <c r="F55" s="1357" t="s">
        <v>2379</v>
      </c>
      <c r="G55" s="2762" t="s">
        <v>2380</v>
      </c>
      <c r="H55" s="1549" t="s">
        <v>2381</v>
      </c>
      <c r="I55" s="2745" t="s">
        <v>2382</v>
      </c>
      <c r="J55" s="2519" t="s">
        <v>74</v>
      </c>
      <c r="K55" s="1461" t="s">
        <v>138</v>
      </c>
      <c r="L55" s="1393" t="s">
        <v>2544</v>
      </c>
      <c r="M55" s="1394" t="s">
        <v>2545</v>
      </c>
      <c r="N55" s="1314">
        <v>45852</v>
      </c>
      <c r="O55" s="1315" t="s">
        <v>7</v>
      </c>
      <c r="P55" s="2754" t="s">
        <v>28</v>
      </c>
      <c r="Q55" s="1395">
        <v>0.8</v>
      </c>
      <c r="R55" s="1396">
        <v>4500264825</v>
      </c>
      <c r="S55" s="1397">
        <v>45873</v>
      </c>
      <c r="T55" s="1314">
        <v>45852</v>
      </c>
      <c r="U55" s="1315" t="s">
        <v>28</v>
      </c>
      <c r="V55" s="1316">
        <f>Table6268934567910[[#This Row],[Offer Value]]-Table6268934567910[[#This Row],[PO Value]]</f>
        <v>0</v>
      </c>
      <c r="W55" s="1399" t="s">
        <v>2355</v>
      </c>
      <c r="X55" s="1317"/>
      <c r="Y55" s="1468"/>
      <c r="Z55" s="1108"/>
      <c r="AA55" s="1108"/>
    </row>
    <row r="56" spans="1:27" s="1366" customFormat="1" ht="15.6">
      <c r="A56" s="1391">
        <v>49</v>
      </c>
      <c r="B56" s="1393" t="s">
        <v>1410</v>
      </c>
      <c r="C56" s="1461" t="s">
        <v>2356</v>
      </c>
      <c r="D56" s="1461" t="s">
        <v>2252</v>
      </c>
      <c r="E56" s="1461" t="s">
        <v>620</v>
      </c>
      <c r="F56" s="1548" t="s">
        <v>2358</v>
      </c>
      <c r="G56" s="1363">
        <v>9845203244</v>
      </c>
      <c r="H56" s="1549" t="s">
        <v>2359</v>
      </c>
      <c r="I56" s="1550" t="s">
        <v>2531</v>
      </c>
      <c r="J56" s="1461" t="s">
        <v>75</v>
      </c>
      <c r="K56" s="1461" t="s">
        <v>157</v>
      </c>
      <c r="L56" s="1393" t="s">
        <v>2546</v>
      </c>
      <c r="M56" s="1394" t="s">
        <v>2330</v>
      </c>
      <c r="N56" s="1314">
        <v>613094.40000000002</v>
      </c>
      <c r="O56" s="1315" t="s">
        <v>7</v>
      </c>
      <c r="P56" s="1315" t="s">
        <v>28</v>
      </c>
      <c r="Q56" s="1395">
        <v>0.8</v>
      </c>
      <c r="R56" s="1396" t="s">
        <v>2547</v>
      </c>
      <c r="S56" s="1397" t="s">
        <v>2472</v>
      </c>
      <c r="T56" s="1314">
        <v>613094.40000000002</v>
      </c>
      <c r="U56" s="1315" t="s">
        <v>28</v>
      </c>
      <c r="V56" s="1316">
        <f>Table6268934567910[[#This Row],[Offer Value]]-Table6268934567910[[#This Row],[PO Value]]</f>
        <v>0</v>
      </c>
      <c r="W56" s="1399" t="s">
        <v>2355</v>
      </c>
      <c r="X56" s="1317"/>
      <c r="Y56" s="1468"/>
    </row>
    <row r="57" spans="1:27" s="1366" customFormat="1" ht="15.6">
      <c r="A57" s="1391">
        <v>50</v>
      </c>
      <c r="B57" s="1392" t="s">
        <v>1410</v>
      </c>
      <c r="C57" s="1393" t="s">
        <v>2548</v>
      </c>
      <c r="D57" s="1393" t="s">
        <v>2252</v>
      </c>
      <c r="E57" s="1393" t="s">
        <v>2262</v>
      </c>
      <c r="F57" s="1315" t="s">
        <v>2549</v>
      </c>
      <c r="G57" s="1393">
        <v>9952914725</v>
      </c>
      <c r="H57" s="974" t="s">
        <v>2550</v>
      </c>
      <c r="I57" s="1393" t="s">
        <v>2551</v>
      </c>
      <c r="J57" s="1461" t="s">
        <v>77</v>
      </c>
      <c r="K57" s="1461" t="s">
        <v>138</v>
      </c>
      <c r="L57" s="1393" t="s">
        <v>2552</v>
      </c>
      <c r="M57" s="1394">
        <v>45661</v>
      </c>
      <c r="N57" s="1314">
        <v>343570</v>
      </c>
      <c r="O57" s="1315" t="s">
        <v>28</v>
      </c>
      <c r="P57" s="1315" t="s">
        <v>28</v>
      </c>
      <c r="Q57" s="1395">
        <v>1</v>
      </c>
      <c r="R57" s="1396" t="s">
        <v>2553</v>
      </c>
      <c r="S57" s="1397">
        <v>45751</v>
      </c>
      <c r="T57" s="1314">
        <v>343570</v>
      </c>
      <c r="U57" s="1315" t="s">
        <v>28</v>
      </c>
      <c r="V57" s="1316">
        <f>Table6268934567910[[#This Row],[Offer Value]]-Table6268934567910[[#This Row],[PO Value]]</f>
        <v>0</v>
      </c>
      <c r="W57" s="1317"/>
      <c r="X57" s="1317"/>
      <c r="Y57" s="1468"/>
    </row>
    <row r="58" spans="1:27" s="1366" customFormat="1" ht="15.6">
      <c r="A58" s="1391">
        <v>51</v>
      </c>
      <c r="B58" s="1393" t="s">
        <v>2342</v>
      </c>
      <c r="C58" s="1393" t="s">
        <v>2323</v>
      </c>
      <c r="D58" s="1393" t="s">
        <v>2324</v>
      </c>
      <c r="E58" s="1393" t="s">
        <v>2497</v>
      </c>
      <c r="F58" s="2632" t="s">
        <v>2554</v>
      </c>
      <c r="G58" s="2759">
        <v>9043276494</v>
      </c>
      <c r="H58" s="2632" t="s">
        <v>2555</v>
      </c>
      <c r="I58" s="1393" t="s">
        <v>2501</v>
      </c>
      <c r="J58" s="1461" t="s">
        <v>75</v>
      </c>
      <c r="K58" s="1461" t="s">
        <v>157</v>
      </c>
      <c r="L58" s="1393" t="s">
        <v>2556</v>
      </c>
      <c r="M58" s="1394" t="s">
        <v>2342</v>
      </c>
      <c r="N58" s="1643">
        <v>308278.59999999998</v>
      </c>
      <c r="O58" s="1315" t="s">
        <v>28</v>
      </c>
      <c r="P58" s="1315" t="s">
        <v>47</v>
      </c>
      <c r="Q58" s="1395">
        <v>0.6</v>
      </c>
      <c r="R58" s="1396">
        <v>101269910</v>
      </c>
      <c r="S58" s="1397" t="s">
        <v>2557</v>
      </c>
      <c r="T58" s="1314">
        <v>308278.59999999998</v>
      </c>
      <c r="U58" s="1315" t="s">
        <v>34</v>
      </c>
      <c r="V58" s="1316">
        <f>Table6268934567910[[#This Row],[Offer Value]]-Table6268934567910[[#This Row],[PO Value]]</f>
        <v>0</v>
      </c>
      <c r="W58" s="1317"/>
      <c r="X58" s="1317"/>
      <c r="Y58" s="1317"/>
    </row>
    <row r="59" spans="1:27" s="1366" customFormat="1" ht="31.2">
      <c r="A59" s="1391">
        <v>52</v>
      </c>
      <c r="B59" s="1392" t="s">
        <v>2342</v>
      </c>
      <c r="C59" s="1461" t="s">
        <v>2558</v>
      </c>
      <c r="D59" s="1393" t="s">
        <v>2252</v>
      </c>
      <c r="E59" s="1393" t="s">
        <v>954</v>
      </c>
      <c r="F59" s="1315" t="s">
        <v>2559</v>
      </c>
      <c r="G59" s="2748">
        <v>9629999441</v>
      </c>
      <c r="H59" s="1961" t="s">
        <v>2560</v>
      </c>
      <c r="I59" s="2632" t="s">
        <v>2561</v>
      </c>
      <c r="J59" s="1461" t="s">
        <v>75</v>
      </c>
      <c r="K59" s="1461" t="s">
        <v>157</v>
      </c>
      <c r="L59" s="1393" t="s">
        <v>2562</v>
      </c>
      <c r="M59" s="1394" t="s">
        <v>2342</v>
      </c>
      <c r="N59" s="1314">
        <v>38208</v>
      </c>
      <c r="O59" s="1315" t="s">
        <v>28</v>
      </c>
      <c r="P59" s="1315" t="s">
        <v>34</v>
      </c>
      <c r="Q59" s="1395">
        <v>0.5</v>
      </c>
      <c r="R59" s="1396" t="s">
        <v>2563</v>
      </c>
      <c r="S59" s="1397" t="s">
        <v>2516</v>
      </c>
      <c r="T59" s="1314">
        <v>38208</v>
      </c>
      <c r="U59" s="1315" t="s">
        <v>37</v>
      </c>
      <c r="V59" s="1316">
        <f>Table6268934567910[[#This Row],[Offer Value]]-Table6268934567910[[#This Row],[PO Value]]</f>
        <v>0</v>
      </c>
      <c r="W59" s="1317"/>
      <c r="X59" s="1317"/>
      <c r="Y59" s="1317"/>
      <c r="Z59" s="1366" t="s">
        <v>208</v>
      </c>
      <c r="AA59" s="1366" t="s">
        <v>208</v>
      </c>
    </row>
    <row r="60" spans="1:27" s="292" customFormat="1" ht="15.6">
      <c r="A60" s="702">
        <v>53</v>
      </c>
      <c r="B60" s="717" t="s">
        <v>2342</v>
      </c>
      <c r="C60" s="705" t="s">
        <v>614</v>
      </c>
      <c r="D60" s="703" t="s">
        <v>2252</v>
      </c>
      <c r="E60" s="703" t="s">
        <v>2564</v>
      </c>
      <c r="F60" s="2634" t="s">
        <v>2565</v>
      </c>
      <c r="G60" s="2890">
        <v>8310347559</v>
      </c>
      <c r="H60" s="2634" t="s">
        <v>2566</v>
      </c>
      <c r="I60" s="2625" t="s">
        <v>2567</v>
      </c>
      <c r="J60" s="705" t="s">
        <v>75</v>
      </c>
      <c r="K60" s="705" t="s">
        <v>157</v>
      </c>
      <c r="L60" s="703" t="s">
        <v>2568</v>
      </c>
      <c r="M60" s="699" t="s">
        <v>2342</v>
      </c>
      <c r="N60" s="700"/>
      <c r="O60" s="697" t="s">
        <v>28</v>
      </c>
      <c r="P60" s="697"/>
      <c r="Q60" s="707">
        <v>0.6</v>
      </c>
      <c r="R60" s="694"/>
      <c r="S60" s="701"/>
      <c r="T60" s="700"/>
      <c r="U60" s="697" t="s">
        <v>49</v>
      </c>
      <c r="V60" s="692">
        <f>Table6268934567910[[#This Row],[Offer Value]]-Table6268934567910[[#This Row],[PO Value]]</f>
        <v>0</v>
      </c>
      <c r="W60" s="706"/>
      <c r="X60" s="706"/>
      <c r="Y60" s="709"/>
      <c r="Z60" s="1108"/>
      <c r="AA60" s="1108"/>
    </row>
    <row r="61" spans="1:27" s="243" customFormat="1" ht="31.2">
      <c r="A61" s="702">
        <v>54</v>
      </c>
      <c r="B61" s="703" t="s">
        <v>2342</v>
      </c>
      <c r="C61" s="705" t="s">
        <v>1190</v>
      </c>
      <c r="D61" s="703" t="s">
        <v>2252</v>
      </c>
      <c r="E61" s="703" t="s">
        <v>2414</v>
      </c>
      <c r="F61" s="697" t="s">
        <v>2415</v>
      </c>
      <c r="G61" s="703">
        <v>9972356437</v>
      </c>
      <c r="H61" s="703" t="s">
        <v>2416</v>
      </c>
      <c r="I61" s="718" t="s">
        <v>2417</v>
      </c>
      <c r="J61" s="705" t="s">
        <v>75</v>
      </c>
      <c r="K61" s="705" t="s">
        <v>157</v>
      </c>
      <c r="L61" s="703" t="s">
        <v>2569</v>
      </c>
      <c r="M61" s="699" t="s">
        <v>2342</v>
      </c>
      <c r="N61" s="700"/>
      <c r="O61" s="697" t="s">
        <v>28</v>
      </c>
      <c r="P61" s="697"/>
      <c r="Q61" s="707">
        <v>0.5</v>
      </c>
      <c r="R61" s="694"/>
      <c r="S61" s="701"/>
      <c r="T61" s="700"/>
      <c r="U61" s="697" t="s">
        <v>49</v>
      </c>
      <c r="V61" s="692">
        <f>Table6268934567910[[#This Row],[Offer Value]]-Table6268934567910[[#This Row],[PO Value]]</f>
        <v>0</v>
      </c>
      <c r="W61" s="706"/>
      <c r="X61" s="706"/>
      <c r="Y61" s="709"/>
      <c r="Z61" s="1108"/>
      <c r="AA61" s="1108"/>
    </row>
    <row r="62" spans="1:27" s="243" customFormat="1" ht="15.6">
      <c r="A62" s="1391">
        <v>55</v>
      </c>
      <c r="B62" s="1392">
        <v>45996</v>
      </c>
      <c r="C62" s="1461" t="s">
        <v>614</v>
      </c>
      <c r="D62" s="1393" t="s">
        <v>2252</v>
      </c>
      <c r="E62" s="1393" t="s">
        <v>2523</v>
      </c>
      <c r="F62" s="2761" t="s">
        <v>2570</v>
      </c>
      <c r="G62" s="2761">
        <v>9972013197</v>
      </c>
      <c r="H62" s="2761" t="s">
        <v>2571</v>
      </c>
      <c r="I62" s="2761" t="s">
        <v>2526</v>
      </c>
      <c r="J62" s="1461" t="s">
        <v>73</v>
      </c>
      <c r="K62" s="1461" t="s">
        <v>138</v>
      </c>
      <c r="L62" s="1393" t="s">
        <v>2572</v>
      </c>
      <c r="M62" s="1394">
        <v>45481</v>
      </c>
      <c r="N62" s="1314">
        <v>59850</v>
      </c>
      <c r="O62" s="1315" t="s">
        <v>7</v>
      </c>
      <c r="P62" s="1315" t="s">
        <v>30</v>
      </c>
      <c r="Q62" s="1395">
        <v>1</v>
      </c>
      <c r="R62" s="2828" t="s">
        <v>2573</v>
      </c>
      <c r="S62" s="1397">
        <v>45996</v>
      </c>
      <c r="T62" s="2761">
        <v>59850</v>
      </c>
      <c r="U62" s="1315" t="s">
        <v>30</v>
      </c>
      <c r="V62" s="1316">
        <f>Table6268934567910[[#This Row],[Offer Value]]-Table6268934567910[[#This Row],[PO Value]]</f>
        <v>0</v>
      </c>
      <c r="W62" s="1399" t="s">
        <v>2355</v>
      </c>
      <c r="X62" s="1317"/>
      <c r="Y62" s="1317"/>
      <c r="Z62" s="1108"/>
      <c r="AA62" s="1108"/>
    </row>
    <row r="63" spans="1:27" s="243" customFormat="1" ht="15.6">
      <c r="A63" s="1391">
        <v>56</v>
      </c>
      <c r="B63" s="1393" t="s">
        <v>2574</v>
      </c>
      <c r="C63" s="1461" t="s">
        <v>2356</v>
      </c>
      <c r="D63" s="1461" t="s">
        <v>2252</v>
      </c>
      <c r="E63" s="1461" t="s">
        <v>620</v>
      </c>
      <c r="F63" s="1548" t="s">
        <v>2358</v>
      </c>
      <c r="G63" s="1363">
        <v>9845203244</v>
      </c>
      <c r="H63" s="1549" t="s">
        <v>2359</v>
      </c>
      <c r="I63" s="3183" t="s">
        <v>2531</v>
      </c>
      <c r="J63" s="1461" t="s">
        <v>74</v>
      </c>
      <c r="K63" s="1461" t="s">
        <v>138</v>
      </c>
      <c r="L63" s="1393" t="s">
        <v>2575</v>
      </c>
      <c r="M63" s="1394" t="s">
        <v>2576</v>
      </c>
      <c r="N63" s="1314">
        <v>202356</v>
      </c>
      <c r="O63" s="1315" t="s">
        <v>30</v>
      </c>
      <c r="P63" s="1315" t="s">
        <v>30</v>
      </c>
      <c r="Q63" s="1395">
        <v>1</v>
      </c>
      <c r="R63" s="1467" t="s">
        <v>2577</v>
      </c>
      <c r="S63" s="1545" t="s">
        <v>2574</v>
      </c>
      <c r="T63" s="1314">
        <v>202356</v>
      </c>
      <c r="U63" s="1315" t="s">
        <v>30</v>
      </c>
      <c r="V63" s="1316">
        <f>Table6268934567910[[#This Row],[Offer Value]]-Table6268934567910[[#This Row],[PO Value]]</f>
        <v>0</v>
      </c>
      <c r="W63" s="1317"/>
      <c r="X63" s="1317"/>
      <c r="Y63" s="1317"/>
      <c r="Z63" s="1108"/>
      <c r="AA63" s="1108"/>
    </row>
    <row r="64" spans="1:27" s="292" customFormat="1" ht="15.6">
      <c r="A64" s="1391">
        <v>57</v>
      </c>
      <c r="B64" s="1393" t="s">
        <v>2578</v>
      </c>
      <c r="C64" s="1357" t="s">
        <v>2294</v>
      </c>
      <c r="D64" s="1357" t="s">
        <v>2295</v>
      </c>
      <c r="E64" s="1357" t="s">
        <v>2387</v>
      </c>
      <c r="F64" s="1357" t="s">
        <v>2388</v>
      </c>
      <c r="G64" s="1357">
        <v>9289053639</v>
      </c>
      <c r="H64" s="2780" t="s">
        <v>2389</v>
      </c>
      <c r="I64" s="1357" t="s">
        <v>2579</v>
      </c>
      <c r="J64" s="1461" t="s">
        <v>73</v>
      </c>
      <c r="K64" s="1461" t="s">
        <v>138</v>
      </c>
      <c r="L64" s="1393" t="s">
        <v>2580</v>
      </c>
      <c r="M64" s="1394">
        <v>45329</v>
      </c>
      <c r="N64" s="1314">
        <v>89000</v>
      </c>
      <c r="O64" s="1315" t="s">
        <v>7</v>
      </c>
      <c r="P64" s="1315" t="s">
        <v>30</v>
      </c>
      <c r="Q64" s="1395">
        <v>1</v>
      </c>
      <c r="R64" s="1467" t="s">
        <v>2581</v>
      </c>
      <c r="S64" s="1545" t="s">
        <v>2582</v>
      </c>
      <c r="T64" s="1315">
        <v>89000</v>
      </c>
      <c r="U64" s="1315" t="s">
        <v>30</v>
      </c>
      <c r="V64" s="1316">
        <f>Table6268934567910[[#This Row],[Offer Value]]-Table6268934567910[[#This Row],[PO Value]]</f>
        <v>0</v>
      </c>
      <c r="W64" s="1399" t="s">
        <v>2355</v>
      </c>
      <c r="X64" s="1317"/>
      <c r="Y64" s="1317"/>
      <c r="Z64" s="1108"/>
      <c r="AA64" s="1108"/>
    </row>
    <row r="65" spans="1:27" s="243" customFormat="1" ht="15.6">
      <c r="A65" s="702">
        <v>58</v>
      </c>
      <c r="B65" s="717" t="s">
        <v>2583</v>
      </c>
      <c r="C65" s="705" t="s">
        <v>178</v>
      </c>
      <c r="D65" s="703" t="s">
        <v>2252</v>
      </c>
      <c r="E65" s="703" t="s">
        <v>954</v>
      </c>
      <c r="F65" s="806" t="s">
        <v>2584</v>
      </c>
      <c r="G65" s="806">
        <v>9844121404</v>
      </c>
      <c r="H65" s="806" t="s">
        <v>2585</v>
      </c>
      <c r="I65" s="2843" t="s">
        <v>2586</v>
      </c>
      <c r="J65" s="705" t="s">
        <v>73</v>
      </c>
      <c r="K65" s="705" t="s">
        <v>138</v>
      </c>
      <c r="L65" s="703" t="s">
        <v>2587</v>
      </c>
      <c r="M65" s="699" t="s">
        <v>2588</v>
      </c>
      <c r="N65" s="700">
        <v>60000</v>
      </c>
      <c r="O65" s="697" t="s">
        <v>30</v>
      </c>
      <c r="P65" s="697" t="s">
        <v>37</v>
      </c>
      <c r="Q65" s="707">
        <v>1</v>
      </c>
      <c r="R65" s="694">
        <v>4200342890</v>
      </c>
      <c r="S65" s="701">
        <v>45817</v>
      </c>
      <c r="T65" s="700">
        <v>60000</v>
      </c>
      <c r="U65" s="697" t="s">
        <v>49</v>
      </c>
      <c r="V65" s="692">
        <f>Table6268934567910[[#This Row],[Offer Value]]-Table6268934567910[[#This Row],[PO Value]]</f>
        <v>0</v>
      </c>
      <c r="W65" s="703"/>
      <c r="X65" s="703"/>
      <c r="Y65" s="702"/>
      <c r="Z65" s="1108"/>
      <c r="AA65" s="1108"/>
    </row>
    <row r="66" spans="1:27" s="292" customFormat="1" ht="31.2">
      <c r="A66" s="1391">
        <v>59</v>
      </c>
      <c r="B66" s="1392" t="s">
        <v>2583</v>
      </c>
      <c r="C66" s="1461" t="s">
        <v>2377</v>
      </c>
      <c r="D66" s="1393" t="s">
        <v>2252</v>
      </c>
      <c r="E66" s="1357" t="s">
        <v>954</v>
      </c>
      <c r="F66" s="1357" t="s">
        <v>2379</v>
      </c>
      <c r="G66" s="2762" t="s">
        <v>2380</v>
      </c>
      <c r="H66" s="1549" t="s">
        <v>2381</v>
      </c>
      <c r="I66" s="1461" t="s">
        <v>2382</v>
      </c>
      <c r="J66" s="1461" t="s">
        <v>83</v>
      </c>
      <c r="K66" s="1461" t="s">
        <v>157</v>
      </c>
      <c r="L66" s="1393" t="s">
        <v>2589</v>
      </c>
      <c r="M66" s="1394" t="s">
        <v>2590</v>
      </c>
      <c r="N66" s="1643">
        <v>336860.15999999997</v>
      </c>
      <c r="O66" s="1315" t="s">
        <v>30</v>
      </c>
      <c r="P66" s="1315" t="s">
        <v>39</v>
      </c>
      <c r="Q66" s="1395">
        <v>0.6</v>
      </c>
      <c r="R66" s="1467">
        <v>4500273564</v>
      </c>
      <c r="S66" s="1545" t="s">
        <v>2591</v>
      </c>
      <c r="T66" s="1643">
        <v>336860.15999999997</v>
      </c>
      <c r="U66" s="1315" t="s">
        <v>39</v>
      </c>
      <c r="V66" s="1316">
        <f>Table6268934567910[[#This Row],[Offer Value]]-Table6268934567910[[#This Row],[PO Value]]</f>
        <v>0</v>
      </c>
      <c r="W66" s="1393"/>
      <c r="X66" s="1393"/>
      <c r="Y66" s="1636"/>
      <c r="Z66" s="1108"/>
      <c r="AA66" s="1108"/>
    </row>
    <row r="67" spans="1:27" s="243" customFormat="1" ht="46.8">
      <c r="A67" s="702">
        <v>60</v>
      </c>
      <c r="B67" s="703" t="s">
        <v>2583</v>
      </c>
      <c r="C67" s="705" t="s">
        <v>2592</v>
      </c>
      <c r="D67" s="703" t="s">
        <v>2324</v>
      </c>
      <c r="E67" s="703" t="s">
        <v>2337</v>
      </c>
      <c r="F67" s="698" t="s">
        <v>2593</v>
      </c>
      <c r="G67" s="703"/>
      <c r="H67" s="804" t="s">
        <v>2594</v>
      </c>
      <c r="I67" s="2843">
        <v>102005564</v>
      </c>
      <c r="J67" s="705" t="s">
        <v>77</v>
      </c>
      <c r="K67" s="705" t="s">
        <v>138</v>
      </c>
      <c r="L67" s="703" t="s">
        <v>2595</v>
      </c>
      <c r="M67" s="699">
        <v>45934</v>
      </c>
      <c r="N67" s="700"/>
      <c r="O67" s="697" t="s">
        <v>28</v>
      </c>
      <c r="P67" s="697"/>
      <c r="Q67" s="707">
        <v>0.6</v>
      </c>
      <c r="R67" s="691"/>
      <c r="S67" s="716"/>
      <c r="T67" s="697"/>
      <c r="U67" s="697" t="s">
        <v>49</v>
      </c>
      <c r="V67" s="692">
        <f>Table6268934567910[[#This Row],[Offer Value]]-Table6268934567910[[#This Row],[PO Value]]</f>
        <v>0</v>
      </c>
      <c r="W67" s="703"/>
      <c r="X67" s="703"/>
      <c r="Y67" s="702"/>
      <c r="Z67" s="1108"/>
      <c r="AA67" s="1108"/>
    </row>
    <row r="68" spans="1:27" s="292" customFormat="1" ht="15.6">
      <c r="A68" s="1391">
        <v>61</v>
      </c>
      <c r="B68" s="1392" t="s">
        <v>2583</v>
      </c>
      <c r="C68" s="1461" t="s">
        <v>2377</v>
      </c>
      <c r="D68" s="1393" t="s">
        <v>2252</v>
      </c>
      <c r="E68" s="1357" t="s">
        <v>954</v>
      </c>
      <c r="F68" s="1357" t="s">
        <v>2379</v>
      </c>
      <c r="G68" s="2762" t="s">
        <v>2380</v>
      </c>
      <c r="H68" s="1549" t="s">
        <v>2381</v>
      </c>
      <c r="I68" s="1461" t="s">
        <v>2382</v>
      </c>
      <c r="J68" s="1461" t="s">
        <v>77</v>
      </c>
      <c r="K68" s="1461" t="s">
        <v>138</v>
      </c>
      <c r="L68" s="1393" t="s">
        <v>2596</v>
      </c>
      <c r="M68" s="2600">
        <v>45937</v>
      </c>
      <c r="N68" s="1314">
        <v>250000</v>
      </c>
      <c r="O68" s="1315" t="s">
        <v>47</v>
      </c>
      <c r="P68" s="1315" t="s">
        <v>47</v>
      </c>
      <c r="Q68" s="1395">
        <v>1</v>
      </c>
      <c r="R68" s="1467">
        <v>4500277024</v>
      </c>
      <c r="S68" s="1545" t="s">
        <v>1637</v>
      </c>
      <c r="T68" s="1315">
        <v>250000</v>
      </c>
      <c r="U68" s="2241" t="s">
        <v>47</v>
      </c>
      <c r="V68" s="1316">
        <f>Table6268934567910[[#This Row],[Offer Value]]-Table6268934567910[[#This Row],[PO Value]]</f>
        <v>0</v>
      </c>
      <c r="W68" s="1393"/>
      <c r="X68" s="1393"/>
      <c r="Y68" s="1391"/>
      <c r="Z68" s="1108"/>
      <c r="AA68" s="1108"/>
    </row>
    <row r="69" spans="1:27" s="243" customFormat="1" ht="31.2">
      <c r="A69" s="702">
        <v>62</v>
      </c>
      <c r="B69" s="703" t="s">
        <v>2583</v>
      </c>
      <c r="C69" s="705" t="s">
        <v>1190</v>
      </c>
      <c r="D69" s="703" t="s">
        <v>2252</v>
      </c>
      <c r="E69" s="703" t="s">
        <v>2408</v>
      </c>
      <c r="F69" s="697" t="s">
        <v>2409</v>
      </c>
      <c r="G69" s="703">
        <v>9481273435</v>
      </c>
      <c r="H69" s="703" t="s">
        <v>2410</v>
      </c>
      <c r="I69" s="2843" t="s">
        <v>2597</v>
      </c>
      <c r="J69" s="705" t="s">
        <v>77</v>
      </c>
      <c r="K69" s="705" t="s">
        <v>138</v>
      </c>
      <c r="L69" s="703" t="s">
        <v>2598</v>
      </c>
      <c r="M69" s="699" t="s">
        <v>1410</v>
      </c>
      <c r="N69" s="700">
        <v>392000</v>
      </c>
      <c r="O69" s="697" t="s">
        <v>28</v>
      </c>
      <c r="P69" s="697" t="s">
        <v>2354</v>
      </c>
      <c r="Q69" s="707">
        <v>0.7</v>
      </c>
      <c r="R69" s="694"/>
      <c r="S69" s="701"/>
      <c r="T69" s="700"/>
      <c r="U69" s="697"/>
      <c r="V69" s="692">
        <f>Table6268934567910[[#This Row],[Offer Value]]-Table6268934567910[[#This Row],[PO Value]]</f>
        <v>392000</v>
      </c>
      <c r="W69" s="703"/>
      <c r="X69" s="703"/>
      <c r="Y69" s="702"/>
      <c r="Z69" s="1108"/>
      <c r="AA69" s="1108"/>
    </row>
    <row r="70" spans="1:27" s="292" customFormat="1" ht="15.6">
      <c r="A70" s="1391">
        <v>64</v>
      </c>
      <c r="B70" s="1393" t="s">
        <v>2583</v>
      </c>
      <c r="C70" s="1461" t="s">
        <v>614</v>
      </c>
      <c r="D70" s="1461" t="s">
        <v>2252</v>
      </c>
      <c r="E70" s="1461" t="s">
        <v>2427</v>
      </c>
      <c r="F70" s="1960" t="s">
        <v>2434</v>
      </c>
      <c r="G70" s="1461">
        <v>9740619050</v>
      </c>
      <c r="H70" s="1961" t="s">
        <v>2435</v>
      </c>
      <c r="I70" s="1461" t="s">
        <v>2436</v>
      </c>
      <c r="J70" s="1461" t="s">
        <v>75</v>
      </c>
      <c r="K70" s="1461" t="s">
        <v>157</v>
      </c>
      <c r="L70" s="1393" t="s">
        <v>2599</v>
      </c>
      <c r="M70" s="1394">
        <v>45782</v>
      </c>
      <c r="N70" s="1314">
        <v>10500</v>
      </c>
      <c r="O70" s="1315" t="s">
        <v>30</v>
      </c>
      <c r="P70" s="1315" t="s">
        <v>34</v>
      </c>
      <c r="Q70" s="1395">
        <v>1</v>
      </c>
      <c r="R70" s="1396">
        <v>4000546648</v>
      </c>
      <c r="S70" s="1397" t="s">
        <v>2516</v>
      </c>
      <c r="T70" s="1314">
        <v>10500</v>
      </c>
      <c r="U70" s="1315" t="s">
        <v>37</v>
      </c>
      <c r="V70" s="1316">
        <f>Table6268934567910[[#This Row],[Offer Value]]-Table6268934567910[[#This Row],[PO Value]]</f>
        <v>0</v>
      </c>
      <c r="W70" s="1393"/>
      <c r="X70" s="1393"/>
      <c r="Y70" s="1391"/>
      <c r="Z70" s="1108"/>
      <c r="AA70" s="1108"/>
    </row>
    <row r="71" spans="1:27" s="243" customFormat="1" ht="15.6">
      <c r="A71" s="702">
        <v>65</v>
      </c>
      <c r="B71" s="703" t="s">
        <v>2583</v>
      </c>
      <c r="C71" s="705" t="s">
        <v>614</v>
      </c>
      <c r="D71" s="705" t="s">
        <v>2252</v>
      </c>
      <c r="E71" s="705" t="s">
        <v>2564</v>
      </c>
      <c r="F71" s="698" t="s">
        <v>2600</v>
      </c>
      <c r="G71" s="705">
        <v>9449041517</v>
      </c>
      <c r="H71" s="2895" t="s">
        <v>2601</v>
      </c>
      <c r="I71" s="2843" t="s">
        <v>2602</v>
      </c>
      <c r="J71" s="705" t="s">
        <v>75</v>
      </c>
      <c r="K71" s="705" t="s">
        <v>157</v>
      </c>
      <c r="L71" s="703" t="s">
        <v>2603</v>
      </c>
      <c r="M71" s="699">
        <v>45782</v>
      </c>
      <c r="N71" s="700">
        <v>355866</v>
      </c>
      <c r="O71" s="697" t="s">
        <v>30</v>
      </c>
      <c r="P71" s="697"/>
      <c r="Q71" s="707">
        <v>0.7</v>
      </c>
      <c r="R71" s="694"/>
      <c r="S71" s="701"/>
      <c r="T71" s="700"/>
      <c r="U71" s="697"/>
      <c r="V71" s="692">
        <f>Table6268934567910[[#This Row],[Offer Value]]-Table6268934567910[[#This Row],[PO Value]]</f>
        <v>355866</v>
      </c>
      <c r="W71" s="703"/>
      <c r="X71" s="703"/>
      <c r="Y71" s="702"/>
      <c r="Z71" s="1108"/>
      <c r="AA71" s="1108"/>
    </row>
    <row r="72" spans="1:27" s="292" customFormat="1" ht="15.6">
      <c r="A72" s="702">
        <v>66</v>
      </c>
      <c r="B72" s="717" t="s">
        <v>2604</v>
      </c>
      <c r="C72" s="705" t="s">
        <v>614</v>
      </c>
      <c r="D72" s="705" t="s">
        <v>2252</v>
      </c>
      <c r="E72" s="705" t="s">
        <v>2605</v>
      </c>
      <c r="F72" s="698" t="s">
        <v>2606</v>
      </c>
      <c r="G72" s="705">
        <v>8022195885</v>
      </c>
      <c r="H72" s="855" t="s">
        <v>2607</v>
      </c>
      <c r="I72" s="705" t="s">
        <v>2608</v>
      </c>
      <c r="J72" s="705" t="s">
        <v>75</v>
      </c>
      <c r="K72" s="705" t="s">
        <v>157</v>
      </c>
      <c r="L72" s="703" t="s">
        <v>2609</v>
      </c>
      <c r="M72" s="699">
        <v>45782</v>
      </c>
      <c r="N72" s="700">
        <v>364850</v>
      </c>
      <c r="O72" s="697" t="s">
        <v>30</v>
      </c>
      <c r="P72" s="697" t="s">
        <v>47</v>
      </c>
      <c r="Q72" s="707">
        <v>1</v>
      </c>
      <c r="R72" s="691">
        <v>4000571346</v>
      </c>
      <c r="S72" s="701" t="s">
        <v>1988</v>
      </c>
      <c r="T72" s="700">
        <v>242465.28</v>
      </c>
      <c r="U72" s="697" t="s">
        <v>47</v>
      </c>
      <c r="V72" s="692">
        <v>0</v>
      </c>
      <c r="W72" s="703"/>
      <c r="X72" s="703"/>
      <c r="Y72" s="702"/>
      <c r="Z72" s="1108"/>
      <c r="AA72" s="1108"/>
    </row>
    <row r="73" spans="1:27" s="243" customFormat="1" ht="31.2">
      <c r="A73" s="702">
        <v>67</v>
      </c>
      <c r="B73" s="717" t="s">
        <v>2604</v>
      </c>
      <c r="C73" s="705" t="s">
        <v>1190</v>
      </c>
      <c r="D73" s="705" t="s">
        <v>2252</v>
      </c>
      <c r="E73" s="705" t="s">
        <v>2414</v>
      </c>
      <c r="F73" s="697" t="s">
        <v>2415</v>
      </c>
      <c r="G73" s="703">
        <v>9972356437</v>
      </c>
      <c r="H73" s="703" t="s">
        <v>2416</v>
      </c>
      <c r="I73" s="2843" t="s">
        <v>2610</v>
      </c>
      <c r="J73" s="705" t="s">
        <v>75</v>
      </c>
      <c r="K73" s="705" t="s">
        <v>157</v>
      </c>
      <c r="L73" s="703" t="s">
        <v>2569</v>
      </c>
      <c r="M73" s="699" t="s">
        <v>2342</v>
      </c>
      <c r="N73" s="700">
        <v>1900412</v>
      </c>
      <c r="O73" s="697" t="s">
        <v>28</v>
      </c>
      <c r="P73" s="697" t="s">
        <v>62</v>
      </c>
      <c r="Q73" s="707">
        <v>0.5</v>
      </c>
      <c r="R73" s="694"/>
      <c r="S73" s="701"/>
      <c r="T73" s="700"/>
      <c r="U73" s="697"/>
      <c r="V73" s="692">
        <f>Table6268934567910[[#This Row],[Offer Value]]-Table6268934567910[[#This Row],[PO Value]]</f>
        <v>1900412</v>
      </c>
      <c r="W73" s="703"/>
      <c r="X73" s="703"/>
      <c r="Y73" s="702"/>
      <c r="Z73" s="1108"/>
      <c r="AA73" s="1108"/>
    </row>
    <row r="74" spans="1:27" s="243" customFormat="1" ht="15.6">
      <c r="A74" s="1391">
        <v>68</v>
      </c>
      <c r="B74" s="1392">
        <v>45694</v>
      </c>
      <c r="C74" s="1393" t="s">
        <v>2294</v>
      </c>
      <c r="D74" s="1461" t="s">
        <v>2295</v>
      </c>
      <c r="E74" s="1461" t="s">
        <v>2611</v>
      </c>
      <c r="F74" s="1960" t="s">
        <v>2456</v>
      </c>
      <c r="G74" s="1461">
        <v>9902311047</v>
      </c>
      <c r="H74" s="1961" t="s">
        <v>2457</v>
      </c>
      <c r="I74" s="2761" t="s">
        <v>2612</v>
      </c>
      <c r="J74" s="1461" t="s">
        <v>73</v>
      </c>
      <c r="K74" s="1461" t="s">
        <v>138</v>
      </c>
      <c r="L74" s="1393" t="s">
        <v>2613</v>
      </c>
      <c r="M74" s="1394">
        <v>45325</v>
      </c>
      <c r="N74" s="1315">
        <v>89000</v>
      </c>
      <c r="O74" s="1315" t="s">
        <v>7</v>
      </c>
      <c r="P74" s="1315" t="s">
        <v>34</v>
      </c>
      <c r="Q74" s="1395">
        <v>0.9</v>
      </c>
      <c r="R74" s="1467" t="s">
        <v>2614</v>
      </c>
      <c r="S74" s="1397" t="s">
        <v>2496</v>
      </c>
      <c r="T74" s="1315">
        <v>89000</v>
      </c>
      <c r="U74" s="697" t="s">
        <v>49</v>
      </c>
      <c r="V74" s="1316">
        <f>Table6268934567910[[#This Row],[Offer Value]]-Table6268934567910[[#This Row],[PO Value]]</f>
        <v>0</v>
      </c>
      <c r="W74" s="1399" t="s">
        <v>2355</v>
      </c>
      <c r="X74" s="1393"/>
      <c r="Y74" s="1636"/>
      <c r="Z74" s="1108"/>
      <c r="AA74" s="1108"/>
    </row>
    <row r="75" spans="1:27" s="243" customFormat="1" ht="15.6">
      <c r="A75" s="702">
        <v>69</v>
      </c>
      <c r="B75" s="717">
        <v>45967</v>
      </c>
      <c r="C75" s="2622" t="s">
        <v>614</v>
      </c>
      <c r="D75" s="2622" t="s">
        <v>2252</v>
      </c>
      <c r="E75" s="2622" t="s">
        <v>2253</v>
      </c>
      <c r="F75" s="2624" t="s">
        <v>2468</v>
      </c>
      <c r="G75" s="2627">
        <v>9343174460</v>
      </c>
      <c r="H75" s="2629" t="s">
        <v>2469</v>
      </c>
      <c r="I75" s="2870" t="s">
        <v>2615</v>
      </c>
      <c r="J75" s="705" t="s">
        <v>74</v>
      </c>
      <c r="K75" s="705" t="s">
        <v>138</v>
      </c>
      <c r="L75" s="703" t="s">
        <v>2616</v>
      </c>
      <c r="M75" s="713">
        <v>45819</v>
      </c>
      <c r="N75" s="697">
        <v>217000</v>
      </c>
      <c r="O75" s="697" t="s">
        <v>34</v>
      </c>
      <c r="P75" s="807" t="s">
        <v>62</v>
      </c>
      <c r="Q75" s="707">
        <v>0.7</v>
      </c>
      <c r="R75" s="691"/>
      <c r="S75" s="716"/>
      <c r="T75" s="697"/>
      <c r="U75" s="697"/>
      <c r="V75" s="692">
        <f>Table6268934567910[[#This Row],[Offer Value]]-Table6268934567910[[#This Row],[PO Value]]</f>
        <v>217000</v>
      </c>
      <c r="W75" s="703"/>
      <c r="X75" s="703"/>
      <c r="Y75" s="702"/>
      <c r="Z75" s="1108"/>
      <c r="AA75" s="1108"/>
    </row>
    <row r="76" spans="1:27" s="243" customFormat="1" ht="15.6">
      <c r="A76" s="702">
        <v>70</v>
      </c>
      <c r="B76" s="717">
        <v>45967</v>
      </c>
      <c r="C76" s="703" t="s">
        <v>2617</v>
      </c>
      <c r="D76" s="703" t="s">
        <v>2324</v>
      </c>
      <c r="E76" s="703" t="s">
        <v>2337</v>
      </c>
      <c r="F76" s="3152" t="s">
        <v>2618</v>
      </c>
      <c r="G76" s="3158">
        <v>9965812996</v>
      </c>
      <c r="H76" s="3166" t="s">
        <v>2619</v>
      </c>
      <c r="I76" s="2631" t="s">
        <v>2620</v>
      </c>
      <c r="J76" s="705" t="s">
        <v>81</v>
      </c>
      <c r="K76" s="705"/>
      <c r="L76" s="703" t="s">
        <v>2621</v>
      </c>
      <c r="M76" s="699">
        <v>45818</v>
      </c>
      <c r="N76" s="697">
        <v>630000</v>
      </c>
      <c r="O76" s="723" t="s">
        <v>34</v>
      </c>
      <c r="P76" s="697" t="s">
        <v>62</v>
      </c>
      <c r="Q76" s="707">
        <v>0.5</v>
      </c>
      <c r="R76" s="691"/>
      <c r="S76" s="716"/>
      <c r="T76" s="697"/>
      <c r="U76" s="697"/>
      <c r="V76" s="692">
        <f>Table6268934567910[[#This Row],[Offer Value]]-Table6268934567910[[#This Row],[PO Value]]</f>
        <v>630000</v>
      </c>
      <c r="W76" s="703"/>
      <c r="X76" s="703"/>
      <c r="Y76" s="702"/>
      <c r="Z76" s="1108"/>
      <c r="AA76" s="1108"/>
    </row>
    <row r="77" spans="1:27" s="243" customFormat="1" ht="15.6">
      <c r="A77" s="1391">
        <v>71</v>
      </c>
      <c r="B77" s="1392" t="s">
        <v>2622</v>
      </c>
      <c r="C77" s="1393" t="s">
        <v>614</v>
      </c>
      <c r="D77" s="1393" t="s">
        <v>2252</v>
      </c>
      <c r="E77" s="1393" t="s">
        <v>2605</v>
      </c>
      <c r="F77" s="1960" t="s">
        <v>2606</v>
      </c>
      <c r="G77" s="1461">
        <v>8022195885</v>
      </c>
      <c r="H77" s="974" t="s">
        <v>2607</v>
      </c>
      <c r="I77" s="1962" t="s">
        <v>2623</v>
      </c>
      <c r="J77" s="1461" t="s">
        <v>73</v>
      </c>
      <c r="K77" s="1461" t="s">
        <v>138</v>
      </c>
      <c r="L77" s="1393" t="s">
        <v>2624</v>
      </c>
      <c r="M77" s="1634">
        <v>45819</v>
      </c>
      <c r="N77" s="1315">
        <v>64190</v>
      </c>
      <c r="O77" s="1315" t="s">
        <v>37</v>
      </c>
      <c r="P77" s="1315" t="s">
        <v>37</v>
      </c>
      <c r="Q77" s="1395">
        <v>1</v>
      </c>
      <c r="R77" s="1467">
        <v>4800089417</v>
      </c>
      <c r="S77" s="1545">
        <v>45864</v>
      </c>
      <c r="T77" s="1315">
        <v>64190</v>
      </c>
      <c r="U77" s="697" t="s">
        <v>49</v>
      </c>
      <c r="V77" s="1316">
        <f>Table6268934567910[[#This Row],[Offer Value]]-Table6268934567910[[#This Row],[PO Value]]</f>
        <v>0</v>
      </c>
      <c r="W77" s="1393"/>
      <c r="X77" s="1393"/>
      <c r="Y77" s="1391"/>
      <c r="Z77" s="1108"/>
      <c r="AA77" s="1108"/>
    </row>
    <row r="78" spans="1:27" s="292" customFormat="1" ht="62.4">
      <c r="A78" s="1391">
        <v>72</v>
      </c>
      <c r="B78" s="1393" t="s">
        <v>2622</v>
      </c>
      <c r="C78" s="1461" t="s">
        <v>2625</v>
      </c>
      <c r="D78" s="1393" t="s">
        <v>2445</v>
      </c>
      <c r="E78" s="1393" t="s">
        <v>954</v>
      </c>
      <c r="F78" s="2632" t="s">
        <v>2626</v>
      </c>
      <c r="G78" s="2632">
        <v>9060133171</v>
      </c>
      <c r="H78" s="2632" t="s">
        <v>2627</v>
      </c>
      <c r="I78" s="3176" t="s">
        <v>2628</v>
      </c>
      <c r="J78" s="1461" t="s">
        <v>73</v>
      </c>
      <c r="K78" s="1461" t="s">
        <v>138</v>
      </c>
      <c r="L78" s="1393" t="s">
        <v>2629</v>
      </c>
      <c r="M78" s="1634">
        <v>45819</v>
      </c>
      <c r="N78" s="1314">
        <v>102563.91</v>
      </c>
      <c r="O78" s="1315" t="s">
        <v>37</v>
      </c>
      <c r="P78" s="1315" t="s">
        <v>37</v>
      </c>
      <c r="Q78" s="1395">
        <v>1</v>
      </c>
      <c r="R78" s="1396">
        <v>5891136624</v>
      </c>
      <c r="S78" s="1397">
        <v>45856</v>
      </c>
      <c r="T78" s="1314">
        <v>102563.91</v>
      </c>
      <c r="U78" s="697" t="s">
        <v>49</v>
      </c>
      <c r="V78" s="2839">
        <f>Table6268934567910[[#This Row],[Offer Value]]-Table6268934567910[[#This Row],[PO Value]]</f>
        <v>0</v>
      </c>
      <c r="W78" s="1393"/>
      <c r="X78" s="1393"/>
      <c r="Y78" s="1391"/>
      <c r="Z78" s="1108"/>
      <c r="AA78" s="1108"/>
    </row>
    <row r="79" spans="1:27" s="243" customFormat="1" ht="31.2">
      <c r="A79" s="1317">
        <v>73</v>
      </c>
      <c r="B79" s="1393" t="s">
        <v>2622</v>
      </c>
      <c r="C79" s="1461" t="s">
        <v>2558</v>
      </c>
      <c r="D79" s="1393" t="s">
        <v>2252</v>
      </c>
      <c r="E79" s="1393" t="s">
        <v>620</v>
      </c>
      <c r="F79" s="2632" t="s">
        <v>2559</v>
      </c>
      <c r="G79" s="2632">
        <v>9629999441</v>
      </c>
      <c r="H79" s="2632" t="s">
        <v>2560</v>
      </c>
      <c r="I79" s="3181" t="s">
        <v>2561</v>
      </c>
      <c r="J79" s="1461" t="s">
        <v>73</v>
      </c>
      <c r="K79" s="1461" t="s">
        <v>138</v>
      </c>
      <c r="L79" s="1393" t="s">
        <v>2630</v>
      </c>
      <c r="M79" s="1634">
        <v>45819</v>
      </c>
      <c r="N79" s="1314">
        <v>62000</v>
      </c>
      <c r="O79" s="1315" t="s">
        <v>34</v>
      </c>
      <c r="P79" s="1315" t="s">
        <v>37</v>
      </c>
      <c r="Q79" s="1395">
        <v>1</v>
      </c>
      <c r="R79" s="1396" t="s">
        <v>2631</v>
      </c>
      <c r="S79" s="1397">
        <v>45855</v>
      </c>
      <c r="T79" s="1314">
        <v>62000</v>
      </c>
      <c r="U79" s="697" t="s">
        <v>49</v>
      </c>
      <c r="V79" s="2839">
        <f>Table6268934567910[[#This Row],[Offer Value]]-Table6268934567910[[#This Row],[PO Value]]</f>
        <v>0</v>
      </c>
      <c r="W79" s="1393"/>
      <c r="X79" s="1393"/>
      <c r="Y79" s="1391"/>
      <c r="Z79" s="1108"/>
      <c r="AA79" s="1108"/>
    </row>
    <row r="80" spans="1:27" s="292" customFormat="1" ht="46.8">
      <c r="A80" s="1317">
        <v>74</v>
      </c>
      <c r="B80" s="1393" t="s">
        <v>2632</v>
      </c>
      <c r="C80" s="1461" t="s">
        <v>2309</v>
      </c>
      <c r="D80" s="1393" t="s">
        <v>2252</v>
      </c>
      <c r="E80" s="1393" t="s">
        <v>620</v>
      </c>
      <c r="F80" s="2748" t="s">
        <v>2633</v>
      </c>
      <c r="G80" s="2765">
        <v>9742019678</v>
      </c>
      <c r="H80" s="2759" t="s">
        <v>2634</v>
      </c>
      <c r="I80" s="3180" t="s">
        <v>2635</v>
      </c>
      <c r="J80" s="1461" t="s">
        <v>73</v>
      </c>
      <c r="K80" s="1461" t="s">
        <v>138</v>
      </c>
      <c r="L80" s="1393" t="s">
        <v>2636</v>
      </c>
      <c r="M80" s="1634">
        <v>45819</v>
      </c>
      <c r="N80" s="1314">
        <v>120000</v>
      </c>
      <c r="O80" s="1315" t="s">
        <v>34</v>
      </c>
      <c r="P80" s="1315" t="s">
        <v>37</v>
      </c>
      <c r="Q80" s="1395">
        <v>1</v>
      </c>
      <c r="R80" s="1396" t="s">
        <v>2637</v>
      </c>
      <c r="S80" s="1397">
        <v>45854</v>
      </c>
      <c r="T80" s="1314">
        <v>120000</v>
      </c>
      <c r="U80" s="697" t="s">
        <v>49</v>
      </c>
      <c r="V80" s="2839">
        <f>Table6268934567910[[#This Row],[Offer Value]]-Table6268934567910[[#This Row],[PO Value]]</f>
        <v>0</v>
      </c>
      <c r="W80" s="1461"/>
      <c r="X80" s="1461"/>
      <c r="Y80" s="1391"/>
      <c r="Z80" s="1108"/>
      <c r="AA80" s="1108"/>
    </row>
    <row r="81" spans="1:27" s="243" customFormat="1" ht="62.4">
      <c r="A81" s="1317">
        <v>75</v>
      </c>
      <c r="B81" s="1393" t="s">
        <v>2622</v>
      </c>
      <c r="C81" s="1461" t="s">
        <v>2625</v>
      </c>
      <c r="D81" s="1393" t="s">
        <v>2445</v>
      </c>
      <c r="E81" s="1393" t="s">
        <v>954</v>
      </c>
      <c r="F81" s="2632" t="s">
        <v>2626</v>
      </c>
      <c r="G81" s="2632">
        <v>9060133171</v>
      </c>
      <c r="H81" s="2632" t="s">
        <v>2627</v>
      </c>
      <c r="I81" s="2868" t="s">
        <v>2638</v>
      </c>
      <c r="J81" s="1461" t="s">
        <v>75</v>
      </c>
      <c r="K81" s="1461" t="s">
        <v>157</v>
      </c>
      <c r="L81" s="1393" t="s">
        <v>2639</v>
      </c>
      <c r="M81" s="1634" t="s">
        <v>2640</v>
      </c>
      <c r="N81" s="1314">
        <v>280932.47999999998</v>
      </c>
      <c r="O81" s="1315" t="s">
        <v>7</v>
      </c>
      <c r="P81" s="1315" t="s">
        <v>37</v>
      </c>
      <c r="Q81" s="1395">
        <v>0.9</v>
      </c>
      <c r="R81" s="1396">
        <v>5891136626</v>
      </c>
      <c r="S81" s="1397">
        <v>45856</v>
      </c>
      <c r="T81" s="1314">
        <v>280932.47999999998</v>
      </c>
      <c r="U81" s="697" t="s">
        <v>49</v>
      </c>
      <c r="V81" s="2839">
        <f>Table6268934567910[[#This Row],[Offer Value]]-Table6268934567910[[#This Row],[PO Value]]</f>
        <v>0</v>
      </c>
      <c r="W81" s="1393"/>
      <c r="X81" s="1393"/>
      <c r="Y81" s="1391"/>
      <c r="Z81" s="1108"/>
      <c r="AA81" s="1108"/>
    </row>
    <row r="82" spans="1:27" s="292" customFormat="1" ht="31.2">
      <c r="A82" s="1317">
        <v>76</v>
      </c>
      <c r="B82" s="1393" t="s">
        <v>2632</v>
      </c>
      <c r="C82" s="1461" t="s">
        <v>152</v>
      </c>
      <c r="D82" s="1393" t="s">
        <v>2641</v>
      </c>
      <c r="E82" s="1393" t="s">
        <v>620</v>
      </c>
      <c r="F82" s="1960" t="s">
        <v>2642</v>
      </c>
      <c r="G82" s="1393">
        <v>9894006484</v>
      </c>
      <c r="H82" s="974" t="s">
        <v>2643</v>
      </c>
      <c r="I82" s="1393" t="s">
        <v>2644</v>
      </c>
      <c r="J82" s="1461" t="s">
        <v>75</v>
      </c>
      <c r="K82" s="1461" t="s">
        <v>157</v>
      </c>
      <c r="L82" s="1393" t="s">
        <v>2645</v>
      </c>
      <c r="M82" s="1634">
        <v>45855</v>
      </c>
      <c r="N82" s="1314">
        <v>496771</v>
      </c>
      <c r="O82" s="1315" t="s">
        <v>37</v>
      </c>
      <c r="P82" s="1315" t="s">
        <v>37</v>
      </c>
      <c r="Q82" s="1395">
        <v>1</v>
      </c>
      <c r="R82" s="1396" t="s">
        <v>2646</v>
      </c>
      <c r="S82" s="1397">
        <v>45855</v>
      </c>
      <c r="T82" s="1314">
        <v>496771</v>
      </c>
      <c r="U82" s="697" t="s">
        <v>49</v>
      </c>
      <c r="V82" s="2839">
        <f>Table6268934567910[[#This Row],[Offer Value]]-Table6268934567910[[#This Row],[PO Value]]</f>
        <v>0</v>
      </c>
      <c r="W82" s="1393"/>
      <c r="X82" s="1393"/>
      <c r="Y82" s="1391"/>
      <c r="Z82" s="1108"/>
      <c r="AA82" s="1108"/>
    </row>
    <row r="83" spans="1:27" s="243" customFormat="1" ht="15.6">
      <c r="A83" s="1317">
        <v>77</v>
      </c>
      <c r="B83" s="1393" t="s">
        <v>2632</v>
      </c>
      <c r="C83" s="1393" t="s">
        <v>614</v>
      </c>
      <c r="D83" s="1393" t="s">
        <v>2252</v>
      </c>
      <c r="E83" s="1393" t="s">
        <v>2523</v>
      </c>
      <c r="F83" s="1315" t="s">
        <v>2524</v>
      </c>
      <c r="G83" s="1393"/>
      <c r="H83" s="974" t="s">
        <v>2525</v>
      </c>
      <c r="I83" s="2758" t="s">
        <v>2526</v>
      </c>
      <c r="J83" s="1461" t="s">
        <v>75</v>
      </c>
      <c r="K83" s="1461" t="s">
        <v>157</v>
      </c>
      <c r="L83" s="1393" t="s">
        <v>2527</v>
      </c>
      <c r="M83" s="1394" t="s">
        <v>2371</v>
      </c>
      <c r="N83" s="1314">
        <v>168652</v>
      </c>
      <c r="O83" s="1315" t="s">
        <v>25</v>
      </c>
      <c r="P83" s="1315" t="s">
        <v>37</v>
      </c>
      <c r="Q83" s="1395">
        <v>1</v>
      </c>
      <c r="R83" s="1396">
        <v>4000547869</v>
      </c>
      <c r="S83" s="1397">
        <v>45839</v>
      </c>
      <c r="T83" s="1314">
        <v>168652</v>
      </c>
      <c r="U83" s="697" t="s">
        <v>49</v>
      </c>
      <c r="V83" s="2839">
        <f>Table6268934567910[[#This Row],[Offer Value]]-Table6268934567910[[#This Row],[PO Value]]</f>
        <v>0</v>
      </c>
      <c r="W83" s="1393"/>
      <c r="X83" s="1393"/>
      <c r="Y83" s="1391"/>
      <c r="Z83" s="1108"/>
      <c r="AA83" s="1108"/>
    </row>
    <row r="84" spans="1:27" s="234" customFormat="1" ht="18">
      <c r="A84" s="1317">
        <v>78</v>
      </c>
      <c r="B84" s="1393" t="s">
        <v>2647</v>
      </c>
      <c r="C84" s="2730" t="s">
        <v>2648</v>
      </c>
      <c r="D84" s="1393" t="s">
        <v>2649</v>
      </c>
      <c r="E84" s="1393" t="s">
        <v>2650</v>
      </c>
      <c r="F84" s="2752" t="s">
        <v>2651</v>
      </c>
      <c r="G84" s="2752">
        <v>9442277228</v>
      </c>
      <c r="H84" s="2781" t="s">
        <v>2652</v>
      </c>
      <c r="I84" s="2632" t="s">
        <v>2653</v>
      </c>
      <c r="J84" s="1461" t="s">
        <v>73</v>
      </c>
      <c r="K84" s="1461" t="s">
        <v>138</v>
      </c>
      <c r="L84" s="1393" t="s">
        <v>2654</v>
      </c>
      <c r="M84" s="1634" t="s">
        <v>2647</v>
      </c>
      <c r="N84" s="1314">
        <v>76000</v>
      </c>
      <c r="O84" s="1315" t="s">
        <v>37</v>
      </c>
      <c r="P84" s="1315" t="s">
        <v>39</v>
      </c>
      <c r="Q84" s="1395">
        <v>1</v>
      </c>
      <c r="R84" s="1396">
        <v>401230020</v>
      </c>
      <c r="S84" s="1397">
        <v>45878</v>
      </c>
      <c r="T84" s="1314">
        <v>76000</v>
      </c>
      <c r="U84" s="697" t="s">
        <v>49</v>
      </c>
      <c r="V84" s="2839">
        <f>Table6268934567910[[#This Row],[Offer Value]]-Table6268934567910[[#This Row],[PO Value]]</f>
        <v>0</v>
      </c>
      <c r="W84" s="1393"/>
      <c r="X84" s="1393"/>
      <c r="Y84" s="1391"/>
      <c r="Z84" s="1212"/>
      <c r="AA84" s="1212"/>
    </row>
    <row r="85" spans="1:27" ht="15.6">
      <c r="A85" s="1317">
        <v>79</v>
      </c>
      <c r="B85" s="1393" t="s">
        <v>2647</v>
      </c>
      <c r="C85" s="1461" t="s">
        <v>614</v>
      </c>
      <c r="D85" s="1393" t="s">
        <v>2252</v>
      </c>
      <c r="E85" s="2733" t="s">
        <v>2655</v>
      </c>
      <c r="F85" s="1690" t="s">
        <v>2656</v>
      </c>
      <c r="G85" s="2733">
        <v>9902611220</v>
      </c>
      <c r="H85" s="2783" t="s">
        <v>2657</v>
      </c>
      <c r="I85" s="2727" t="s">
        <v>2658</v>
      </c>
      <c r="J85" s="1461" t="s">
        <v>73</v>
      </c>
      <c r="K85" s="1461" t="s">
        <v>157</v>
      </c>
      <c r="L85" s="1393" t="s">
        <v>2659</v>
      </c>
      <c r="M85" s="1634">
        <v>45849</v>
      </c>
      <c r="N85" s="1314">
        <v>61000</v>
      </c>
      <c r="O85" s="1315" t="s">
        <v>37</v>
      </c>
      <c r="P85" s="1315" t="s">
        <v>39</v>
      </c>
      <c r="Q85" s="1395">
        <v>1</v>
      </c>
      <c r="R85" s="1396">
        <v>4800089566</v>
      </c>
      <c r="S85" s="1397">
        <v>45755</v>
      </c>
      <c r="T85" s="1314">
        <v>61000</v>
      </c>
      <c r="U85" s="697" t="s">
        <v>49</v>
      </c>
      <c r="V85" s="2839">
        <f>Table6268934567910[[#This Row],[Offer Value]]-Table6268934567910[[#This Row],[PO Value]]</f>
        <v>0</v>
      </c>
      <c r="W85" s="1393"/>
      <c r="X85" s="1393"/>
      <c r="Y85" s="1391"/>
      <c r="Z85" s="1212"/>
      <c r="AA85" s="1212"/>
    </row>
    <row r="86" spans="1:27" s="234" customFormat="1" ht="31.2">
      <c r="A86" s="1317">
        <v>80</v>
      </c>
      <c r="B86" s="1393" t="s">
        <v>2647</v>
      </c>
      <c r="C86" s="1461" t="s">
        <v>2660</v>
      </c>
      <c r="D86" s="1393" t="s">
        <v>2252</v>
      </c>
      <c r="E86" s="1393" t="s">
        <v>954</v>
      </c>
      <c r="F86" s="1960" t="s">
        <v>2661</v>
      </c>
      <c r="G86" s="1393">
        <v>9019707946</v>
      </c>
      <c r="H86" s="974" t="s">
        <v>2662</v>
      </c>
      <c r="I86" s="1461" t="s">
        <v>2663</v>
      </c>
      <c r="J86" s="1461" t="s">
        <v>75</v>
      </c>
      <c r="K86" s="1461" t="s">
        <v>157</v>
      </c>
      <c r="L86" s="1393" t="s">
        <v>2664</v>
      </c>
      <c r="M86" s="1634">
        <v>45842</v>
      </c>
      <c r="N86" s="1314">
        <v>599462.35</v>
      </c>
      <c r="O86" s="1315" t="s">
        <v>37</v>
      </c>
      <c r="P86" s="1315" t="s">
        <v>39</v>
      </c>
      <c r="Q86" s="1395">
        <v>0.9</v>
      </c>
      <c r="R86" s="1396" t="s">
        <v>2665</v>
      </c>
      <c r="S86" s="1397">
        <v>45874</v>
      </c>
      <c r="T86" s="1314">
        <v>599462.35</v>
      </c>
      <c r="U86" s="697" t="s">
        <v>49</v>
      </c>
      <c r="V86" s="2839">
        <f>Table6268934567910[[#This Row],[Offer Value]]-Table6268934567910[[#This Row],[PO Value]]</f>
        <v>0</v>
      </c>
      <c r="W86" s="1393"/>
      <c r="X86" s="1393"/>
      <c r="Y86" s="1391"/>
      <c r="Z86" s="1212"/>
      <c r="AA86" s="1212"/>
    </row>
    <row r="87" spans="1:27" ht="15.6">
      <c r="A87" s="1317">
        <v>81</v>
      </c>
      <c r="B87" s="1393" t="s">
        <v>2647</v>
      </c>
      <c r="C87" s="1460" t="s">
        <v>2448</v>
      </c>
      <c r="D87" s="1460" t="s">
        <v>2252</v>
      </c>
      <c r="E87" s="1460" t="s">
        <v>1166</v>
      </c>
      <c r="F87" s="940" t="s">
        <v>2449</v>
      </c>
      <c r="G87" s="1460">
        <v>9448325008</v>
      </c>
      <c r="H87" s="3016" t="s">
        <v>2450</v>
      </c>
      <c r="I87" s="3017" t="s">
        <v>2451</v>
      </c>
      <c r="J87" s="940" t="s">
        <v>73</v>
      </c>
      <c r="K87" s="940" t="s">
        <v>138</v>
      </c>
      <c r="L87" s="1393" t="s">
        <v>2666</v>
      </c>
      <c r="M87" s="1634">
        <v>45842</v>
      </c>
      <c r="N87" s="1314">
        <v>660000</v>
      </c>
      <c r="O87" s="1315" t="s">
        <v>37</v>
      </c>
      <c r="P87" s="1315" t="s">
        <v>62</v>
      </c>
      <c r="Q87" s="1395">
        <v>1</v>
      </c>
      <c r="R87" s="1396" t="s">
        <v>2667</v>
      </c>
      <c r="S87" s="1397">
        <v>46000</v>
      </c>
      <c r="T87" s="1314">
        <v>660000</v>
      </c>
      <c r="U87" s="1315"/>
      <c r="V87" s="2839">
        <f>Table6268934567910[[#This Row],[Offer Value]]-Table6268934567910[[#This Row],[PO Value]]</f>
        <v>0</v>
      </c>
      <c r="W87" s="1393"/>
      <c r="X87" s="1393"/>
      <c r="Y87" s="1391"/>
      <c r="Z87" s="1212"/>
      <c r="AA87" s="1212"/>
    </row>
    <row r="88" spans="1:27" s="234" customFormat="1" ht="15.6">
      <c r="A88" s="1317">
        <v>82</v>
      </c>
      <c r="B88" s="1393" t="s">
        <v>2647</v>
      </c>
      <c r="C88" s="1461" t="s">
        <v>2617</v>
      </c>
      <c r="D88" s="1393" t="s">
        <v>2324</v>
      </c>
      <c r="E88" s="1393" t="s">
        <v>2337</v>
      </c>
      <c r="F88" s="2756" t="s">
        <v>2618</v>
      </c>
      <c r="G88" s="2768">
        <v>9965812996</v>
      </c>
      <c r="H88" s="2785" t="s">
        <v>2619</v>
      </c>
      <c r="I88" s="2781" t="s">
        <v>2620</v>
      </c>
      <c r="J88" s="1461" t="s">
        <v>73</v>
      </c>
      <c r="K88" s="1461" t="s">
        <v>138</v>
      </c>
      <c r="L88" s="1393" t="s">
        <v>2668</v>
      </c>
      <c r="M88" s="1634">
        <v>45842</v>
      </c>
      <c r="N88" s="1314">
        <v>84000</v>
      </c>
      <c r="O88" s="1315" t="s">
        <v>37</v>
      </c>
      <c r="P88" s="1315" t="s">
        <v>47</v>
      </c>
      <c r="Q88" s="1395">
        <v>0.9</v>
      </c>
      <c r="R88" s="1467">
        <v>5500011884</v>
      </c>
      <c r="S88" s="1397" t="s">
        <v>2669</v>
      </c>
      <c r="T88" s="1314">
        <v>84000</v>
      </c>
      <c r="U88" s="697" t="s">
        <v>49</v>
      </c>
      <c r="V88" s="2839">
        <f>Table6268934567910[[#This Row],[Offer Value]]-Table6268934567910[[#This Row],[PO Value]]</f>
        <v>0</v>
      </c>
      <c r="W88" s="1393"/>
      <c r="X88" s="1393"/>
      <c r="Y88" s="1391"/>
      <c r="Z88" s="1212"/>
      <c r="AA88" s="1212"/>
    </row>
    <row r="89" spans="1:27" ht="15.6">
      <c r="A89" s="1317">
        <v>83</v>
      </c>
      <c r="B89" s="1393" t="s">
        <v>2647</v>
      </c>
      <c r="C89" s="1461" t="s">
        <v>2317</v>
      </c>
      <c r="D89" s="1393" t="s">
        <v>2252</v>
      </c>
      <c r="E89" s="1393" t="s">
        <v>2262</v>
      </c>
      <c r="F89" s="1960" t="s">
        <v>2318</v>
      </c>
      <c r="G89" s="1393">
        <v>8197508735</v>
      </c>
      <c r="H89" s="974" t="s">
        <v>2319</v>
      </c>
      <c r="I89" s="1393">
        <v>305000032</v>
      </c>
      <c r="J89" s="1461" t="s">
        <v>73</v>
      </c>
      <c r="K89" s="1461" t="s">
        <v>138</v>
      </c>
      <c r="L89" s="1393" t="s">
        <v>2670</v>
      </c>
      <c r="M89" s="1634">
        <v>45819</v>
      </c>
      <c r="N89" s="1314">
        <v>84000</v>
      </c>
      <c r="O89" s="1315" t="s">
        <v>44</v>
      </c>
      <c r="P89" s="1315" t="s">
        <v>39</v>
      </c>
      <c r="Q89" s="1395">
        <v>1</v>
      </c>
      <c r="R89" s="1396" t="s">
        <v>2671</v>
      </c>
      <c r="S89" s="1397" t="s">
        <v>2672</v>
      </c>
      <c r="T89" s="1314">
        <v>84000</v>
      </c>
      <c r="U89" s="697" t="s">
        <v>49</v>
      </c>
      <c r="V89" s="2839">
        <f>Table6268934567910[[#This Row],[Offer Value]]-Table6268934567910[[#This Row],[PO Value]]</f>
        <v>0</v>
      </c>
      <c r="W89" s="1393"/>
      <c r="X89" s="1393"/>
      <c r="Y89" s="1391"/>
      <c r="Z89" s="1212"/>
      <c r="AA89" s="1212"/>
    </row>
    <row r="90" spans="1:27" s="234" customFormat="1" ht="18.600000000000001" customHeight="1">
      <c r="A90" s="1317">
        <v>84</v>
      </c>
      <c r="B90" s="1392">
        <v>45785</v>
      </c>
      <c r="C90" s="1461" t="s">
        <v>178</v>
      </c>
      <c r="D90" s="1393" t="s">
        <v>2252</v>
      </c>
      <c r="E90" s="1393" t="s">
        <v>2673</v>
      </c>
      <c r="F90" s="2749" t="s">
        <v>2584</v>
      </c>
      <c r="G90" s="2749">
        <v>9844121404</v>
      </c>
      <c r="H90" s="2781" t="s">
        <v>2674</v>
      </c>
      <c r="I90" s="2632" t="s">
        <v>2675</v>
      </c>
      <c r="J90" s="1461" t="s">
        <v>74</v>
      </c>
      <c r="K90" s="1461" t="s">
        <v>138</v>
      </c>
      <c r="L90" s="2809" t="s">
        <v>2676</v>
      </c>
      <c r="M90" s="1634">
        <v>45871</v>
      </c>
      <c r="N90" s="1314">
        <v>131594.88</v>
      </c>
      <c r="O90" s="1315" t="s">
        <v>39</v>
      </c>
      <c r="P90" s="1315" t="s">
        <v>39</v>
      </c>
      <c r="Q90" s="1395">
        <v>1</v>
      </c>
      <c r="R90" s="1396">
        <v>4517476650</v>
      </c>
      <c r="S90" s="1397">
        <v>45785</v>
      </c>
      <c r="T90" s="1314">
        <v>131594.88</v>
      </c>
      <c r="U90" s="697" t="s">
        <v>49</v>
      </c>
      <c r="V90" s="2839">
        <f>Table6268934567910[[#This Row],[Offer Value]]-Table6268934567910[[#This Row],[PO Value]]</f>
        <v>0</v>
      </c>
      <c r="W90" s="1393"/>
      <c r="X90" s="1393"/>
      <c r="Y90" s="1391"/>
      <c r="Z90" s="1212"/>
      <c r="AA90" s="1212"/>
    </row>
    <row r="91" spans="1:27" ht="18">
      <c r="A91" s="1317">
        <v>85</v>
      </c>
      <c r="B91" s="1392">
        <v>45785</v>
      </c>
      <c r="C91" s="1461" t="s">
        <v>614</v>
      </c>
      <c r="D91" s="1393" t="s">
        <v>2252</v>
      </c>
      <c r="E91" s="1393" t="s">
        <v>2655</v>
      </c>
      <c r="F91" s="1960" t="s">
        <v>2656</v>
      </c>
      <c r="G91" s="1393">
        <v>9902611220</v>
      </c>
      <c r="H91" s="974" t="s">
        <v>2657</v>
      </c>
      <c r="I91" s="1461" t="s">
        <v>2658</v>
      </c>
      <c r="J91" s="1461" t="s">
        <v>74</v>
      </c>
      <c r="K91" s="1461" t="s">
        <v>138</v>
      </c>
      <c r="L91" s="2809" t="s">
        <v>2677</v>
      </c>
      <c r="M91" s="1634">
        <v>45968</v>
      </c>
      <c r="N91" s="1314">
        <v>37810</v>
      </c>
      <c r="O91" s="1315" t="s">
        <v>37</v>
      </c>
      <c r="P91" s="1315" t="s">
        <v>39</v>
      </c>
      <c r="Q91" s="1395">
        <v>1</v>
      </c>
      <c r="R91" s="1396">
        <v>4000559236</v>
      </c>
      <c r="S91" s="1397">
        <v>45785</v>
      </c>
      <c r="T91" s="1314">
        <v>37810</v>
      </c>
      <c r="U91" s="697" t="s">
        <v>49</v>
      </c>
      <c r="V91" s="2839">
        <f>Table6268934567910[[#This Row],[Offer Value]]-Table6268934567910[[#This Row],[PO Value]]</f>
        <v>0</v>
      </c>
      <c r="W91" s="1393"/>
      <c r="X91" s="1393"/>
      <c r="Y91" s="1391"/>
      <c r="Z91" s="1212"/>
      <c r="AA91" s="1212"/>
    </row>
    <row r="92" spans="1:27" s="234" customFormat="1" ht="15.6">
      <c r="A92" s="1317">
        <v>86</v>
      </c>
      <c r="B92" s="1392">
        <v>45908</v>
      </c>
      <c r="C92" s="1393" t="s">
        <v>2294</v>
      </c>
      <c r="D92" s="1461" t="s">
        <v>2295</v>
      </c>
      <c r="E92" s="1461" t="s">
        <v>2611</v>
      </c>
      <c r="F92" s="1960" t="s">
        <v>2456</v>
      </c>
      <c r="G92" s="1461">
        <v>9902311047</v>
      </c>
      <c r="H92" s="1961" t="s">
        <v>2457</v>
      </c>
      <c r="I92" s="2761" t="s">
        <v>2678</v>
      </c>
      <c r="J92" s="1461" t="s">
        <v>73</v>
      </c>
      <c r="K92" s="1461" t="s">
        <v>138</v>
      </c>
      <c r="L92" s="1393" t="s">
        <v>2679</v>
      </c>
      <c r="M92" s="1634"/>
      <c r="N92" s="1314">
        <v>89000</v>
      </c>
      <c r="O92" s="1315" t="s">
        <v>39</v>
      </c>
      <c r="P92" s="1315" t="s">
        <v>39</v>
      </c>
      <c r="Q92" s="1395">
        <v>1</v>
      </c>
      <c r="R92" s="1396" t="s">
        <v>2680</v>
      </c>
      <c r="S92" s="1397">
        <v>45873</v>
      </c>
      <c r="T92" s="1314">
        <v>89000</v>
      </c>
      <c r="U92" s="697" t="s">
        <v>49</v>
      </c>
      <c r="V92" s="2839">
        <f>Table6268934567910[[#This Row],[Offer Value]]-Table6268934567910[[#This Row],[PO Value]]</f>
        <v>0</v>
      </c>
      <c r="W92" s="1393"/>
      <c r="X92" s="1393"/>
      <c r="Y92" s="1391"/>
      <c r="Z92" s="1212"/>
      <c r="AA92" s="1212"/>
    </row>
    <row r="93" spans="1:27" ht="31.2">
      <c r="A93" s="1317">
        <v>87</v>
      </c>
      <c r="B93" s="1393" t="s">
        <v>2681</v>
      </c>
      <c r="C93" s="1461" t="s">
        <v>152</v>
      </c>
      <c r="D93" s="1393" t="s">
        <v>2641</v>
      </c>
      <c r="E93" s="1393" t="s">
        <v>620</v>
      </c>
      <c r="F93" s="1960" t="s">
        <v>2642</v>
      </c>
      <c r="G93" s="1393">
        <v>9894006484</v>
      </c>
      <c r="H93" s="974" t="s">
        <v>2643</v>
      </c>
      <c r="I93" s="1393" t="s">
        <v>2644</v>
      </c>
      <c r="J93" s="1461" t="s">
        <v>75</v>
      </c>
      <c r="K93" s="1461" t="s">
        <v>157</v>
      </c>
      <c r="L93" s="1393" t="s">
        <v>2645</v>
      </c>
      <c r="M93" s="1634">
        <v>45855</v>
      </c>
      <c r="N93" s="1314">
        <v>383075</v>
      </c>
      <c r="O93" s="1315" t="s">
        <v>37</v>
      </c>
      <c r="P93" s="1315" t="s">
        <v>37</v>
      </c>
      <c r="Q93" s="1395">
        <v>1</v>
      </c>
      <c r="R93" s="1396" t="s">
        <v>2682</v>
      </c>
      <c r="S93" s="1397" t="s">
        <v>2683</v>
      </c>
      <c r="T93" s="1314">
        <v>383075</v>
      </c>
      <c r="U93" s="697" t="s">
        <v>49</v>
      </c>
      <c r="V93" s="2839">
        <f>Table6268934567910[[#This Row],[Offer Value]]-Table6268934567910[[#This Row],[PO Value]]</f>
        <v>0</v>
      </c>
      <c r="W93" s="1393"/>
      <c r="X93" s="1393"/>
      <c r="Y93" s="1391"/>
      <c r="Z93" s="1212"/>
      <c r="AA93" s="1212"/>
    </row>
    <row r="94" spans="1:27" s="234" customFormat="1" ht="31.2">
      <c r="A94" s="1317">
        <v>88</v>
      </c>
      <c r="B94" s="1392">
        <v>45666</v>
      </c>
      <c r="C94" s="1461" t="s">
        <v>152</v>
      </c>
      <c r="D94" s="1393" t="s">
        <v>2641</v>
      </c>
      <c r="E94" s="1393" t="s">
        <v>620</v>
      </c>
      <c r="F94" s="1960" t="s">
        <v>2642</v>
      </c>
      <c r="G94" s="1393">
        <v>9894006484</v>
      </c>
      <c r="H94" s="974" t="s">
        <v>2643</v>
      </c>
      <c r="I94" s="1393" t="s">
        <v>2684</v>
      </c>
      <c r="J94" s="1461" t="s">
        <v>81</v>
      </c>
      <c r="K94" s="1461" t="s">
        <v>157</v>
      </c>
      <c r="L94" s="1393" t="s">
        <v>2685</v>
      </c>
      <c r="M94" s="1634" t="s">
        <v>2686</v>
      </c>
      <c r="N94" s="1314">
        <v>566371</v>
      </c>
      <c r="O94" s="1315" t="s">
        <v>44</v>
      </c>
      <c r="P94" s="1315" t="s">
        <v>44</v>
      </c>
      <c r="Q94" s="1395">
        <v>1</v>
      </c>
      <c r="R94" s="1396" t="s">
        <v>2687</v>
      </c>
      <c r="S94" s="1394">
        <v>45666</v>
      </c>
      <c r="T94" s="1314">
        <v>566371</v>
      </c>
      <c r="U94" s="697" t="s">
        <v>49</v>
      </c>
      <c r="V94" s="2839">
        <f>Table6268934567910[[#This Row],[Offer Value]]-Table6268934567910[[#This Row],[PO Value]]</f>
        <v>0</v>
      </c>
      <c r="W94" s="1393"/>
      <c r="X94" s="1393"/>
      <c r="Y94" s="1391"/>
      <c r="Z94" s="1212"/>
      <c r="AA94" s="1212"/>
    </row>
    <row r="95" spans="1:27" ht="15.6">
      <c r="A95" s="1317">
        <v>89</v>
      </c>
      <c r="B95" s="1468">
        <v>45725</v>
      </c>
      <c r="C95" s="2241" t="s">
        <v>2439</v>
      </c>
      <c r="D95" s="1317" t="s">
        <v>2324</v>
      </c>
      <c r="E95" s="2241" t="s">
        <v>2688</v>
      </c>
      <c r="F95" s="1315" t="s">
        <v>2689</v>
      </c>
      <c r="G95" s="1393">
        <v>7305219330</v>
      </c>
      <c r="H95" s="974" t="s">
        <v>2690</v>
      </c>
      <c r="I95" s="1393" t="s">
        <v>2691</v>
      </c>
      <c r="J95" s="2802" t="s">
        <v>74</v>
      </c>
      <c r="K95" s="1497" t="s">
        <v>138</v>
      </c>
      <c r="L95" s="1393" t="s">
        <v>2692</v>
      </c>
      <c r="M95" s="2245" t="s">
        <v>2693</v>
      </c>
      <c r="N95" s="2246">
        <v>30903.5</v>
      </c>
      <c r="O95" s="2241" t="s">
        <v>39</v>
      </c>
      <c r="P95" s="2241" t="s">
        <v>44</v>
      </c>
      <c r="Q95" s="2247">
        <v>1</v>
      </c>
      <c r="R95" s="1396">
        <v>20414332</v>
      </c>
      <c r="S95" s="2245">
        <v>45725</v>
      </c>
      <c r="T95" s="2246">
        <v>30903.5</v>
      </c>
      <c r="U95" s="697" t="s">
        <v>49</v>
      </c>
      <c r="V95" s="2839">
        <f>Table6268934567910[[#This Row],[Offer Value]]-Table6268934567910[[#This Row],[PO Value]]</f>
        <v>0</v>
      </c>
      <c r="W95" s="1317"/>
      <c r="X95" s="1317"/>
      <c r="Y95" s="1468"/>
      <c r="Z95" s="1212"/>
      <c r="AA95" s="1212"/>
    </row>
    <row r="96" spans="1:27" s="234" customFormat="1" ht="15.6">
      <c r="A96" s="1317">
        <v>90</v>
      </c>
      <c r="B96" s="1468">
        <v>45939</v>
      </c>
      <c r="C96" s="1393" t="s">
        <v>2694</v>
      </c>
      <c r="D96" s="1393" t="s">
        <v>2252</v>
      </c>
      <c r="E96" s="1393" t="s">
        <v>2695</v>
      </c>
      <c r="F96" s="1960" t="s">
        <v>2696</v>
      </c>
      <c r="G96" s="1393">
        <v>9980798762</v>
      </c>
      <c r="H96" s="2896" t="s">
        <v>2697</v>
      </c>
      <c r="I96" s="2761" t="s">
        <v>2698</v>
      </c>
      <c r="J96" s="2802" t="s">
        <v>79</v>
      </c>
      <c r="K96" s="1497" t="s">
        <v>138</v>
      </c>
      <c r="L96" s="1393" t="s">
        <v>2699</v>
      </c>
      <c r="M96" s="2245">
        <v>45756</v>
      </c>
      <c r="N96" s="2241">
        <v>33000</v>
      </c>
      <c r="O96" s="2241" t="s">
        <v>44</v>
      </c>
      <c r="P96" s="2241" t="s">
        <v>44</v>
      </c>
      <c r="Q96" s="2247">
        <v>1</v>
      </c>
      <c r="R96" s="1396" t="s">
        <v>2700</v>
      </c>
      <c r="S96" s="2245">
        <v>45878</v>
      </c>
      <c r="T96" s="2241">
        <v>33000</v>
      </c>
      <c r="U96" s="697" t="s">
        <v>49</v>
      </c>
      <c r="V96" s="2839">
        <f>Table6268934567910[[#This Row],[Offer Value]]-Table6268934567910[[#This Row],[PO Value]]</f>
        <v>0</v>
      </c>
      <c r="W96" s="1317"/>
      <c r="X96" s="1317"/>
      <c r="Y96" s="1468"/>
      <c r="Z96" s="1212"/>
      <c r="AA96" s="1212"/>
    </row>
    <row r="97" spans="1:28" ht="15.6">
      <c r="A97" s="1317">
        <v>91</v>
      </c>
      <c r="B97" s="1468">
        <v>45818</v>
      </c>
      <c r="C97" s="1393" t="s">
        <v>2701</v>
      </c>
      <c r="D97" s="1393" t="s">
        <v>2324</v>
      </c>
      <c r="E97" s="1393" t="s">
        <v>2262</v>
      </c>
      <c r="F97" s="3150" t="s">
        <v>2702</v>
      </c>
      <c r="G97" s="2761" t="s">
        <v>2703</v>
      </c>
      <c r="H97" s="2761" t="s">
        <v>2704</v>
      </c>
      <c r="I97" s="3178" t="s">
        <v>2272</v>
      </c>
      <c r="J97" s="2802" t="s">
        <v>73</v>
      </c>
      <c r="K97" s="1497" t="s">
        <v>138</v>
      </c>
      <c r="L97" s="2761" t="s">
        <v>2705</v>
      </c>
      <c r="M97" s="2245">
        <v>45848</v>
      </c>
      <c r="N97" s="2241">
        <v>109200</v>
      </c>
      <c r="O97" s="2241" t="s">
        <v>47</v>
      </c>
      <c r="P97" s="2241" t="s">
        <v>47</v>
      </c>
      <c r="Q97" s="2247">
        <v>0.9</v>
      </c>
      <c r="R97" s="1396" t="s">
        <v>2706</v>
      </c>
      <c r="S97" s="2608" t="s">
        <v>2208</v>
      </c>
      <c r="T97" s="2241">
        <v>109200</v>
      </c>
      <c r="U97" s="697" t="s">
        <v>49</v>
      </c>
      <c r="V97" s="2839">
        <f>Table6268934567910[[#This Row],[Offer Value]]-Table6268934567910[[#This Row],[PO Value]]</f>
        <v>0</v>
      </c>
      <c r="W97" s="1317"/>
      <c r="X97" s="1317"/>
      <c r="Y97" s="1468"/>
      <c r="Z97" s="1212"/>
      <c r="AA97" s="1212"/>
    </row>
    <row r="98" spans="1:28" s="234" customFormat="1" ht="15.6">
      <c r="A98" s="1317">
        <v>92</v>
      </c>
      <c r="B98" s="1468">
        <v>45818</v>
      </c>
      <c r="C98" s="1393" t="s">
        <v>2294</v>
      </c>
      <c r="D98" s="1393" t="s">
        <v>2295</v>
      </c>
      <c r="E98" s="1393" t="s">
        <v>2707</v>
      </c>
      <c r="F98" s="1960" t="s">
        <v>2708</v>
      </c>
      <c r="G98" s="2761">
        <v>9686452794</v>
      </c>
      <c r="H98" s="942" t="s">
        <v>2709</v>
      </c>
      <c r="I98" s="1393" t="s">
        <v>2710</v>
      </c>
      <c r="J98" s="2802" t="s">
        <v>73</v>
      </c>
      <c r="K98" s="1497" t="s">
        <v>138</v>
      </c>
      <c r="L98" s="2761" t="s">
        <v>2711</v>
      </c>
      <c r="M98" s="2351">
        <v>45901</v>
      </c>
      <c r="N98" s="2241">
        <v>89000</v>
      </c>
      <c r="O98" s="2241" t="s">
        <v>44</v>
      </c>
      <c r="P98" s="2241" t="s">
        <v>47</v>
      </c>
      <c r="Q98" s="2247">
        <v>1</v>
      </c>
      <c r="R98" s="1396" t="s">
        <v>2712</v>
      </c>
      <c r="S98" s="2608" t="s">
        <v>2178</v>
      </c>
      <c r="T98" s="2241">
        <v>89000</v>
      </c>
      <c r="U98" s="697" t="s">
        <v>49</v>
      </c>
      <c r="V98" s="2839">
        <f>Table6268934567910[[#This Row],[Offer Value]]-Table6268934567910[[#This Row],[PO Value]]</f>
        <v>0</v>
      </c>
      <c r="W98" s="1317"/>
      <c r="X98" s="1317"/>
      <c r="Y98" s="1468"/>
      <c r="Z98" s="1212"/>
      <c r="AA98" s="1212"/>
    </row>
    <row r="99" spans="1:28" ht="15.6">
      <c r="A99" s="706">
        <v>93</v>
      </c>
      <c r="B99" s="709">
        <v>45848</v>
      </c>
      <c r="C99" s="703" t="s">
        <v>2660</v>
      </c>
      <c r="D99" s="703" t="s">
        <v>2252</v>
      </c>
      <c r="E99" s="703" t="s">
        <v>954</v>
      </c>
      <c r="F99" s="2625" t="s">
        <v>2661</v>
      </c>
      <c r="G99" s="3153">
        <v>9019707946</v>
      </c>
      <c r="H99" s="2625" t="s">
        <v>2713</v>
      </c>
      <c r="I99" s="2631" t="s">
        <v>2663</v>
      </c>
      <c r="J99" s="764" t="s">
        <v>73</v>
      </c>
      <c r="K99" s="708" t="s">
        <v>138</v>
      </c>
      <c r="L99" s="2631" t="s">
        <v>2714</v>
      </c>
      <c r="M99" s="2350">
        <v>45933</v>
      </c>
      <c r="N99" s="723">
        <v>93000</v>
      </c>
      <c r="O99" s="723" t="s">
        <v>47</v>
      </c>
      <c r="P99" s="723" t="s">
        <v>62</v>
      </c>
      <c r="Q99" s="729">
        <v>0.8</v>
      </c>
      <c r="R99" s="694"/>
      <c r="S99" s="740"/>
      <c r="T99" s="723"/>
      <c r="U99" s="697" t="s">
        <v>49</v>
      </c>
      <c r="V99" s="2635">
        <f>Table6268934567910[[#This Row],[Offer Value]]-Table6268934567910[[#This Row],[PO Value]]</f>
        <v>93000</v>
      </c>
      <c r="W99" s="706"/>
      <c r="X99" s="706"/>
      <c r="Y99" s="709"/>
      <c r="Z99" s="1212"/>
      <c r="AA99" s="1212"/>
    </row>
    <row r="100" spans="1:28" s="1318" customFormat="1" ht="15.6">
      <c r="A100" s="1317">
        <v>94</v>
      </c>
      <c r="B100" s="1468">
        <v>45848</v>
      </c>
      <c r="C100" s="1393" t="s">
        <v>2393</v>
      </c>
      <c r="D100" s="1393" t="s">
        <v>2252</v>
      </c>
      <c r="E100" s="1393" t="s">
        <v>2715</v>
      </c>
      <c r="F100" s="2632" t="s">
        <v>2394</v>
      </c>
      <c r="G100" s="3156">
        <v>9590027444</v>
      </c>
      <c r="H100" s="2632" t="s">
        <v>2395</v>
      </c>
      <c r="I100" s="3176">
        <v>500003581</v>
      </c>
      <c r="J100" s="2802" t="s">
        <v>73</v>
      </c>
      <c r="K100" s="1497" t="s">
        <v>138</v>
      </c>
      <c r="L100" s="2781" t="s">
        <v>2716</v>
      </c>
      <c r="M100" s="2351">
        <v>45933</v>
      </c>
      <c r="N100" s="2241">
        <v>75000</v>
      </c>
      <c r="O100" s="2241" t="s">
        <v>47</v>
      </c>
      <c r="P100" s="2241" t="s">
        <v>49</v>
      </c>
      <c r="Q100" s="2247">
        <v>1</v>
      </c>
      <c r="R100" s="1315">
        <v>132964</v>
      </c>
      <c r="S100" s="2245">
        <v>45981</v>
      </c>
      <c r="T100" s="2241">
        <v>75000</v>
      </c>
      <c r="U100" s="1315" t="s">
        <v>62</v>
      </c>
      <c r="V100" s="2839">
        <f>Table6268934567910[[#This Row],[Offer Value]]-Table6268934567910[[#This Row],[PO Value]]</f>
        <v>0</v>
      </c>
      <c r="W100" s="1317"/>
      <c r="X100" s="1317"/>
      <c r="Y100" s="1468"/>
      <c r="AB100" s="1542"/>
    </row>
    <row r="101" spans="1:28" s="1318" customFormat="1" ht="15.6">
      <c r="A101" s="1317">
        <v>95</v>
      </c>
      <c r="B101" s="1468">
        <v>45848</v>
      </c>
      <c r="C101" s="1393" t="s">
        <v>614</v>
      </c>
      <c r="D101" s="1393" t="s">
        <v>2252</v>
      </c>
      <c r="E101" s="1315" t="s">
        <v>2564</v>
      </c>
      <c r="F101" s="2754" t="s">
        <v>2717</v>
      </c>
      <c r="G101" s="2852">
        <v>8022195605</v>
      </c>
      <c r="H101" s="2852" t="s">
        <v>2718</v>
      </c>
      <c r="I101" s="3174" t="s">
        <v>2719</v>
      </c>
      <c r="J101" s="1960" t="s">
        <v>73</v>
      </c>
      <c r="K101" s="1461" t="s">
        <v>138</v>
      </c>
      <c r="L101" s="2781" t="s">
        <v>2720</v>
      </c>
      <c r="M101" s="2351">
        <v>45933</v>
      </c>
      <c r="N101" s="1314">
        <v>61440</v>
      </c>
      <c r="O101" s="2241" t="s">
        <v>47</v>
      </c>
      <c r="P101" s="1315" t="s">
        <v>62</v>
      </c>
      <c r="Q101" s="1395">
        <v>1</v>
      </c>
      <c r="R101" s="1467">
        <v>4800091857</v>
      </c>
      <c r="S101" s="1545" t="s">
        <v>2721</v>
      </c>
      <c r="T101" s="1314">
        <v>61440</v>
      </c>
      <c r="U101" s="1315" t="s">
        <v>49</v>
      </c>
      <c r="V101" s="2839">
        <f>Table6268934567910[[#This Row],[Offer Value]]-Table6268934567910[[#This Row],[PO Value]]</f>
        <v>0</v>
      </c>
      <c r="W101" s="1317"/>
      <c r="X101" s="1317"/>
      <c r="Y101" s="1468"/>
      <c r="AB101" s="1542"/>
    </row>
    <row r="102" spans="1:28" ht="15.6">
      <c r="A102" s="706">
        <v>96</v>
      </c>
      <c r="B102" s="709">
        <v>45848</v>
      </c>
      <c r="C102" s="703" t="s">
        <v>1190</v>
      </c>
      <c r="D102" s="703" t="s">
        <v>2252</v>
      </c>
      <c r="E102" s="712" t="s">
        <v>2414</v>
      </c>
      <c r="F102" s="2625" t="s">
        <v>2415</v>
      </c>
      <c r="G102" s="2625">
        <v>9972356437</v>
      </c>
      <c r="H102" s="2625" t="s">
        <v>2416</v>
      </c>
      <c r="I102" s="2789" t="s">
        <v>2417</v>
      </c>
      <c r="J102" s="698" t="s">
        <v>73</v>
      </c>
      <c r="K102" s="705" t="s">
        <v>138</v>
      </c>
      <c r="L102" s="2631" t="s">
        <v>2722</v>
      </c>
      <c r="M102" s="3206">
        <v>45933</v>
      </c>
      <c r="N102" s="2634">
        <v>95500</v>
      </c>
      <c r="O102" s="723" t="s">
        <v>47</v>
      </c>
      <c r="P102" s="697" t="s">
        <v>62</v>
      </c>
      <c r="Q102" s="707">
        <v>0.9</v>
      </c>
      <c r="R102" s="691"/>
      <c r="S102" s="716"/>
      <c r="T102" s="697"/>
      <c r="U102" s="697" t="s">
        <v>49</v>
      </c>
      <c r="V102" s="2635">
        <f>Table6268934567910[[#This Row],[Offer Value]]-Table6268934567910[[#This Row],[PO Value]]</f>
        <v>95500</v>
      </c>
      <c r="W102" s="706"/>
      <c r="X102" s="706"/>
      <c r="Y102" s="709"/>
      <c r="Z102" s="1212"/>
      <c r="AA102" s="1212"/>
    </row>
    <row r="103" spans="1:28" ht="15.6">
      <c r="A103" s="706">
        <v>97</v>
      </c>
      <c r="B103" s="709">
        <v>45848</v>
      </c>
      <c r="C103" s="703" t="s">
        <v>614</v>
      </c>
      <c r="D103" s="703" t="s">
        <v>2252</v>
      </c>
      <c r="E103" s="3141" t="s">
        <v>2723</v>
      </c>
      <c r="F103" s="698" t="s">
        <v>2724</v>
      </c>
      <c r="G103" s="2625">
        <v>9480080557</v>
      </c>
      <c r="H103" s="3164" t="s">
        <v>2725</v>
      </c>
      <c r="I103" s="703" t="s">
        <v>2726</v>
      </c>
      <c r="J103" s="698" t="s">
        <v>73</v>
      </c>
      <c r="K103" s="705" t="s">
        <v>138</v>
      </c>
      <c r="L103" s="2631" t="s">
        <v>2727</v>
      </c>
      <c r="M103" s="716">
        <v>45909</v>
      </c>
      <c r="N103" s="697">
        <v>65500</v>
      </c>
      <c r="O103" s="723" t="s">
        <v>44</v>
      </c>
      <c r="P103" s="697" t="s">
        <v>62</v>
      </c>
      <c r="Q103" s="707">
        <v>0.6</v>
      </c>
      <c r="R103" s="691"/>
      <c r="S103" s="716"/>
      <c r="T103" s="697"/>
      <c r="U103" s="697" t="s">
        <v>49</v>
      </c>
      <c r="V103" s="2635">
        <f>Table6268934567910[[#This Row],[Offer Value]]-Table6268934567910[[#This Row],[PO Value]]</f>
        <v>65500</v>
      </c>
      <c r="W103" s="706"/>
      <c r="X103" s="706"/>
      <c r="Y103" s="709"/>
      <c r="Z103" s="1212"/>
      <c r="AA103" s="1212"/>
    </row>
    <row r="104" spans="1:28" s="234" customFormat="1" ht="15.6">
      <c r="A104" s="706">
        <v>98</v>
      </c>
      <c r="B104" s="709">
        <v>45848</v>
      </c>
      <c r="C104" s="703" t="s">
        <v>614</v>
      </c>
      <c r="D104" s="703" t="s">
        <v>2252</v>
      </c>
      <c r="E104" s="697" t="s">
        <v>2728</v>
      </c>
      <c r="F104" s="703" t="s">
        <v>2468</v>
      </c>
      <c r="G104" s="770">
        <v>9343174460</v>
      </c>
      <c r="H104" s="770" t="s">
        <v>2469</v>
      </c>
      <c r="I104" s="2789" t="s">
        <v>2729</v>
      </c>
      <c r="J104" s="698" t="s">
        <v>73</v>
      </c>
      <c r="K104" s="705" t="s">
        <v>138</v>
      </c>
      <c r="L104" s="2631" t="s">
        <v>2730</v>
      </c>
      <c r="M104" s="713">
        <v>45907</v>
      </c>
      <c r="N104" s="697">
        <v>65500</v>
      </c>
      <c r="O104" s="723" t="s">
        <v>44</v>
      </c>
      <c r="P104" s="697" t="s">
        <v>62</v>
      </c>
      <c r="Q104" s="707">
        <v>0.8</v>
      </c>
      <c r="R104" s="691"/>
      <c r="S104" s="716"/>
      <c r="T104" s="697"/>
      <c r="U104" s="697" t="s">
        <v>49</v>
      </c>
      <c r="V104" s="2635">
        <f>Table6268934567910[[#This Row],[Offer Value]]-Table6268934567910[[#This Row],[PO Value]]</f>
        <v>65500</v>
      </c>
      <c r="W104" s="706"/>
      <c r="X104" s="706"/>
      <c r="Y104" s="709"/>
      <c r="Z104" s="1212"/>
      <c r="AA104" s="1212"/>
    </row>
    <row r="105" spans="1:28" s="1318" customFormat="1" ht="31.2">
      <c r="A105" s="1317">
        <v>99</v>
      </c>
      <c r="B105" s="1468">
        <v>45848</v>
      </c>
      <c r="C105" s="1461" t="s">
        <v>2731</v>
      </c>
      <c r="D105" s="1393" t="s">
        <v>2252</v>
      </c>
      <c r="E105" s="1393" t="s">
        <v>954</v>
      </c>
      <c r="F105" s="3147" t="s">
        <v>2732</v>
      </c>
      <c r="G105" s="2632" t="s">
        <v>2733</v>
      </c>
      <c r="H105" s="3156" t="s">
        <v>2734</v>
      </c>
      <c r="I105" s="2632" t="s">
        <v>2735</v>
      </c>
      <c r="J105" s="1960" t="s">
        <v>73</v>
      </c>
      <c r="K105" s="1461" t="s">
        <v>157</v>
      </c>
      <c r="L105" s="2781" t="s">
        <v>2736</v>
      </c>
      <c r="M105" s="1634">
        <v>45901</v>
      </c>
      <c r="N105" s="1315">
        <v>100000</v>
      </c>
      <c r="O105" s="1315" t="s">
        <v>44</v>
      </c>
      <c r="P105" s="1315" t="s">
        <v>49</v>
      </c>
      <c r="Q105" s="1395">
        <v>1</v>
      </c>
      <c r="R105" s="1467">
        <v>4400000465</v>
      </c>
      <c r="S105" s="1545" t="s">
        <v>1636</v>
      </c>
      <c r="T105" s="1315">
        <v>100000</v>
      </c>
      <c r="U105" s="1315" t="s">
        <v>49</v>
      </c>
      <c r="V105" s="2839">
        <f>Table6268934567910[[#This Row],[Offer Value]]-Table6268934567910[[#This Row],[PO Value]]</f>
        <v>0</v>
      </c>
      <c r="W105" s="1317"/>
      <c r="X105" s="1317"/>
      <c r="Y105" s="1468"/>
      <c r="AB105" s="1542"/>
    </row>
    <row r="106" spans="1:28" s="234" customFormat="1" ht="17.399999999999999">
      <c r="A106" s="1317">
        <v>100</v>
      </c>
      <c r="B106" s="1468">
        <v>45848</v>
      </c>
      <c r="C106" s="1393" t="s">
        <v>2737</v>
      </c>
      <c r="D106" s="1461" t="s">
        <v>2738</v>
      </c>
      <c r="E106" s="1960" t="s">
        <v>2337</v>
      </c>
      <c r="F106" s="3147" t="s">
        <v>2739</v>
      </c>
      <c r="G106" s="2759">
        <v>8824185860</v>
      </c>
      <c r="H106" s="2759" t="s">
        <v>2740</v>
      </c>
      <c r="I106" s="3170" t="s">
        <v>2266</v>
      </c>
      <c r="J106" s="1960" t="s">
        <v>73</v>
      </c>
      <c r="K106" s="1461" t="s">
        <v>138</v>
      </c>
      <c r="L106" s="2781" t="s">
        <v>2741</v>
      </c>
      <c r="M106" s="1634" t="s">
        <v>2742</v>
      </c>
      <c r="N106" s="2753">
        <v>88200</v>
      </c>
      <c r="O106" s="1315" t="s">
        <v>39</v>
      </c>
      <c r="P106" s="1315" t="s">
        <v>49</v>
      </c>
      <c r="Q106" s="1395">
        <v>1</v>
      </c>
      <c r="R106" s="1467">
        <v>2800095345</v>
      </c>
      <c r="S106" s="1545" t="s">
        <v>1637</v>
      </c>
      <c r="T106" s="2836">
        <v>86436</v>
      </c>
      <c r="U106" s="697" t="s">
        <v>49</v>
      </c>
      <c r="V106" s="2839">
        <v>0</v>
      </c>
      <c r="W106" s="1317"/>
      <c r="X106" s="1317"/>
      <c r="Y106" s="1317"/>
      <c r="Z106" s="1212"/>
      <c r="AA106" s="1212"/>
    </row>
    <row r="107" spans="1:28" ht="15.6">
      <c r="A107" s="3120">
        <v>101</v>
      </c>
      <c r="B107" s="3128">
        <v>45848</v>
      </c>
      <c r="C107" s="715" t="s">
        <v>2439</v>
      </c>
      <c r="D107" s="715" t="s">
        <v>2324</v>
      </c>
      <c r="E107" s="715" t="s">
        <v>2743</v>
      </c>
      <c r="F107" s="3146" t="s">
        <v>2441</v>
      </c>
      <c r="G107" s="3146">
        <v>9597085079</v>
      </c>
      <c r="H107" s="3146" t="s">
        <v>2442</v>
      </c>
      <c r="I107" s="3146" t="s">
        <v>2443</v>
      </c>
      <c r="J107" s="3188" t="s">
        <v>75</v>
      </c>
      <c r="K107" s="3194" t="s">
        <v>157</v>
      </c>
      <c r="L107" s="3196" t="s">
        <v>2744</v>
      </c>
      <c r="M107" s="3205">
        <v>45937</v>
      </c>
      <c r="N107" s="3216">
        <v>279767</v>
      </c>
      <c r="O107" s="3218" t="s">
        <v>47</v>
      </c>
      <c r="P107" s="3220" t="s">
        <v>62</v>
      </c>
      <c r="Q107" s="3229">
        <v>0.6</v>
      </c>
      <c r="R107" s="3236"/>
      <c r="S107" s="3243"/>
      <c r="T107" s="3220"/>
      <c r="U107" s="3220"/>
      <c r="V107" s="3255">
        <f>Table6268934567910[[#This Row],[Offer Value]]-Table6268934567910[[#This Row],[PO Value]]</f>
        <v>279767</v>
      </c>
      <c r="W107" s="3120"/>
      <c r="X107" s="3120"/>
      <c r="Y107" s="3128"/>
      <c r="Z107" s="1212"/>
      <c r="AA107" s="1212"/>
    </row>
    <row r="108" spans="1:28" s="293" customFormat="1" ht="15.6">
      <c r="A108" s="1372">
        <v>102</v>
      </c>
      <c r="B108" s="1373">
        <v>45848</v>
      </c>
      <c r="C108" s="1367" t="s">
        <v>2323</v>
      </c>
      <c r="D108" s="1367" t="s">
        <v>2649</v>
      </c>
      <c r="E108" s="1367" t="s">
        <v>2745</v>
      </c>
      <c r="F108" s="3145" t="s">
        <v>2554</v>
      </c>
      <c r="G108" s="3155">
        <v>9043276494</v>
      </c>
      <c r="H108" s="3145" t="s">
        <v>2555</v>
      </c>
      <c r="I108" s="3145" t="s">
        <v>2501</v>
      </c>
      <c r="J108" s="3187" t="s">
        <v>75</v>
      </c>
      <c r="K108" s="3193" t="s">
        <v>157</v>
      </c>
      <c r="L108" s="3195" t="s">
        <v>2746</v>
      </c>
      <c r="M108" s="3204">
        <v>45938</v>
      </c>
      <c r="N108" s="1371">
        <v>60000</v>
      </c>
      <c r="O108" s="1371" t="s">
        <v>47</v>
      </c>
      <c r="P108" s="2914" t="s">
        <v>49</v>
      </c>
      <c r="Q108" s="2915">
        <v>1</v>
      </c>
      <c r="R108" s="3235">
        <v>101276474</v>
      </c>
      <c r="S108" s="3242" t="s">
        <v>2747</v>
      </c>
      <c r="T108" s="3251">
        <v>580894.24</v>
      </c>
      <c r="U108" s="1371" t="s">
        <v>49</v>
      </c>
      <c r="V108" s="3254">
        <v>0</v>
      </c>
      <c r="W108" s="1372"/>
      <c r="X108" s="1372"/>
      <c r="Y108" s="1372"/>
      <c r="Z108" s="1318"/>
      <c r="AA108" s="1318"/>
    </row>
    <row r="109" spans="1:28" s="1318" customFormat="1" ht="15.6">
      <c r="A109" s="706">
        <v>103</v>
      </c>
      <c r="B109" s="709">
        <v>45848</v>
      </c>
      <c r="C109" s="703" t="s">
        <v>2356</v>
      </c>
      <c r="D109" s="724" t="s">
        <v>2252</v>
      </c>
      <c r="E109" s="725" t="s">
        <v>954</v>
      </c>
      <c r="F109" s="2626" t="s">
        <v>2748</v>
      </c>
      <c r="G109" s="2626">
        <v>9845203244</v>
      </c>
      <c r="H109" s="2626" t="s">
        <v>2749</v>
      </c>
      <c r="I109" s="2796" t="s">
        <v>2531</v>
      </c>
      <c r="J109" s="727" t="s">
        <v>81</v>
      </c>
      <c r="K109" s="708" t="s">
        <v>157</v>
      </c>
      <c r="L109" s="2631" t="s">
        <v>2750</v>
      </c>
      <c r="M109" s="713">
        <v>45936</v>
      </c>
      <c r="N109" s="3215">
        <v>758304</v>
      </c>
      <c r="O109" s="697" t="s">
        <v>47</v>
      </c>
      <c r="P109" s="723" t="s">
        <v>62</v>
      </c>
      <c r="Q109" s="729">
        <v>0.9</v>
      </c>
      <c r="R109" s="691"/>
      <c r="S109" s="740"/>
      <c r="T109" s="723"/>
      <c r="U109" s="723"/>
      <c r="V109" s="2635">
        <f>Table6268934567910[[#This Row],[Offer Value]]-Table6268934567910[[#This Row],[PO Value]]</f>
        <v>758304</v>
      </c>
      <c r="W109" s="706"/>
      <c r="X109" s="706"/>
      <c r="Y109" s="709"/>
      <c r="Z109" s="1772" t="s">
        <v>208</v>
      </c>
      <c r="AA109" s="1772" t="s">
        <v>208</v>
      </c>
      <c r="AB109" s="1542"/>
    </row>
    <row r="110" spans="1:28" s="1318" customFormat="1" ht="15.6">
      <c r="A110" s="706">
        <v>104</v>
      </c>
      <c r="B110" s="709">
        <v>45848</v>
      </c>
      <c r="C110" s="703" t="s">
        <v>614</v>
      </c>
      <c r="D110" s="706" t="s">
        <v>2252</v>
      </c>
      <c r="E110" s="723" t="s">
        <v>2398</v>
      </c>
      <c r="F110" s="3144" t="s">
        <v>2399</v>
      </c>
      <c r="G110" s="1553">
        <v>9008097055</v>
      </c>
      <c r="H110" s="3144" t="s">
        <v>2400</v>
      </c>
      <c r="I110" s="2625" t="s">
        <v>2401</v>
      </c>
      <c r="J110" s="3185" t="s">
        <v>75</v>
      </c>
      <c r="K110" s="3192" t="s">
        <v>157</v>
      </c>
      <c r="L110" s="2631" t="s">
        <v>2751</v>
      </c>
      <c r="M110" s="713">
        <v>45936</v>
      </c>
      <c r="N110" s="3213">
        <v>120750</v>
      </c>
      <c r="O110" s="697" t="s">
        <v>47</v>
      </c>
      <c r="P110" s="723" t="s">
        <v>62</v>
      </c>
      <c r="Q110" s="729">
        <v>0.6</v>
      </c>
      <c r="R110" s="690"/>
      <c r="S110" s="3241"/>
      <c r="T110" s="3220"/>
      <c r="U110" s="723"/>
      <c r="V110" s="2635">
        <f>Table6268934567910[[#This Row],[Offer Value]]-Table6268934567910[[#This Row],[PO Value]]</f>
        <v>120750</v>
      </c>
      <c r="W110" s="706"/>
      <c r="X110" s="706"/>
      <c r="Y110" s="709"/>
      <c r="AB110" s="1542"/>
    </row>
    <row r="111" spans="1:28" s="1318" customFormat="1" ht="31.2">
      <c r="A111" s="706">
        <v>105</v>
      </c>
      <c r="B111" s="709">
        <v>45848</v>
      </c>
      <c r="C111" s="703" t="s">
        <v>1190</v>
      </c>
      <c r="D111" s="706" t="s">
        <v>2252</v>
      </c>
      <c r="E111" s="3140" t="s">
        <v>2408</v>
      </c>
      <c r="F111" s="2634" t="s">
        <v>2752</v>
      </c>
      <c r="G111" s="3154" t="s">
        <v>2753</v>
      </c>
      <c r="H111" s="2625" t="s">
        <v>2754</v>
      </c>
      <c r="I111" s="3169" t="s">
        <v>2755</v>
      </c>
      <c r="J111" s="764" t="s">
        <v>83</v>
      </c>
      <c r="K111" s="708" t="s">
        <v>157</v>
      </c>
      <c r="L111" s="2631" t="s">
        <v>2756</v>
      </c>
      <c r="M111" s="716">
        <v>45934</v>
      </c>
      <c r="N111" s="3212">
        <v>6485822</v>
      </c>
      <c r="O111" s="697" t="s">
        <v>47</v>
      </c>
      <c r="P111" s="723" t="s">
        <v>62</v>
      </c>
      <c r="Q111" s="739">
        <v>0.8</v>
      </c>
      <c r="R111" s="697"/>
      <c r="S111" s="728"/>
      <c r="T111" s="723"/>
      <c r="U111" s="3253"/>
      <c r="V111" s="2635">
        <f>Table6268934567910[[#This Row],[Offer Value]]-Table6268934567910[[#This Row],[PO Value]]</f>
        <v>6485822</v>
      </c>
      <c r="W111" s="706"/>
      <c r="X111" s="706"/>
      <c r="Y111" s="709"/>
      <c r="AB111" s="1542"/>
    </row>
    <row r="112" spans="1:28" ht="15.6">
      <c r="A112" s="706">
        <v>106</v>
      </c>
      <c r="B112" s="709">
        <v>45848</v>
      </c>
      <c r="C112" s="703" t="s">
        <v>2364</v>
      </c>
      <c r="D112" s="706" t="s">
        <v>2365</v>
      </c>
      <c r="E112" s="723" t="s">
        <v>2337</v>
      </c>
      <c r="F112" s="2634" t="s">
        <v>2757</v>
      </c>
      <c r="G112" s="3154">
        <v>9900636398</v>
      </c>
      <c r="H112" s="3154" t="s">
        <v>2758</v>
      </c>
      <c r="I112" s="2631" t="s">
        <v>2759</v>
      </c>
      <c r="J112" s="764" t="s">
        <v>75</v>
      </c>
      <c r="K112" s="708" t="s">
        <v>157</v>
      </c>
      <c r="L112" s="2631" t="s">
        <v>2760</v>
      </c>
      <c r="M112" s="713">
        <v>45933</v>
      </c>
      <c r="N112" s="3211">
        <v>491331</v>
      </c>
      <c r="O112" s="697" t="s">
        <v>47</v>
      </c>
      <c r="P112" s="723" t="s">
        <v>62</v>
      </c>
      <c r="Q112" s="729">
        <v>0.8</v>
      </c>
      <c r="R112" s="697"/>
      <c r="S112" s="728"/>
      <c r="T112" s="723"/>
      <c r="U112" s="723"/>
      <c r="V112" s="2635">
        <f>Table6268934567910[[#This Row],[Offer Value]]-Table6268934567910[[#This Row],[PO Value]]</f>
        <v>491331</v>
      </c>
      <c r="W112" s="706"/>
      <c r="X112" s="706"/>
      <c r="Y112" s="709"/>
    </row>
    <row r="113" spans="1:28" ht="18">
      <c r="A113" s="706">
        <v>107</v>
      </c>
      <c r="B113" s="709">
        <v>45848</v>
      </c>
      <c r="C113" s="703" t="s">
        <v>2660</v>
      </c>
      <c r="D113" s="706" t="s">
        <v>2252</v>
      </c>
      <c r="E113" s="723" t="s">
        <v>620</v>
      </c>
      <c r="F113" s="2625" t="s">
        <v>2661</v>
      </c>
      <c r="G113" s="3153">
        <v>9019707946</v>
      </c>
      <c r="H113" s="2625" t="s">
        <v>2713</v>
      </c>
      <c r="I113" s="2631" t="s">
        <v>2663</v>
      </c>
      <c r="J113" s="764" t="s">
        <v>75</v>
      </c>
      <c r="K113" s="708" t="s">
        <v>157</v>
      </c>
      <c r="L113" s="2631" t="s">
        <v>2761</v>
      </c>
      <c r="M113" s="713">
        <v>45911</v>
      </c>
      <c r="N113" s="3210">
        <v>117758</v>
      </c>
      <c r="O113" s="697" t="s">
        <v>44</v>
      </c>
      <c r="P113" s="723" t="s">
        <v>62</v>
      </c>
      <c r="Q113" s="729">
        <v>0.7</v>
      </c>
      <c r="R113" s="697"/>
      <c r="S113" s="728"/>
      <c r="T113" s="723"/>
      <c r="U113" s="723"/>
      <c r="V113" s="2635">
        <f>Table6268934567910[[#This Row],[Offer Value]]-Table6268934567910[[#This Row],[PO Value]]</f>
        <v>117758</v>
      </c>
      <c r="W113" s="706"/>
      <c r="X113" s="706"/>
      <c r="Y113" s="709"/>
    </row>
    <row r="114" spans="1:28" ht="15.6">
      <c r="A114" s="1317">
        <v>108</v>
      </c>
      <c r="B114" s="1468">
        <v>45848</v>
      </c>
      <c r="C114" s="1393" t="s">
        <v>2364</v>
      </c>
      <c r="D114" s="1317" t="s">
        <v>2365</v>
      </c>
      <c r="E114" s="2241" t="s">
        <v>2337</v>
      </c>
      <c r="F114" s="2753" t="s">
        <v>2757</v>
      </c>
      <c r="G114" s="2759">
        <v>9900636398</v>
      </c>
      <c r="H114" s="2759" t="s">
        <v>2758</v>
      </c>
      <c r="I114" s="2781" t="s">
        <v>2762</v>
      </c>
      <c r="J114" s="2802" t="s">
        <v>75</v>
      </c>
      <c r="K114" s="1497" t="s">
        <v>157</v>
      </c>
      <c r="L114" s="2781" t="s">
        <v>2763</v>
      </c>
      <c r="M114" s="1634">
        <v>45910</v>
      </c>
      <c r="N114" s="2246">
        <v>229260</v>
      </c>
      <c r="O114" s="1315" t="s">
        <v>44</v>
      </c>
      <c r="P114" s="2241" t="s">
        <v>47</v>
      </c>
      <c r="Q114" s="2247">
        <v>1</v>
      </c>
      <c r="R114" s="1552">
        <v>3600023936</v>
      </c>
      <c r="S114" s="2245" t="s">
        <v>2764</v>
      </c>
      <c r="T114" s="2246">
        <v>229260</v>
      </c>
      <c r="U114" s="697" t="s">
        <v>49</v>
      </c>
      <c r="V114" s="2839">
        <f>Table6268934567910[[#This Row],[Offer Value]]-Table6268934567910[[#This Row],[PO Value]]</f>
        <v>0</v>
      </c>
      <c r="W114" s="1317"/>
      <c r="X114" s="1317"/>
      <c r="Y114" s="1468"/>
    </row>
    <row r="115" spans="1:28" s="1318" customFormat="1" ht="15.6">
      <c r="A115" s="1317">
        <v>109</v>
      </c>
      <c r="B115" s="1468">
        <v>45848</v>
      </c>
      <c r="C115" s="1393" t="s">
        <v>2364</v>
      </c>
      <c r="D115" s="2242" t="s">
        <v>2365</v>
      </c>
      <c r="E115" s="2243" t="s">
        <v>2337</v>
      </c>
      <c r="F115" s="2750" t="s">
        <v>2757</v>
      </c>
      <c r="G115" s="1768">
        <v>9900636398</v>
      </c>
      <c r="H115" s="1768" t="s">
        <v>2758</v>
      </c>
      <c r="I115" s="2776" t="s">
        <v>2765</v>
      </c>
      <c r="J115" s="2244" t="s">
        <v>77</v>
      </c>
      <c r="K115" s="1497" t="s">
        <v>138</v>
      </c>
      <c r="L115" s="2781" t="s">
        <v>2766</v>
      </c>
      <c r="M115" s="1634">
        <v>45874</v>
      </c>
      <c r="N115" s="2246">
        <v>403750</v>
      </c>
      <c r="O115" s="1315" t="s">
        <v>39</v>
      </c>
      <c r="P115" s="2241" t="s">
        <v>49</v>
      </c>
      <c r="Q115" s="2607">
        <v>1</v>
      </c>
      <c r="R115" s="1467">
        <v>8000000589</v>
      </c>
      <c r="S115" s="2608" t="s">
        <v>2669</v>
      </c>
      <c r="T115" s="2246">
        <v>403750</v>
      </c>
      <c r="U115" s="697" t="s">
        <v>49</v>
      </c>
      <c r="V115" s="2839">
        <f>Table6268934567910[[#This Row],[Offer Value]]-Table6268934567910[[#This Row],[PO Value]]</f>
        <v>0</v>
      </c>
      <c r="W115" s="1317"/>
      <c r="X115" s="1317"/>
      <c r="Y115" s="1468"/>
      <c r="AB115" s="1542"/>
    </row>
    <row r="116" spans="1:28" s="1318" customFormat="1" ht="15.6">
      <c r="A116" s="1317">
        <v>110</v>
      </c>
      <c r="B116" s="1468">
        <v>45668</v>
      </c>
      <c r="C116" s="1393" t="s">
        <v>2558</v>
      </c>
      <c r="D116" s="1393" t="s">
        <v>2252</v>
      </c>
      <c r="E116" s="1393" t="s">
        <v>954</v>
      </c>
      <c r="F116" s="1315" t="s">
        <v>2559</v>
      </c>
      <c r="G116" s="2748">
        <v>9629999441</v>
      </c>
      <c r="H116" s="1961" t="s">
        <v>2560</v>
      </c>
      <c r="I116" s="2632" t="s">
        <v>2561</v>
      </c>
      <c r="J116" s="1461" t="s">
        <v>75</v>
      </c>
      <c r="K116" s="1461" t="s">
        <v>157</v>
      </c>
      <c r="L116" s="1393" t="s">
        <v>2767</v>
      </c>
      <c r="M116" s="1634">
        <v>45875</v>
      </c>
      <c r="N116" s="1315">
        <v>331454.94</v>
      </c>
      <c r="O116" s="1315" t="s">
        <v>39</v>
      </c>
      <c r="P116" s="2241" t="s">
        <v>49</v>
      </c>
      <c r="Q116" s="2607">
        <v>1</v>
      </c>
      <c r="R116" s="1467" t="s">
        <v>2768</v>
      </c>
      <c r="S116" s="2608">
        <v>45967</v>
      </c>
      <c r="T116" s="2241">
        <v>331454.94</v>
      </c>
      <c r="U116" s="2241" t="s">
        <v>49</v>
      </c>
      <c r="V116" s="2839">
        <f>Table6268934567910[[#This Row],[Offer Value]]-Table6268934567910[[#This Row],[PO Value]]</f>
        <v>0</v>
      </c>
      <c r="W116" s="1317"/>
      <c r="X116" s="1317"/>
      <c r="Y116" s="1468"/>
      <c r="AB116" s="1542"/>
    </row>
    <row r="117" spans="1:28" ht="15.6">
      <c r="A117" s="706">
        <v>110</v>
      </c>
      <c r="B117" s="703"/>
      <c r="C117" s="705" t="s">
        <v>614</v>
      </c>
      <c r="D117" s="703" t="s">
        <v>2252</v>
      </c>
      <c r="E117" s="703"/>
      <c r="F117" s="3143" t="s">
        <v>2769</v>
      </c>
      <c r="G117" s="703">
        <v>9902611220</v>
      </c>
      <c r="H117" s="855" t="s">
        <v>2657</v>
      </c>
      <c r="I117" s="703" t="s">
        <v>2770</v>
      </c>
      <c r="J117" s="705" t="s">
        <v>73</v>
      </c>
      <c r="K117" s="705" t="s">
        <v>157</v>
      </c>
      <c r="L117" s="703" t="s">
        <v>2659</v>
      </c>
      <c r="M117" s="713">
        <v>45849</v>
      </c>
      <c r="N117" s="700"/>
      <c r="O117" s="697" t="s">
        <v>37</v>
      </c>
      <c r="P117" s="697"/>
      <c r="Q117" s="3226"/>
      <c r="R117" s="694"/>
      <c r="S117" s="701"/>
      <c r="T117" s="700"/>
      <c r="U117" s="697" t="s">
        <v>49</v>
      </c>
      <c r="V117" s="2635">
        <f>Table6268934567910[[#This Row],[Offer Value]]-Table6268934567910[[#This Row],[PO Value]]</f>
        <v>0</v>
      </c>
      <c r="W117" s="703"/>
      <c r="X117" s="703"/>
      <c r="Y117" s="702"/>
    </row>
    <row r="118" spans="1:28" s="1318" customFormat="1" ht="15.6">
      <c r="A118" s="1317">
        <v>111</v>
      </c>
      <c r="B118" s="1468" t="s">
        <v>1649</v>
      </c>
      <c r="C118" s="1393" t="s">
        <v>2323</v>
      </c>
      <c r="D118" s="1317" t="s">
        <v>2324</v>
      </c>
      <c r="E118" s="2241" t="s">
        <v>2771</v>
      </c>
      <c r="F118" s="1315" t="s">
        <v>2772</v>
      </c>
      <c r="G118" s="1393" t="s">
        <v>2773</v>
      </c>
      <c r="H118" s="1393" t="s">
        <v>2774</v>
      </c>
      <c r="I118" s="1393" t="s">
        <v>2775</v>
      </c>
      <c r="J118" s="2802" t="s">
        <v>81</v>
      </c>
      <c r="K118" s="1497" t="s">
        <v>157</v>
      </c>
      <c r="L118" s="1393" t="s">
        <v>2776</v>
      </c>
      <c r="M118" s="1634" t="s">
        <v>1649</v>
      </c>
      <c r="N118" s="1315">
        <v>3517000</v>
      </c>
      <c r="O118" s="1315" t="s">
        <v>47</v>
      </c>
      <c r="P118" s="2241" t="s">
        <v>49</v>
      </c>
      <c r="Q118" s="2607">
        <v>1</v>
      </c>
      <c r="R118" s="1467">
        <v>301070402</v>
      </c>
      <c r="S118" s="2608">
        <v>45973</v>
      </c>
      <c r="T118" s="1315">
        <v>3517000</v>
      </c>
      <c r="U118" s="1315" t="s">
        <v>49</v>
      </c>
      <c r="V118" s="2839">
        <f>Table6268934567910[[#This Row],[Offer Value]]-Table6268934567910[[#This Row],[PO Value]]</f>
        <v>0</v>
      </c>
      <c r="W118" s="1317"/>
      <c r="X118" s="1317"/>
      <c r="Y118" s="1468"/>
      <c r="AB118" s="1542"/>
    </row>
    <row r="119" spans="1:28" s="1318" customFormat="1" ht="15.6">
      <c r="A119" s="1317">
        <v>112</v>
      </c>
      <c r="B119" s="1468" t="s">
        <v>1649</v>
      </c>
      <c r="C119" s="1393" t="s">
        <v>2323</v>
      </c>
      <c r="D119" s="1317" t="s">
        <v>2324</v>
      </c>
      <c r="E119" s="2241" t="s">
        <v>2771</v>
      </c>
      <c r="F119" s="1315" t="s">
        <v>2772</v>
      </c>
      <c r="G119" s="1393" t="s">
        <v>2773</v>
      </c>
      <c r="H119" s="1393" t="s">
        <v>2774</v>
      </c>
      <c r="I119" s="1393" t="s">
        <v>2775</v>
      </c>
      <c r="J119" s="2802" t="s">
        <v>81</v>
      </c>
      <c r="K119" s="1497" t="s">
        <v>157</v>
      </c>
      <c r="L119" s="1393" t="s">
        <v>2777</v>
      </c>
      <c r="M119" s="1634" t="s">
        <v>1649</v>
      </c>
      <c r="N119" s="1315">
        <v>1389000</v>
      </c>
      <c r="O119" s="1315" t="s">
        <v>47</v>
      </c>
      <c r="P119" s="2241" t="s">
        <v>49</v>
      </c>
      <c r="Q119" s="2607">
        <v>1</v>
      </c>
      <c r="R119" s="1467">
        <v>301070629</v>
      </c>
      <c r="S119" s="2608" t="s">
        <v>2778</v>
      </c>
      <c r="T119" s="1315">
        <v>1389000</v>
      </c>
      <c r="U119" s="1315" t="s">
        <v>49</v>
      </c>
      <c r="V119" s="2839">
        <f>Table6268934567910[[#This Row],[Offer Value]]-Table6268934567910[[#This Row],[PO Value]]</f>
        <v>0</v>
      </c>
      <c r="W119" s="1317"/>
      <c r="X119" s="1317"/>
      <c r="Y119" s="1468"/>
      <c r="AB119" s="1542"/>
    </row>
    <row r="120" spans="1:28" s="1318" customFormat="1" ht="15.6">
      <c r="A120" s="1170"/>
      <c r="B120" s="1170"/>
      <c r="C120" s="1170" t="s">
        <v>2323</v>
      </c>
      <c r="D120" s="1170" t="s">
        <v>2324</v>
      </c>
      <c r="E120" s="2735" t="s">
        <v>2325</v>
      </c>
      <c r="F120" s="1170" t="s">
        <v>2326</v>
      </c>
      <c r="G120" s="1170">
        <v>7010372298</v>
      </c>
      <c r="H120" s="2778" t="s">
        <v>2327</v>
      </c>
      <c r="I120" s="1170" t="s">
        <v>2328</v>
      </c>
      <c r="J120" s="2803" t="s">
        <v>75</v>
      </c>
      <c r="K120" s="2803" t="s">
        <v>157</v>
      </c>
      <c r="L120" s="1170" t="s">
        <v>2329</v>
      </c>
      <c r="M120" s="2832" t="s">
        <v>2330</v>
      </c>
      <c r="N120" s="1170">
        <v>40000</v>
      </c>
      <c r="O120" s="2726" t="s">
        <v>7</v>
      </c>
      <c r="P120" s="1170" t="s">
        <v>7</v>
      </c>
      <c r="Q120" s="2825">
        <v>0.5</v>
      </c>
      <c r="R120" s="1155">
        <v>101260192</v>
      </c>
      <c r="S120" s="2832" t="s">
        <v>2331</v>
      </c>
      <c r="T120" s="1176">
        <v>40000</v>
      </c>
      <c r="U120" s="1176" t="s">
        <v>7</v>
      </c>
      <c r="V120" s="1158">
        <f>Table6268934567910[[#This Row],[Offer Value]]-Table6268934567910[[#This Row],[PO Value]]</f>
        <v>0</v>
      </c>
      <c r="W120" s="2726"/>
      <c r="X120" s="1176"/>
      <c r="Y120" s="1178" t="s">
        <v>1763</v>
      </c>
      <c r="AB120" s="1542"/>
    </row>
    <row r="121" spans="1:28" s="1318" customFormat="1" ht="15.6">
      <c r="A121" s="1170"/>
      <c r="B121" s="1170"/>
      <c r="C121" s="1170" t="s">
        <v>614</v>
      </c>
      <c r="D121" s="1170" t="s">
        <v>2252</v>
      </c>
      <c r="E121" s="2735" t="s">
        <v>2253</v>
      </c>
      <c r="F121" s="1170" t="s">
        <v>2254</v>
      </c>
      <c r="G121" s="1170">
        <v>9900104075</v>
      </c>
      <c r="H121" s="1170" t="s">
        <v>2255</v>
      </c>
      <c r="I121" s="2903" t="s">
        <v>2779</v>
      </c>
      <c r="J121" s="2803" t="s">
        <v>73</v>
      </c>
      <c r="K121" s="2803" t="s">
        <v>138</v>
      </c>
      <c r="L121" s="1170" t="s">
        <v>2257</v>
      </c>
      <c r="M121" s="2832" t="s">
        <v>1166</v>
      </c>
      <c r="N121" s="1170">
        <v>57000</v>
      </c>
      <c r="O121" s="2726" t="s">
        <v>7</v>
      </c>
      <c r="P121" s="1170" t="s">
        <v>7</v>
      </c>
      <c r="Q121" s="2825">
        <v>1</v>
      </c>
      <c r="R121" s="1155" t="s">
        <v>2258</v>
      </c>
      <c r="S121" s="2832" t="s">
        <v>2259</v>
      </c>
      <c r="T121" s="1176">
        <v>57000</v>
      </c>
      <c r="U121" s="1176" t="s">
        <v>7</v>
      </c>
      <c r="V121" s="1158">
        <f>Table6268934567910[[#This Row],[Offer Value]]-Table6268934567910[[#This Row],[PO Value]]</f>
        <v>0</v>
      </c>
      <c r="W121" s="2726"/>
      <c r="X121" s="1178"/>
      <c r="Y121" s="1178" t="s">
        <v>1300</v>
      </c>
      <c r="AB121" s="1542"/>
    </row>
    <row r="122" spans="1:28" s="1318" customFormat="1" ht="15.6">
      <c r="A122" s="1170"/>
      <c r="B122" s="1170"/>
      <c r="C122" s="2726" t="s">
        <v>614</v>
      </c>
      <c r="D122" s="2726" t="s">
        <v>2252</v>
      </c>
      <c r="E122" s="2726" t="s">
        <v>2253</v>
      </c>
      <c r="F122" s="2842" t="s">
        <v>2254</v>
      </c>
      <c r="G122" s="2842">
        <v>9900104075</v>
      </c>
      <c r="H122" s="2842" t="s">
        <v>2255</v>
      </c>
      <c r="I122" s="2903" t="s">
        <v>2615</v>
      </c>
      <c r="J122" s="2875" t="s">
        <v>73</v>
      </c>
      <c r="K122" s="2875" t="s">
        <v>138</v>
      </c>
      <c r="L122" s="2726" t="s">
        <v>2257</v>
      </c>
      <c r="M122" s="2726" t="s">
        <v>1166</v>
      </c>
      <c r="N122" s="2726">
        <v>57000</v>
      </c>
      <c r="O122" s="2726" t="s">
        <v>7</v>
      </c>
      <c r="P122" s="2726" t="s">
        <v>7</v>
      </c>
      <c r="Q122" s="2821">
        <v>1</v>
      </c>
      <c r="R122" s="1156" t="s">
        <v>2258</v>
      </c>
      <c r="S122" s="2918" t="s">
        <v>2259</v>
      </c>
      <c r="T122" s="2835">
        <v>57000</v>
      </c>
      <c r="U122" s="2835" t="s">
        <v>7</v>
      </c>
      <c r="V122" s="1158">
        <f>Table6268934567910[[#This Row],[Offer Value]]-Table6268934567910[[#This Row],[PO Value]]</f>
        <v>0</v>
      </c>
      <c r="W122" s="2726"/>
      <c r="X122" s="1176"/>
      <c r="Y122" s="1178" t="s">
        <v>1300</v>
      </c>
      <c r="AB122" s="1542"/>
    </row>
    <row r="123" spans="1:28" s="1318" customFormat="1" ht="15.6">
      <c r="A123" s="1170"/>
      <c r="B123" s="1170"/>
      <c r="C123" s="1170" t="s">
        <v>614</v>
      </c>
      <c r="D123" s="1170" t="s">
        <v>2252</v>
      </c>
      <c r="E123" s="1170" t="s">
        <v>2253</v>
      </c>
      <c r="F123" s="1170" t="s">
        <v>2254</v>
      </c>
      <c r="G123" s="1170">
        <v>9900104075</v>
      </c>
      <c r="H123" s="1170" t="s">
        <v>2255</v>
      </c>
      <c r="I123" s="2903" t="s">
        <v>2780</v>
      </c>
      <c r="J123" s="2803" t="s">
        <v>73</v>
      </c>
      <c r="K123" s="2803" t="s">
        <v>138</v>
      </c>
      <c r="L123" s="1170" t="s">
        <v>2257</v>
      </c>
      <c r="M123" s="1170" t="s">
        <v>1166</v>
      </c>
      <c r="N123" s="1170">
        <v>57000</v>
      </c>
      <c r="O123" s="2726" t="s">
        <v>7</v>
      </c>
      <c r="P123" s="1170" t="s">
        <v>7</v>
      </c>
      <c r="Q123" s="2825">
        <v>1</v>
      </c>
      <c r="R123" s="1155" t="s">
        <v>2258</v>
      </c>
      <c r="S123" s="2832" t="s">
        <v>2259</v>
      </c>
      <c r="T123" s="1176">
        <v>57000</v>
      </c>
      <c r="U123" s="1176" t="s">
        <v>7</v>
      </c>
      <c r="V123" s="1158">
        <f>Table6268934567910[[#This Row],[Offer Value]]-Table6268934567910[[#This Row],[PO Value]]</f>
        <v>0</v>
      </c>
      <c r="W123" s="2726"/>
      <c r="X123" s="1176"/>
      <c r="Y123" s="1178" t="s">
        <v>1300</v>
      </c>
      <c r="AB123" s="1542"/>
    </row>
    <row r="124" spans="1:28" s="1318" customFormat="1" ht="15.6">
      <c r="A124" s="1192"/>
      <c r="B124" s="1203"/>
      <c r="C124" s="1219" t="s">
        <v>614</v>
      </c>
      <c r="D124" s="1219" t="s">
        <v>2252</v>
      </c>
      <c r="E124" s="1219" t="s">
        <v>2427</v>
      </c>
      <c r="F124" s="1219" t="s">
        <v>2428</v>
      </c>
      <c r="G124" s="1219">
        <v>8147347034</v>
      </c>
      <c r="H124" s="1229" t="s">
        <v>2429</v>
      </c>
      <c r="I124" s="1217" t="s">
        <v>2781</v>
      </c>
      <c r="J124" s="1219" t="s">
        <v>73</v>
      </c>
      <c r="K124" s="1219" t="s">
        <v>138</v>
      </c>
      <c r="L124" s="1198" t="s">
        <v>2431</v>
      </c>
      <c r="M124" s="1230">
        <v>45172</v>
      </c>
      <c r="N124" s="1220">
        <v>58000</v>
      </c>
      <c r="O124" s="1211" t="s">
        <v>7</v>
      </c>
      <c r="P124" s="1211" t="s">
        <v>2432</v>
      </c>
      <c r="Q124" s="2823">
        <v>1</v>
      </c>
      <c r="R124" s="1201" t="s">
        <v>2433</v>
      </c>
      <c r="S124" s="1228">
        <v>45056</v>
      </c>
      <c r="T124" s="1189">
        <v>58000</v>
      </c>
      <c r="U124" s="1211" t="s">
        <v>2432</v>
      </c>
      <c r="V124" s="1158">
        <f>Table6268934567910[[#This Row],[Offer Value]]-Table6268934567910[[#This Row],[PO Value]]</f>
        <v>0</v>
      </c>
      <c r="W124" s="1183"/>
      <c r="X124" s="1231"/>
      <c r="Y124" s="1183"/>
      <c r="Z124" s="1318" t="s">
        <v>157</v>
      </c>
      <c r="AA124" s="1318" t="s">
        <v>157</v>
      </c>
      <c r="AB124" s="1542"/>
    </row>
    <row r="125" spans="1:28" s="1318" customFormat="1" ht="15.6">
      <c r="A125" s="1192"/>
      <c r="B125" s="1203"/>
      <c r="C125" s="1204" t="s">
        <v>614</v>
      </c>
      <c r="D125" s="1253" t="s">
        <v>2252</v>
      </c>
      <c r="E125" s="1253" t="s">
        <v>2427</v>
      </c>
      <c r="F125" s="1253" t="s">
        <v>2428</v>
      </c>
      <c r="G125" s="1253">
        <v>8147347034</v>
      </c>
      <c r="H125" s="2863" t="s">
        <v>2429</v>
      </c>
      <c r="I125" s="1217" t="s">
        <v>2782</v>
      </c>
      <c r="J125" s="1204" t="s">
        <v>73</v>
      </c>
      <c r="K125" s="1204" t="s">
        <v>138</v>
      </c>
      <c r="L125" s="1208" t="s">
        <v>2431</v>
      </c>
      <c r="M125" s="1227">
        <v>45172</v>
      </c>
      <c r="N125" s="1189">
        <v>58000</v>
      </c>
      <c r="O125" s="1211" t="s">
        <v>7</v>
      </c>
      <c r="P125" s="1211" t="s">
        <v>2432</v>
      </c>
      <c r="Q125" s="2824">
        <v>1</v>
      </c>
      <c r="R125" s="1201" t="s">
        <v>2433</v>
      </c>
      <c r="S125" s="1228">
        <v>45056</v>
      </c>
      <c r="T125" s="1189">
        <v>58000</v>
      </c>
      <c r="U125" s="1211" t="s">
        <v>2432</v>
      </c>
      <c r="V125" s="1158">
        <f>Table6268934567910[[#This Row],[Offer Value]]-Table6268934567910[[#This Row],[PO Value]]</f>
        <v>0</v>
      </c>
      <c r="W125" s="1183"/>
      <c r="X125" s="1231"/>
      <c r="Y125" s="1183"/>
      <c r="Z125" s="1318" t="s">
        <v>208</v>
      </c>
      <c r="AA125" s="1318" t="s">
        <v>208</v>
      </c>
      <c r="AB125" s="1542"/>
    </row>
    <row r="126" spans="1:28" ht="15.6">
      <c r="A126" s="1192"/>
      <c r="B126" s="1203"/>
      <c r="C126" s="1247" t="s">
        <v>614</v>
      </c>
      <c r="D126" s="1247" t="s">
        <v>2252</v>
      </c>
      <c r="E126" s="1247" t="s">
        <v>2427</v>
      </c>
      <c r="F126" s="1247" t="s">
        <v>2428</v>
      </c>
      <c r="G126" s="1247">
        <v>8147347034</v>
      </c>
      <c r="H126" s="2864" t="s">
        <v>2429</v>
      </c>
      <c r="I126" s="2798" t="s">
        <v>2783</v>
      </c>
      <c r="J126" s="1194" t="s">
        <v>73</v>
      </c>
      <c r="K126" s="1194" t="s">
        <v>138</v>
      </c>
      <c r="L126" s="1198" t="s">
        <v>2431</v>
      </c>
      <c r="M126" s="1238">
        <v>45172</v>
      </c>
      <c r="N126" s="1220">
        <v>58000</v>
      </c>
      <c r="O126" s="1211" t="s">
        <v>7</v>
      </c>
      <c r="P126" s="1211" t="s">
        <v>2432</v>
      </c>
      <c r="Q126" s="2878">
        <v>1</v>
      </c>
      <c r="R126" s="1201" t="s">
        <v>2433</v>
      </c>
      <c r="S126" s="1228">
        <v>45056</v>
      </c>
      <c r="T126" s="1189">
        <v>58000</v>
      </c>
      <c r="U126" s="1211" t="s">
        <v>2432</v>
      </c>
      <c r="V126" s="1158">
        <f>Table6268934567910[[#This Row],[Offer Value]]-Table6268934567910[[#This Row],[PO Value]]</f>
        <v>0</v>
      </c>
      <c r="W126" s="1183"/>
      <c r="X126" s="1183"/>
      <c r="Y126" s="1231"/>
    </row>
    <row r="127" spans="1:28" ht="15.6">
      <c r="A127" s="1192"/>
      <c r="B127" s="1203"/>
      <c r="C127" s="2741" t="s">
        <v>614</v>
      </c>
      <c r="D127" s="2741" t="s">
        <v>2252</v>
      </c>
      <c r="E127" s="2741" t="s">
        <v>2387</v>
      </c>
      <c r="F127" s="2851" t="s">
        <v>2421</v>
      </c>
      <c r="G127" s="2851">
        <v>9483049074</v>
      </c>
      <c r="H127" s="2851" t="s">
        <v>2422</v>
      </c>
      <c r="I127" s="2798" t="s">
        <v>2784</v>
      </c>
      <c r="J127" s="2739" t="s">
        <v>73</v>
      </c>
      <c r="K127" s="2909" t="s">
        <v>138</v>
      </c>
      <c r="L127" s="1226" t="s">
        <v>2424</v>
      </c>
      <c r="M127" s="1194" t="s">
        <v>2425</v>
      </c>
      <c r="N127" s="1220">
        <v>59000</v>
      </c>
      <c r="O127" s="1211" t="s">
        <v>7</v>
      </c>
      <c r="P127" s="1211" t="s">
        <v>18</v>
      </c>
      <c r="Q127" s="1222">
        <v>1</v>
      </c>
      <c r="R127" s="1201" t="s">
        <v>2426</v>
      </c>
      <c r="S127" s="1228">
        <v>45293</v>
      </c>
      <c r="T127" s="1189">
        <v>59000</v>
      </c>
      <c r="U127" s="1211" t="s">
        <v>18</v>
      </c>
      <c r="V127" s="1158">
        <f>Table6268934567910[[#This Row],[Offer Value]]-Table6268934567910[[#This Row],[PO Value]]</f>
        <v>0</v>
      </c>
      <c r="W127" s="1183"/>
      <c r="X127" s="1183"/>
      <c r="Y127" s="1183"/>
    </row>
    <row r="128" spans="1:28" ht="15.6">
      <c r="A128" s="1192"/>
      <c r="B128" s="1203"/>
      <c r="C128" s="1205" t="s">
        <v>614</v>
      </c>
      <c r="D128" s="1205" t="s">
        <v>2252</v>
      </c>
      <c r="E128" s="1205" t="s">
        <v>2387</v>
      </c>
      <c r="F128" s="1223" t="s">
        <v>2421</v>
      </c>
      <c r="G128" s="1223">
        <v>9483049074</v>
      </c>
      <c r="H128" s="1223" t="s">
        <v>2422</v>
      </c>
      <c r="I128" s="1217" t="s">
        <v>2785</v>
      </c>
      <c r="J128" s="1214" t="s">
        <v>73</v>
      </c>
      <c r="K128" s="1214" t="s">
        <v>138</v>
      </c>
      <c r="L128" s="1208" t="s">
        <v>2424</v>
      </c>
      <c r="M128" s="1204" t="s">
        <v>2425</v>
      </c>
      <c r="N128" s="1189">
        <v>59000</v>
      </c>
      <c r="O128" s="1211" t="s">
        <v>7</v>
      </c>
      <c r="P128" s="1211" t="s">
        <v>18</v>
      </c>
      <c r="Q128" s="1210">
        <v>1</v>
      </c>
      <c r="R128" s="1201" t="s">
        <v>2426</v>
      </c>
      <c r="S128" s="1228">
        <v>45293</v>
      </c>
      <c r="T128" s="1189">
        <v>59000</v>
      </c>
      <c r="U128" s="1211" t="s">
        <v>18</v>
      </c>
      <c r="V128" s="1158">
        <f>Table6268934567910[[#This Row],[Offer Value]]-Table6268934567910[[#This Row],[PO Value]]</f>
        <v>0</v>
      </c>
      <c r="W128" s="1183"/>
      <c r="X128" s="1183"/>
      <c r="Y128" s="1183"/>
    </row>
    <row r="129" spans="1:28" ht="15.6">
      <c r="A129" s="1170"/>
      <c r="B129" s="1170"/>
      <c r="C129" s="2726" t="s">
        <v>614</v>
      </c>
      <c r="D129" s="2726" t="s">
        <v>2252</v>
      </c>
      <c r="E129" s="2736" t="s">
        <v>2277</v>
      </c>
      <c r="F129" s="1156" t="s">
        <v>2278</v>
      </c>
      <c r="G129" s="1156" t="s">
        <v>2279</v>
      </c>
      <c r="H129" s="1156" t="s">
        <v>2280</v>
      </c>
      <c r="I129" s="1156" t="s">
        <v>2786</v>
      </c>
      <c r="J129" s="2734" t="s">
        <v>73</v>
      </c>
      <c r="K129" s="2734" t="s">
        <v>138</v>
      </c>
      <c r="L129" s="2726" t="s">
        <v>2282</v>
      </c>
      <c r="M129" s="2811">
        <v>45478</v>
      </c>
      <c r="N129" s="2726">
        <v>59850</v>
      </c>
      <c r="O129" s="2726" t="s">
        <v>7</v>
      </c>
      <c r="P129" s="2726" t="s">
        <v>7</v>
      </c>
      <c r="Q129" s="2822">
        <v>1</v>
      </c>
      <c r="R129" s="1156" t="s">
        <v>2283</v>
      </c>
      <c r="S129" s="2918" t="s">
        <v>2284</v>
      </c>
      <c r="T129" s="2835">
        <v>59850</v>
      </c>
      <c r="U129" s="2835" t="s">
        <v>7</v>
      </c>
      <c r="V129" s="1158">
        <f>Table6268934567910[[#This Row],[Offer Value]]-Table6268934567910[[#This Row],[PO Value]]</f>
        <v>0</v>
      </c>
      <c r="W129" s="2726"/>
      <c r="X129" s="1176"/>
      <c r="Y129" s="1179">
        <v>45718</v>
      </c>
    </row>
    <row r="130" spans="1:28" s="1318" customFormat="1" ht="15.6">
      <c r="A130" s="1170"/>
      <c r="B130" s="1170"/>
      <c r="C130" s="1170" t="s">
        <v>614</v>
      </c>
      <c r="D130" s="1170" t="s">
        <v>2252</v>
      </c>
      <c r="E130" s="2735" t="s">
        <v>2277</v>
      </c>
      <c r="F130" s="1155" t="s">
        <v>2278</v>
      </c>
      <c r="G130" s="1155" t="s">
        <v>2279</v>
      </c>
      <c r="H130" s="1155" t="s">
        <v>2280</v>
      </c>
      <c r="I130" s="1155" t="s">
        <v>2787</v>
      </c>
      <c r="J130" s="2803" t="s">
        <v>73</v>
      </c>
      <c r="K130" s="2803" t="s">
        <v>138</v>
      </c>
      <c r="L130" s="1170" t="s">
        <v>2282</v>
      </c>
      <c r="M130" s="2813">
        <v>45478</v>
      </c>
      <c r="N130" s="1170">
        <v>59850</v>
      </c>
      <c r="O130" s="2726" t="s">
        <v>7</v>
      </c>
      <c r="P130" s="1170" t="s">
        <v>7</v>
      </c>
      <c r="Q130" s="2819">
        <v>1</v>
      </c>
      <c r="R130" s="1155" t="s">
        <v>2283</v>
      </c>
      <c r="S130" s="2832" t="s">
        <v>2284</v>
      </c>
      <c r="T130" s="1176">
        <v>59850</v>
      </c>
      <c r="U130" s="1176" t="s">
        <v>7</v>
      </c>
      <c r="V130" s="1158">
        <f>Table6268934567910[[#This Row],[Offer Value]]-Table6268934567910[[#This Row],[PO Value]]</f>
        <v>0</v>
      </c>
      <c r="W130" s="2726"/>
      <c r="X130" s="1176"/>
      <c r="Y130" s="1179">
        <v>45718</v>
      </c>
      <c r="AB130" s="1542"/>
    </row>
    <row r="131" spans="1:28" s="1318" customFormat="1" ht="15.6">
      <c r="A131" s="1391"/>
      <c r="B131" s="1393"/>
      <c r="C131" s="1460" t="s">
        <v>614</v>
      </c>
      <c r="D131" s="1393" t="s">
        <v>2252</v>
      </c>
      <c r="E131" s="1555" t="s">
        <v>2398</v>
      </c>
      <c r="F131" s="1315" t="s">
        <v>2399</v>
      </c>
      <c r="G131" s="1393">
        <v>9008097055</v>
      </c>
      <c r="H131" s="974" t="s">
        <v>2400</v>
      </c>
      <c r="I131" s="1393" t="s">
        <v>2788</v>
      </c>
      <c r="J131" s="1461" t="s">
        <v>73</v>
      </c>
      <c r="K131" s="1461" t="s">
        <v>812</v>
      </c>
      <c r="L131" s="1393" t="s">
        <v>2402</v>
      </c>
      <c r="M131" s="1397" t="s">
        <v>1757</v>
      </c>
      <c r="N131" s="1314">
        <v>59850</v>
      </c>
      <c r="O131" s="1315" t="s">
        <v>7</v>
      </c>
      <c r="P131" s="1315" t="s">
        <v>28</v>
      </c>
      <c r="Q131" s="1395">
        <v>0.8</v>
      </c>
      <c r="R131" s="1396">
        <v>4800086922</v>
      </c>
      <c r="S131" s="1397" t="s">
        <v>2403</v>
      </c>
      <c r="T131" s="1314">
        <v>59850</v>
      </c>
      <c r="U131" s="1315" t="s">
        <v>28</v>
      </c>
      <c r="V131" s="1316">
        <f>Table6268934567910[[#This Row],[Offer Value]]-Table6268934567910[[#This Row],[PO Value]]</f>
        <v>0</v>
      </c>
      <c r="W131" s="1317"/>
      <c r="X131" s="1317"/>
      <c r="Y131" s="1365"/>
      <c r="Z131" s="1318" t="s">
        <v>208</v>
      </c>
      <c r="AA131" s="1318" t="s">
        <v>208</v>
      </c>
      <c r="AB131" s="1542"/>
    </row>
    <row r="132" spans="1:28" s="1318" customFormat="1" ht="15.6">
      <c r="A132" s="1391"/>
      <c r="B132" s="1393"/>
      <c r="C132" s="1460" t="s">
        <v>614</v>
      </c>
      <c r="D132" s="1393" t="s">
        <v>2252</v>
      </c>
      <c r="E132" s="1393" t="s">
        <v>2398</v>
      </c>
      <c r="F132" s="1371" t="s">
        <v>2399</v>
      </c>
      <c r="G132" s="1367">
        <v>9008097055</v>
      </c>
      <c r="H132" s="1551" t="s">
        <v>2400</v>
      </c>
      <c r="I132" s="1393" t="s">
        <v>2789</v>
      </c>
      <c r="J132" s="1461" t="s">
        <v>73</v>
      </c>
      <c r="K132" s="1461" t="s">
        <v>812</v>
      </c>
      <c r="L132" s="1393" t="s">
        <v>2402</v>
      </c>
      <c r="M132" s="1397" t="s">
        <v>1757</v>
      </c>
      <c r="N132" s="1314">
        <v>59850</v>
      </c>
      <c r="O132" s="1315" t="s">
        <v>7</v>
      </c>
      <c r="P132" s="1315" t="s">
        <v>28</v>
      </c>
      <c r="Q132" s="1395">
        <v>0.8</v>
      </c>
      <c r="R132" s="1396">
        <v>4800086922</v>
      </c>
      <c r="S132" s="1397" t="s">
        <v>2403</v>
      </c>
      <c r="T132" s="1314">
        <v>59850</v>
      </c>
      <c r="U132" s="1315" t="s">
        <v>28</v>
      </c>
      <c r="V132" s="1316">
        <f>Table6268934567910[[#This Row],[Offer Value]]-Table6268934567910[[#This Row],[PO Value]]</f>
        <v>0</v>
      </c>
      <c r="W132" s="1317"/>
      <c r="X132" s="1317"/>
      <c r="Y132" s="1365"/>
      <c r="AB132" s="1542"/>
    </row>
    <row r="133" spans="1:28" s="1318" customFormat="1" ht="15.6">
      <c r="A133" s="1391"/>
      <c r="B133" s="1393"/>
      <c r="C133" s="1461" t="s">
        <v>614</v>
      </c>
      <c r="D133" s="1393" t="s">
        <v>2252</v>
      </c>
      <c r="E133" s="1393" t="s">
        <v>2523</v>
      </c>
      <c r="F133" s="1400" t="s">
        <v>2570</v>
      </c>
      <c r="G133" s="1400">
        <v>9972013197</v>
      </c>
      <c r="H133" s="1400" t="s">
        <v>2571</v>
      </c>
      <c r="I133" s="2761" t="s">
        <v>2790</v>
      </c>
      <c r="J133" s="1461" t="s">
        <v>73</v>
      </c>
      <c r="K133" s="1461" t="s">
        <v>138</v>
      </c>
      <c r="L133" s="1393" t="s">
        <v>2572</v>
      </c>
      <c r="M133" s="1397">
        <v>45481</v>
      </c>
      <c r="N133" s="1314">
        <v>59850</v>
      </c>
      <c r="O133" s="1315" t="s">
        <v>7</v>
      </c>
      <c r="P133" s="1315" t="s">
        <v>30</v>
      </c>
      <c r="Q133" s="1395">
        <v>1</v>
      </c>
      <c r="R133" s="2828" t="s">
        <v>2573</v>
      </c>
      <c r="S133" s="1397">
        <v>45996</v>
      </c>
      <c r="T133" s="2761">
        <v>59850</v>
      </c>
      <c r="U133" s="1315" t="s">
        <v>30</v>
      </c>
      <c r="V133" s="1316">
        <f>Table6268934567910[[#This Row],[Offer Value]]-Table6268934567910[[#This Row],[PO Value]]</f>
        <v>0</v>
      </c>
      <c r="W133" s="1399" t="s">
        <v>2355</v>
      </c>
      <c r="X133" s="1317"/>
      <c r="Y133" s="1317"/>
      <c r="AB133" s="1542"/>
    </row>
    <row r="134" spans="1:28" s="1318" customFormat="1" ht="15.6">
      <c r="A134" s="1391"/>
      <c r="B134" s="1392"/>
      <c r="C134" s="1461" t="s">
        <v>614</v>
      </c>
      <c r="D134" s="1393" t="s">
        <v>2252</v>
      </c>
      <c r="E134" s="1393" t="s">
        <v>2523</v>
      </c>
      <c r="F134" s="1400" t="s">
        <v>2570</v>
      </c>
      <c r="G134" s="1400">
        <v>9972013197</v>
      </c>
      <c r="H134" s="1400" t="s">
        <v>2571</v>
      </c>
      <c r="I134" s="1400" t="s">
        <v>2791</v>
      </c>
      <c r="J134" s="1368" t="s">
        <v>73</v>
      </c>
      <c r="K134" s="1368" t="s">
        <v>138</v>
      </c>
      <c r="L134" s="1393" t="s">
        <v>2572</v>
      </c>
      <c r="M134" s="1394">
        <v>45481</v>
      </c>
      <c r="N134" s="1314">
        <v>59850</v>
      </c>
      <c r="O134" s="1315" t="s">
        <v>7</v>
      </c>
      <c r="P134" s="1315" t="s">
        <v>30</v>
      </c>
      <c r="Q134" s="1395">
        <v>1</v>
      </c>
      <c r="R134" s="2828" t="s">
        <v>2573</v>
      </c>
      <c r="S134" s="1397">
        <v>45996</v>
      </c>
      <c r="T134" s="2761">
        <v>59850</v>
      </c>
      <c r="U134" s="1315" t="s">
        <v>30</v>
      </c>
      <c r="V134" s="1316">
        <f>Table6268934567910[[#This Row],[Offer Value]]-Table6268934567910[[#This Row],[PO Value]]</f>
        <v>0</v>
      </c>
      <c r="W134" s="1399" t="s">
        <v>2355</v>
      </c>
      <c r="X134" s="1317"/>
      <c r="Y134" s="1468"/>
      <c r="AB134" s="1542"/>
    </row>
    <row r="135" spans="1:28" ht="15.6">
      <c r="A135" s="702"/>
      <c r="B135" s="717"/>
      <c r="C135" s="705" t="s">
        <v>178</v>
      </c>
      <c r="D135" s="703" t="s">
        <v>2252</v>
      </c>
      <c r="E135" s="712" t="s">
        <v>954</v>
      </c>
      <c r="F135" s="2042" t="s">
        <v>2584</v>
      </c>
      <c r="G135" s="2042">
        <v>9844121404</v>
      </c>
      <c r="H135" s="2042" t="s">
        <v>2585</v>
      </c>
      <c r="I135" s="2843" t="s">
        <v>2675</v>
      </c>
      <c r="J135" s="705" t="s">
        <v>73</v>
      </c>
      <c r="K135" s="705" t="s">
        <v>138</v>
      </c>
      <c r="L135" s="703" t="s">
        <v>2587</v>
      </c>
      <c r="M135" s="701" t="s">
        <v>2588</v>
      </c>
      <c r="N135" s="700">
        <v>60000</v>
      </c>
      <c r="O135" s="697" t="s">
        <v>30</v>
      </c>
      <c r="P135" s="697" t="s">
        <v>37</v>
      </c>
      <c r="Q135" s="707">
        <v>1</v>
      </c>
      <c r="R135" s="691">
        <v>4200342890</v>
      </c>
      <c r="S135" s="701">
        <v>45817</v>
      </c>
      <c r="T135" s="697">
        <v>60000</v>
      </c>
      <c r="U135" s="697" t="s">
        <v>49</v>
      </c>
      <c r="V135" s="692">
        <f>Table6268934567910[[#This Row],[Offer Value]]-Table6268934567910[[#This Row],[PO Value]]</f>
        <v>0</v>
      </c>
      <c r="W135" s="703"/>
      <c r="X135" s="703"/>
      <c r="Y135" s="702"/>
      <c r="Z135" s="171" t="s">
        <v>208</v>
      </c>
    </row>
    <row r="136" spans="1:28" ht="15.6">
      <c r="A136" s="702"/>
      <c r="B136" s="717"/>
      <c r="C136" s="705" t="s">
        <v>178</v>
      </c>
      <c r="D136" s="703" t="s">
        <v>2252</v>
      </c>
      <c r="E136" s="712" t="s">
        <v>954</v>
      </c>
      <c r="F136" s="806" t="s">
        <v>2584</v>
      </c>
      <c r="G136" s="806">
        <v>9844121404</v>
      </c>
      <c r="H136" s="806" t="s">
        <v>2585</v>
      </c>
      <c r="I136" s="705" t="s">
        <v>2792</v>
      </c>
      <c r="J136" s="705" t="s">
        <v>73</v>
      </c>
      <c r="K136" s="705" t="s">
        <v>138</v>
      </c>
      <c r="L136" s="703" t="s">
        <v>2587</v>
      </c>
      <c r="M136" s="701" t="s">
        <v>2588</v>
      </c>
      <c r="N136" s="700">
        <v>60000</v>
      </c>
      <c r="O136" s="697" t="s">
        <v>30</v>
      </c>
      <c r="P136" s="697" t="s">
        <v>37</v>
      </c>
      <c r="Q136" s="707">
        <v>1</v>
      </c>
      <c r="R136" s="691">
        <v>4200342890</v>
      </c>
      <c r="S136" s="701">
        <v>45817</v>
      </c>
      <c r="T136" s="697">
        <v>60000</v>
      </c>
      <c r="U136" s="697" t="s">
        <v>49</v>
      </c>
      <c r="V136" s="692">
        <f>Table6268934567910[[#This Row],[Offer Value]]-Table6268934567910[[#This Row],[PO Value]]</f>
        <v>0</v>
      </c>
      <c r="W136" s="703"/>
      <c r="X136" s="703"/>
      <c r="Y136" s="722"/>
      <c r="Z136" s="171" t="s">
        <v>208</v>
      </c>
    </row>
    <row r="137" spans="1:28" s="1318" customFormat="1" ht="15.6">
      <c r="A137" s="702"/>
      <c r="B137" s="703"/>
      <c r="C137" s="703" t="s">
        <v>614</v>
      </c>
      <c r="D137" s="703" t="s">
        <v>2252</v>
      </c>
      <c r="E137" s="712" t="s">
        <v>2488</v>
      </c>
      <c r="F137" s="690" t="s">
        <v>2489</v>
      </c>
      <c r="G137" s="718">
        <v>9681203773</v>
      </c>
      <c r="H137" s="2630" t="s">
        <v>2490</v>
      </c>
      <c r="I137" s="718" t="s">
        <v>2793</v>
      </c>
      <c r="J137" s="705" t="s">
        <v>73</v>
      </c>
      <c r="K137" s="705" t="s">
        <v>138</v>
      </c>
      <c r="L137" s="703" t="s">
        <v>2492</v>
      </c>
      <c r="M137" s="701" t="s">
        <v>2371</v>
      </c>
      <c r="N137" s="700">
        <v>61000</v>
      </c>
      <c r="O137" s="697" t="s">
        <v>25</v>
      </c>
      <c r="P137" s="697" t="s">
        <v>47</v>
      </c>
      <c r="Q137" s="707">
        <v>0.9</v>
      </c>
      <c r="R137" s="690"/>
      <c r="S137" s="716"/>
      <c r="T137" s="690"/>
      <c r="U137" s="697" t="s">
        <v>49</v>
      </c>
      <c r="V137" s="692">
        <f>Table6268934567910[[#This Row],[Offer Value]]-Table6268934567910[[#This Row],[PO Value]]</f>
        <v>61000</v>
      </c>
      <c r="W137" s="706"/>
      <c r="X137" s="706"/>
      <c r="Y137" s="706"/>
      <c r="AB137" s="1542"/>
    </row>
    <row r="138" spans="1:28" s="1318" customFormat="1" ht="15.6">
      <c r="A138" s="702"/>
      <c r="B138" s="703"/>
      <c r="C138" s="703" t="s">
        <v>614</v>
      </c>
      <c r="D138" s="703" t="s">
        <v>2252</v>
      </c>
      <c r="E138" s="712" t="s">
        <v>2488</v>
      </c>
      <c r="F138" s="690" t="s">
        <v>2489</v>
      </c>
      <c r="G138" s="718">
        <v>9681203773</v>
      </c>
      <c r="H138" s="2630" t="s">
        <v>2490</v>
      </c>
      <c r="I138" s="718" t="s">
        <v>2794</v>
      </c>
      <c r="J138" s="705" t="s">
        <v>73</v>
      </c>
      <c r="K138" s="705" t="s">
        <v>138</v>
      </c>
      <c r="L138" s="703" t="s">
        <v>2492</v>
      </c>
      <c r="M138" s="701" t="s">
        <v>2371</v>
      </c>
      <c r="N138" s="700">
        <v>61000</v>
      </c>
      <c r="O138" s="697" t="s">
        <v>25</v>
      </c>
      <c r="P138" s="697" t="s">
        <v>47</v>
      </c>
      <c r="Q138" s="707">
        <v>0.9</v>
      </c>
      <c r="R138" s="690"/>
      <c r="S138" s="716"/>
      <c r="T138" s="690"/>
      <c r="U138" s="697" t="s">
        <v>49</v>
      </c>
      <c r="V138" s="692">
        <f>Table6268934567910[[#This Row],[Offer Value]]-Table6268934567910[[#This Row],[PO Value]]</f>
        <v>61000</v>
      </c>
      <c r="W138" s="706"/>
      <c r="X138" s="706"/>
      <c r="Y138" s="706"/>
      <c r="AB138" s="1542"/>
    </row>
    <row r="139" spans="1:28" s="1318" customFormat="1" ht="15.6">
      <c r="A139" s="807"/>
      <c r="B139" s="807"/>
      <c r="C139" s="808" t="s">
        <v>614</v>
      </c>
      <c r="D139" s="808" t="s">
        <v>2252</v>
      </c>
      <c r="E139" s="809" t="s">
        <v>2348</v>
      </c>
      <c r="F139" s="2766" t="s">
        <v>2349</v>
      </c>
      <c r="G139" s="2766" t="s">
        <v>2350</v>
      </c>
      <c r="H139" s="2782" t="s">
        <v>2351</v>
      </c>
      <c r="I139" s="2766" t="s">
        <v>2795</v>
      </c>
      <c r="J139" s="812" t="s">
        <v>73</v>
      </c>
      <c r="K139" s="812" t="s">
        <v>138</v>
      </c>
      <c r="L139" s="813" t="s">
        <v>2353</v>
      </c>
      <c r="M139" s="2910">
        <v>45638</v>
      </c>
      <c r="N139" s="808"/>
      <c r="O139" s="808"/>
      <c r="P139" s="801"/>
      <c r="Q139" s="814"/>
      <c r="R139" s="2917"/>
      <c r="S139" s="815"/>
      <c r="T139" s="2919"/>
      <c r="U139" s="807"/>
      <c r="V139" s="692">
        <f>Table6268934567910[[#This Row],[Offer Value]]-Table6268934567910[[#This Row],[PO Value]]</f>
        <v>0</v>
      </c>
      <c r="W139" s="801"/>
      <c r="X139" s="807"/>
      <c r="Y139" s="816"/>
      <c r="AB139" s="1542"/>
    </row>
    <row r="140" spans="1:28" s="1318" customFormat="1" ht="15.6">
      <c r="A140" s="1317"/>
      <c r="B140" s="1393"/>
      <c r="C140" s="1393" t="s">
        <v>614</v>
      </c>
      <c r="D140" s="1393" t="s">
        <v>2252</v>
      </c>
      <c r="E140" s="2747" t="s">
        <v>2564</v>
      </c>
      <c r="F140" s="1315" t="s">
        <v>2717</v>
      </c>
      <c r="G140" s="2632">
        <v>8022195605</v>
      </c>
      <c r="H140" s="2632" t="s">
        <v>2718</v>
      </c>
      <c r="I140" s="2752" t="s">
        <v>2796</v>
      </c>
      <c r="J140" s="1690" t="s">
        <v>73</v>
      </c>
      <c r="K140" s="2921" t="s">
        <v>138</v>
      </c>
      <c r="L140" s="2781" t="s">
        <v>2720</v>
      </c>
      <c r="M140" s="2351">
        <v>45933</v>
      </c>
      <c r="N140" s="1314">
        <v>61440</v>
      </c>
      <c r="O140" s="2241" t="s">
        <v>47</v>
      </c>
      <c r="P140" s="1315" t="s">
        <v>62</v>
      </c>
      <c r="Q140" s="1395">
        <v>1</v>
      </c>
      <c r="R140" s="1467">
        <v>4800091857</v>
      </c>
      <c r="S140" s="1545" t="s">
        <v>2721</v>
      </c>
      <c r="T140" s="1314">
        <v>61440</v>
      </c>
      <c r="U140" s="1315" t="s">
        <v>49</v>
      </c>
      <c r="V140" s="2839">
        <f>Table6268934567910[[#This Row],[Offer Value]]-Table6268934567910[[#This Row],[PO Value]]</f>
        <v>0</v>
      </c>
      <c r="W140" s="1317"/>
      <c r="X140" s="1317"/>
      <c r="Y140" s="1468"/>
      <c r="AB140" s="1542"/>
    </row>
    <row r="141" spans="1:28" s="1318" customFormat="1" ht="15.6">
      <c r="A141" s="1317"/>
      <c r="B141" s="1393"/>
      <c r="C141" s="1393" t="s">
        <v>614</v>
      </c>
      <c r="D141" s="1555" t="s">
        <v>2252</v>
      </c>
      <c r="E141" s="1467" t="s">
        <v>2564</v>
      </c>
      <c r="F141" s="1467" t="s">
        <v>2717</v>
      </c>
      <c r="G141" s="2922">
        <v>8022195605</v>
      </c>
      <c r="H141" s="2922" t="s">
        <v>2718</v>
      </c>
      <c r="I141" s="2750" t="s">
        <v>2797</v>
      </c>
      <c r="J141" s="1960" t="s">
        <v>73</v>
      </c>
      <c r="K141" s="1461" t="s">
        <v>138</v>
      </c>
      <c r="L141" s="2781" t="s">
        <v>2720</v>
      </c>
      <c r="M141" s="2923">
        <v>45933</v>
      </c>
      <c r="N141" s="1314">
        <v>61440</v>
      </c>
      <c r="O141" s="2241" t="s">
        <v>47</v>
      </c>
      <c r="P141" s="1315" t="s">
        <v>62</v>
      </c>
      <c r="Q141" s="1395">
        <v>1</v>
      </c>
      <c r="R141" s="1467">
        <v>4800091857</v>
      </c>
      <c r="S141" s="1545" t="s">
        <v>2721</v>
      </c>
      <c r="T141" s="1314">
        <v>61440</v>
      </c>
      <c r="U141" s="1315" t="s">
        <v>49</v>
      </c>
      <c r="V141" s="2839">
        <f>Table6268934567910[[#This Row],[Offer Value]]-Table6268934567910[[#This Row],[PO Value]]</f>
        <v>0</v>
      </c>
      <c r="W141" s="1317"/>
      <c r="X141" s="1317"/>
      <c r="Y141" s="1468"/>
      <c r="AB141" s="1542"/>
    </row>
    <row r="142" spans="1:28" s="1318" customFormat="1" ht="15.6">
      <c r="A142" s="1317"/>
      <c r="B142" s="1393"/>
      <c r="C142" s="1393" t="s">
        <v>614</v>
      </c>
      <c r="D142" s="1555" t="s">
        <v>2252</v>
      </c>
      <c r="E142" s="1467" t="s">
        <v>2564</v>
      </c>
      <c r="F142" s="1467" t="s">
        <v>2717</v>
      </c>
      <c r="G142" s="2922">
        <v>8022195605</v>
      </c>
      <c r="H142" s="2922" t="s">
        <v>2718</v>
      </c>
      <c r="I142" s="2746" t="s">
        <v>2798</v>
      </c>
      <c r="J142" s="2924" t="s">
        <v>73</v>
      </c>
      <c r="K142" s="1368" t="s">
        <v>138</v>
      </c>
      <c r="L142" s="2781" t="s">
        <v>2720</v>
      </c>
      <c r="M142" s="2351">
        <v>45933</v>
      </c>
      <c r="N142" s="1314">
        <v>61440</v>
      </c>
      <c r="O142" s="2241" t="s">
        <v>47</v>
      </c>
      <c r="P142" s="1315" t="s">
        <v>62</v>
      </c>
      <c r="Q142" s="1395">
        <v>1</v>
      </c>
      <c r="R142" s="1467">
        <v>4800091857</v>
      </c>
      <c r="S142" s="1545" t="s">
        <v>2721</v>
      </c>
      <c r="T142" s="1314">
        <v>61440</v>
      </c>
      <c r="U142" s="1315" t="s">
        <v>49</v>
      </c>
      <c r="V142" s="2839">
        <f>Table6268934567910[[#This Row],[Offer Value]]-Table6268934567910[[#This Row],[PO Value]]</f>
        <v>0</v>
      </c>
      <c r="W142" s="1317"/>
      <c r="X142" s="1317"/>
      <c r="Y142" s="1468"/>
      <c r="AB142" s="1542"/>
    </row>
    <row r="143" spans="1:28" s="1318" customFormat="1" ht="15.6">
      <c r="A143" s="1317"/>
      <c r="B143" s="1393"/>
      <c r="C143" s="1393" t="s">
        <v>614</v>
      </c>
      <c r="D143" s="1393" t="s">
        <v>2252</v>
      </c>
      <c r="E143" s="2747" t="s">
        <v>2564</v>
      </c>
      <c r="F143" s="2754" t="s">
        <v>2717</v>
      </c>
      <c r="G143" s="2852">
        <v>8022195605</v>
      </c>
      <c r="H143" s="2852" t="s">
        <v>2718</v>
      </c>
      <c r="I143" s="2753" t="s">
        <v>2799</v>
      </c>
      <c r="J143" s="1960" t="s">
        <v>73</v>
      </c>
      <c r="K143" s="1461" t="s">
        <v>138</v>
      </c>
      <c r="L143" s="2781" t="s">
        <v>2720</v>
      </c>
      <c r="M143" s="2923">
        <v>45933</v>
      </c>
      <c r="N143" s="1314">
        <v>61440</v>
      </c>
      <c r="O143" s="2241" t="s">
        <v>47</v>
      </c>
      <c r="P143" s="1315" t="s">
        <v>62</v>
      </c>
      <c r="Q143" s="1395">
        <v>1</v>
      </c>
      <c r="R143" s="1467">
        <v>4800091857</v>
      </c>
      <c r="S143" s="1545" t="s">
        <v>2721</v>
      </c>
      <c r="T143" s="1314">
        <v>61440</v>
      </c>
      <c r="U143" s="1315" t="s">
        <v>49</v>
      </c>
      <c r="V143" s="2839">
        <f>Table6268934567910[[#This Row],[Offer Value]]-Table6268934567910[[#This Row],[PO Value]]</f>
        <v>0</v>
      </c>
      <c r="W143" s="1317"/>
      <c r="X143" s="1317"/>
      <c r="Y143" s="1468"/>
      <c r="AB143" s="1542"/>
    </row>
    <row r="144" spans="1:28" s="1318" customFormat="1" ht="15.6">
      <c r="A144" s="1317"/>
      <c r="B144" s="1393"/>
      <c r="C144" s="1393" t="s">
        <v>614</v>
      </c>
      <c r="D144" s="1393" t="s">
        <v>2252</v>
      </c>
      <c r="E144" s="2747" t="s">
        <v>2564</v>
      </c>
      <c r="F144" s="2754" t="s">
        <v>2717</v>
      </c>
      <c r="G144" s="2852">
        <v>8022195605</v>
      </c>
      <c r="H144" s="2852" t="s">
        <v>2718</v>
      </c>
      <c r="I144" s="2752" t="s">
        <v>2800</v>
      </c>
      <c r="J144" s="1960" t="s">
        <v>73</v>
      </c>
      <c r="K144" s="1461" t="s">
        <v>138</v>
      </c>
      <c r="L144" s="2781" t="s">
        <v>2720</v>
      </c>
      <c r="M144" s="2923">
        <v>45933</v>
      </c>
      <c r="N144" s="1314">
        <v>61440</v>
      </c>
      <c r="O144" s="2241" t="s">
        <v>47</v>
      </c>
      <c r="P144" s="1315" t="s">
        <v>62</v>
      </c>
      <c r="Q144" s="1395">
        <v>1</v>
      </c>
      <c r="R144" s="1467">
        <v>4800091857</v>
      </c>
      <c r="S144" s="1545" t="s">
        <v>2721</v>
      </c>
      <c r="T144" s="1314">
        <v>61440</v>
      </c>
      <c r="U144" s="1315" t="s">
        <v>49</v>
      </c>
      <c r="V144" s="2839">
        <f>Table6268934567910[[#This Row],[Offer Value]]-Table6268934567910[[#This Row],[PO Value]]</f>
        <v>0</v>
      </c>
      <c r="W144" s="1317"/>
      <c r="X144" s="1317"/>
      <c r="Y144" s="1468"/>
      <c r="AB144" s="1542"/>
    </row>
    <row r="145" spans="1:28" s="1318" customFormat="1" ht="15.6">
      <c r="A145" s="1317"/>
      <c r="B145" s="1393"/>
      <c r="C145" s="1393" t="s">
        <v>614</v>
      </c>
      <c r="D145" s="1393" t="s">
        <v>2252</v>
      </c>
      <c r="E145" s="2747" t="s">
        <v>2564</v>
      </c>
      <c r="F145" s="2754" t="s">
        <v>2717</v>
      </c>
      <c r="G145" s="2852">
        <v>8022195605</v>
      </c>
      <c r="H145" s="2852" t="s">
        <v>2718</v>
      </c>
      <c r="I145" s="2753" t="s">
        <v>2602</v>
      </c>
      <c r="J145" s="1960" t="s">
        <v>73</v>
      </c>
      <c r="K145" s="1461" t="s">
        <v>138</v>
      </c>
      <c r="L145" s="2781" t="s">
        <v>2720</v>
      </c>
      <c r="M145" s="2923">
        <v>45933</v>
      </c>
      <c r="N145" s="1314">
        <v>61440</v>
      </c>
      <c r="O145" s="2241" t="s">
        <v>47</v>
      </c>
      <c r="P145" s="1315" t="s">
        <v>62</v>
      </c>
      <c r="Q145" s="1395">
        <v>1</v>
      </c>
      <c r="R145" s="1467">
        <v>4800091857</v>
      </c>
      <c r="S145" s="1545" t="s">
        <v>2721</v>
      </c>
      <c r="T145" s="1314">
        <v>61440</v>
      </c>
      <c r="U145" s="1315" t="s">
        <v>49</v>
      </c>
      <c r="V145" s="2839">
        <f>Table6268934567910[[#This Row],[Offer Value]]-Table6268934567910[[#This Row],[PO Value]]</f>
        <v>0</v>
      </c>
      <c r="W145" s="1317"/>
      <c r="X145" s="1317"/>
      <c r="Y145" s="1468"/>
      <c r="AB145" s="1542"/>
    </row>
    <row r="146" spans="1:28" s="1318" customFormat="1" ht="15.6">
      <c r="A146" s="1317"/>
      <c r="B146" s="1393"/>
      <c r="C146" s="1393" t="s">
        <v>614</v>
      </c>
      <c r="D146" s="1393" t="s">
        <v>2252</v>
      </c>
      <c r="E146" s="1467" t="s">
        <v>2564</v>
      </c>
      <c r="F146" s="1467" t="s">
        <v>2717</v>
      </c>
      <c r="G146" s="2922">
        <v>8022195605</v>
      </c>
      <c r="H146" s="2922" t="s">
        <v>2718</v>
      </c>
      <c r="I146" s="2752" t="s">
        <v>2801</v>
      </c>
      <c r="J146" s="1960" t="s">
        <v>73</v>
      </c>
      <c r="K146" s="1461" t="s">
        <v>138</v>
      </c>
      <c r="L146" s="2781" t="s">
        <v>2720</v>
      </c>
      <c r="M146" s="2351">
        <v>45933</v>
      </c>
      <c r="N146" s="1314">
        <v>61440</v>
      </c>
      <c r="O146" s="2241" t="s">
        <v>47</v>
      </c>
      <c r="P146" s="1315" t="s">
        <v>62</v>
      </c>
      <c r="Q146" s="1395">
        <v>1</v>
      </c>
      <c r="R146" s="1467">
        <v>4800091857</v>
      </c>
      <c r="S146" s="1545" t="s">
        <v>2721</v>
      </c>
      <c r="T146" s="1314">
        <v>61440</v>
      </c>
      <c r="U146" s="1315" t="s">
        <v>49</v>
      </c>
      <c r="V146" s="2839">
        <f>Table6268934567910[[#This Row],[Offer Value]]-Table6268934567910[[#This Row],[PO Value]]</f>
        <v>0</v>
      </c>
      <c r="W146" s="1317"/>
      <c r="X146" s="1317"/>
      <c r="Y146" s="1468"/>
      <c r="AB146" s="1542"/>
    </row>
    <row r="147" spans="1:28" s="1318" customFormat="1" ht="15.6">
      <c r="A147" s="1317"/>
      <c r="B147" s="1393"/>
      <c r="C147" s="1393" t="s">
        <v>614</v>
      </c>
      <c r="D147" s="1393" t="s">
        <v>2252</v>
      </c>
      <c r="E147" s="1467" t="s">
        <v>2564</v>
      </c>
      <c r="F147" s="1467" t="s">
        <v>2717</v>
      </c>
      <c r="G147" s="2922">
        <v>8022195605</v>
      </c>
      <c r="H147" s="2922" t="s">
        <v>2718</v>
      </c>
      <c r="I147" s="2753" t="s">
        <v>2802</v>
      </c>
      <c r="J147" s="1960" t="s">
        <v>73</v>
      </c>
      <c r="K147" s="1461" t="s">
        <v>138</v>
      </c>
      <c r="L147" s="2781" t="s">
        <v>2720</v>
      </c>
      <c r="M147" s="2351">
        <v>45933</v>
      </c>
      <c r="N147" s="1314">
        <v>61440</v>
      </c>
      <c r="O147" s="2241" t="s">
        <v>47</v>
      </c>
      <c r="P147" s="1315" t="s">
        <v>62</v>
      </c>
      <c r="Q147" s="1395">
        <v>1</v>
      </c>
      <c r="R147" s="1467">
        <v>4800091857</v>
      </c>
      <c r="S147" s="1545" t="s">
        <v>2721</v>
      </c>
      <c r="T147" s="1314">
        <v>61440</v>
      </c>
      <c r="U147" s="1315" t="s">
        <v>49</v>
      </c>
      <c r="V147" s="1963">
        <f>Table6268934567910[[#This Row],[Offer Value]]-Table6268934567910[[#This Row],[PO Value]]</f>
        <v>0</v>
      </c>
      <c r="W147" s="1317"/>
      <c r="X147" s="1317"/>
      <c r="Y147" s="1468"/>
      <c r="AB147" s="1542"/>
    </row>
    <row r="148" spans="1:28" s="1318" customFormat="1" ht="15.6">
      <c r="A148" s="1317"/>
      <c r="B148" s="1393"/>
      <c r="C148" s="1393" t="s">
        <v>614</v>
      </c>
      <c r="D148" s="1393" t="s">
        <v>2252</v>
      </c>
      <c r="E148" s="1467" t="s">
        <v>2564</v>
      </c>
      <c r="F148" s="1467" t="s">
        <v>2717</v>
      </c>
      <c r="G148" s="2922">
        <v>8022195605</v>
      </c>
      <c r="H148" s="2922" t="s">
        <v>2718</v>
      </c>
      <c r="I148" s="2752" t="s">
        <v>2803</v>
      </c>
      <c r="J148" s="1960" t="s">
        <v>73</v>
      </c>
      <c r="K148" s="1461" t="s">
        <v>138</v>
      </c>
      <c r="L148" s="2781" t="s">
        <v>2720</v>
      </c>
      <c r="M148" s="2351">
        <v>45933</v>
      </c>
      <c r="N148" s="1314">
        <v>61440</v>
      </c>
      <c r="O148" s="2241" t="s">
        <v>47</v>
      </c>
      <c r="P148" s="1315" t="s">
        <v>62</v>
      </c>
      <c r="Q148" s="1395">
        <v>1</v>
      </c>
      <c r="R148" s="1467">
        <v>4800091857</v>
      </c>
      <c r="S148" s="1545" t="s">
        <v>2721</v>
      </c>
      <c r="T148" s="1314">
        <v>61440</v>
      </c>
      <c r="U148" s="1315" t="s">
        <v>49</v>
      </c>
      <c r="V148" s="1963">
        <f>Table6268934567910[[#This Row],[Offer Value]]-Table6268934567910[[#This Row],[PO Value]]</f>
        <v>0</v>
      </c>
      <c r="W148" s="1317"/>
      <c r="X148" s="1317"/>
      <c r="Y148" s="1468"/>
      <c r="AB148" s="1542"/>
    </row>
    <row r="149" spans="1:28" s="1318" customFormat="1" ht="15.6">
      <c r="A149" s="1317"/>
      <c r="B149" s="1393"/>
      <c r="C149" s="1393" t="s">
        <v>614</v>
      </c>
      <c r="D149" s="1393" t="s">
        <v>2252</v>
      </c>
      <c r="E149" s="1315" t="s">
        <v>2564</v>
      </c>
      <c r="F149" s="1315" t="s">
        <v>2717</v>
      </c>
      <c r="G149" s="2632">
        <v>8022195605</v>
      </c>
      <c r="H149" s="2632" t="s">
        <v>2718</v>
      </c>
      <c r="I149" s="2753" t="s">
        <v>2804</v>
      </c>
      <c r="J149" s="1960" t="s">
        <v>73</v>
      </c>
      <c r="K149" s="1461" t="s">
        <v>138</v>
      </c>
      <c r="L149" s="2781" t="s">
        <v>2720</v>
      </c>
      <c r="M149" s="2351">
        <v>45933</v>
      </c>
      <c r="N149" s="1314">
        <v>61440</v>
      </c>
      <c r="O149" s="2241" t="s">
        <v>47</v>
      </c>
      <c r="P149" s="1315" t="s">
        <v>62</v>
      </c>
      <c r="Q149" s="1395">
        <v>1</v>
      </c>
      <c r="R149" s="1467">
        <v>4800091857</v>
      </c>
      <c r="S149" s="1545" t="s">
        <v>2721</v>
      </c>
      <c r="T149" s="1314">
        <v>61440</v>
      </c>
      <c r="U149" s="1315" t="s">
        <v>49</v>
      </c>
      <c r="V149" s="2839">
        <f>Table6268934567910[[#This Row],[Offer Value]]-Table6268934567910[[#This Row],[PO Value]]</f>
        <v>0</v>
      </c>
      <c r="W149" s="1317"/>
      <c r="X149" s="1317"/>
      <c r="Y149" s="1468"/>
      <c r="AB149" s="1542"/>
    </row>
    <row r="150" spans="1:28" s="1318" customFormat="1" ht="15.6">
      <c r="A150" s="1317"/>
      <c r="B150" s="1393"/>
      <c r="C150" s="1393" t="s">
        <v>614</v>
      </c>
      <c r="D150" s="1393" t="s">
        <v>2252</v>
      </c>
      <c r="E150" s="1467" t="s">
        <v>2564</v>
      </c>
      <c r="F150" s="1467" t="s">
        <v>2717</v>
      </c>
      <c r="G150" s="2922">
        <v>8022195605</v>
      </c>
      <c r="H150" s="2922" t="s">
        <v>2718</v>
      </c>
      <c r="I150" s="2752" t="s">
        <v>2805</v>
      </c>
      <c r="J150" s="1690" t="s">
        <v>73</v>
      </c>
      <c r="K150" s="1461" t="s">
        <v>138</v>
      </c>
      <c r="L150" s="2781" t="s">
        <v>2720</v>
      </c>
      <c r="M150" s="2351">
        <v>45933</v>
      </c>
      <c r="N150" s="1314">
        <v>61440</v>
      </c>
      <c r="O150" s="2241" t="s">
        <v>47</v>
      </c>
      <c r="P150" s="1315" t="s">
        <v>62</v>
      </c>
      <c r="Q150" s="1395">
        <v>1</v>
      </c>
      <c r="R150" s="1467">
        <v>4800091857</v>
      </c>
      <c r="S150" s="1545" t="s">
        <v>2721</v>
      </c>
      <c r="T150" s="1314">
        <v>61440</v>
      </c>
      <c r="U150" s="1315" t="s">
        <v>49</v>
      </c>
      <c r="V150" s="2839">
        <f>Table6268934567910[[#This Row],[Offer Value]]-Table6268934567910[[#This Row],[PO Value]]</f>
        <v>0</v>
      </c>
      <c r="W150" s="1317"/>
      <c r="X150" s="1317"/>
      <c r="Y150" s="1468"/>
      <c r="AB150" s="1542"/>
    </row>
    <row r="151" spans="1:28" s="1318" customFormat="1" ht="15.6">
      <c r="A151" s="1317"/>
      <c r="B151" s="1393"/>
      <c r="C151" s="1393" t="s">
        <v>614</v>
      </c>
      <c r="D151" s="1393" t="s">
        <v>2252</v>
      </c>
      <c r="E151" s="1467" t="s">
        <v>2564</v>
      </c>
      <c r="F151" s="1467" t="s">
        <v>2717</v>
      </c>
      <c r="G151" s="2922">
        <v>8022195605</v>
      </c>
      <c r="H151" s="2922" t="s">
        <v>2718</v>
      </c>
      <c r="I151" s="2753" t="s">
        <v>2806</v>
      </c>
      <c r="J151" s="1690" t="s">
        <v>73</v>
      </c>
      <c r="K151" s="1461" t="s">
        <v>138</v>
      </c>
      <c r="L151" s="2781" t="s">
        <v>2720</v>
      </c>
      <c r="M151" s="2351">
        <v>45933</v>
      </c>
      <c r="N151" s="1314">
        <v>61440</v>
      </c>
      <c r="O151" s="2241" t="s">
        <v>47</v>
      </c>
      <c r="P151" s="1315" t="s">
        <v>62</v>
      </c>
      <c r="Q151" s="1395">
        <v>1</v>
      </c>
      <c r="R151" s="1467">
        <v>4800091857</v>
      </c>
      <c r="S151" s="1545" t="s">
        <v>2721</v>
      </c>
      <c r="T151" s="1314">
        <v>61440</v>
      </c>
      <c r="U151" s="1315" t="s">
        <v>49</v>
      </c>
      <c r="V151" s="2839">
        <f>Table6268934567910[[#This Row],[Offer Value]]-Table6268934567910[[#This Row],[PO Value]]</f>
        <v>0</v>
      </c>
      <c r="W151" s="1317"/>
      <c r="X151" s="1317"/>
      <c r="Y151" s="1468"/>
      <c r="AB151" s="1542"/>
    </row>
    <row r="152" spans="1:28" s="1318" customFormat="1" ht="15.6">
      <c r="A152" s="1317"/>
      <c r="B152" s="1393"/>
      <c r="C152" s="1393" t="s">
        <v>614</v>
      </c>
      <c r="D152" s="1393" t="s">
        <v>2252</v>
      </c>
      <c r="E152" s="2747" t="s">
        <v>2564</v>
      </c>
      <c r="F152" s="1315" t="s">
        <v>2717</v>
      </c>
      <c r="G152" s="2632">
        <v>8022195605</v>
      </c>
      <c r="H152" s="2632" t="s">
        <v>2718</v>
      </c>
      <c r="I152" s="2752" t="s">
        <v>2807</v>
      </c>
      <c r="J152" s="1960" t="s">
        <v>73</v>
      </c>
      <c r="K152" s="1461" t="s">
        <v>138</v>
      </c>
      <c r="L152" s="2781" t="s">
        <v>2720</v>
      </c>
      <c r="M152" s="2923">
        <v>45933</v>
      </c>
      <c r="N152" s="1314">
        <v>61440</v>
      </c>
      <c r="O152" s="2241" t="s">
        <v>47</v>
      </c>
      <c r="P152" s="1315" t="s">
        <v>62</v>
      </c>
      <c r="Q152" s="1395">
        <v>1</v>
      </c>
      <c r="R152" s="1467">
        <v>4800091857</v>
      </c>
      <c r="S152" s="1545" t="s">
        <v>2721</v>
      </c>
      <c r="T152" s="1314">
        <v>61440</v>
      </c>
      <c r="U152" s="1315" t="s">
        <v>49</v>
      </c>
      <c r="V152" s="2839">
        <f>Table6268934567910[[#This Row],[Offer Value]]-Table6268934567910[[#This Row],[PO Value]]</f>
        <v>0</v>
      </c>
      <c r="W152" s="1317"/>
      <c r="X152" s="1317"/>
      <c r="Y152" s="1468"/>
      <c r="AB152" s="1542"/>
    </row>
    <row r="153" spans="1:28" s="1318" customFormat="1" ht="15.6">
      <c r="A153" s="1317"/>
      <c r="B153" s="1393"/>
      <c r="C153" s="1393" t="s">
        <v>614</v>
      </c>
      <c r="D153" s="1393" t="s">
        <v>2252</v>
      </c>
      <c r="E153" s="1467" t="s">
        <v>2564</v>
      </c>
      <c r="F153" s="1467" t="s">
        <v>2717</v>
      </c>
      <c r="G153" s="2922">
        <v>8022195605</v>
      </c>
      <c r="H153" s="2922" t="s">
        <v>2718</v>
      </c>
      <c r="I153" s="2753" t="s">
        <v>2808</v>
      </c>
      <c r="J153" s="1960" t="s">
        <v>73</v>
      </c>
      <c r="K153" s="1461" t="s">
        <v>138</v>
      </c>
      <c r="L153" s="2781" t="s">
        <v>2720</v>
      </c>
      <c r="M153" s="2351">
        <v>45933</v>
      </c>
      <c r="N153" s="1314">
        <v>61440</v>
      </c>
      <c r="O153" s="2241" t="s">
        <v>47</v>
      </c>
      <c r="P153" s="1315" t="s">
        <v>62</v>
      </c>
      <c r="Q153" s="1395">
        <v>1</v>
      </c>
      <c r="R153" s="1467">
        <v>4800091857</v>
      </c>
      <c r="S153" s="1545" t="s">
        <v>2721</v>
      </c>
      <c r="T153" s="1314">
        <v>61440</v>
      </c>
      <c r="U153" s="1315" t="s">
        <v>49</v>
      </c>
      <c r="V153" s="2839">
        <f>Table6268934567910[[#This Row],[Offer Value]]-Table6268934567910[[#This Row],[PO Value]]</f>
        <v>0</v>
      </c>
      <c r="W153" s="1317"/>
      <c r="X153" s="1317"/>
      <c r="Y153" s="1468"/>
      <c r="AB153" s="1542"/>
    </row>
    <row r="154" spans="1:28" s="1318" customFormat="1" ht="15.6">
      <c r="A154" s="1317"/>
      <c r="B154" s="1393"/>
      <c r="C154" s="1393" t="s">
        <v>614</v>
      </c>
      <c r="D154" s="1393" t="s">
        <v>2252</v>
      </c>
      <c r="E154" s="1315" t="s">
        <v>2564</v>
      </c>
      <c r="F154" s="1315" t="s">
        <v>2717</v>
      </c>
      <c r="G154" s="2632">
        <v>8022195605</v>
      </c>
      <c r="H154" s="2632" t="s">
        <v>2718</v>
      </c>
      <c r="I154" s="2752" t="s">
        <v>2809</v>
      </c>
      <c r="J154" s="1960" t="s">
        <v>73</v>
      </c>
      <c r="K154" s="1461" t="s">
        <v>138</v>
      </c>
      <c r="L154" s="2781" t="s">
        <v>2720</v>
      </c>
      <c r="M154" s="2351">
        <v>45933</v>
      </c>
      <c r="N154" s="1314">
        <v>61440</v>
      </c>
      <c r="O154" s="2241" t="s">
        <v>47</v>
      </c>
      <c r="P154" s="1315" t="s">
        <v>62</v>
      </c>
      <c r="Q154" s="1395">
        <v>1</v>
      </c>
      <c r="R154" s="1467">
        <v>4800091857</v>
      </c>
      <c r="S154" s="1545" t="s">
        <v>2721</v>
      </c>
      <c r="T154" s="1314">
        <v>61440</v>
      </c>
      <c r="U154" s="1315" t="s">
        <v>49</v>
      </c>
      <c r="V154" s="2839">
        <f>Table6268934567910[[#This Row],[Offer Value]]-Table6268934567910[[#This Row],[PO Value]]</f>
        <v>0</v>
      </c>
      <c r="W154" s="1317"/>
      <c r="X154" s="1317"/>
      <c r="Y154" s="1468"/>
      <c r="AB154" s="1542"/>
    </row>
    <row r="155" spans="1:28" s="1318" customFormat="1" ht="15.6">
      <c r="A155" s="1317"/>
      <c r="B155" s="1393"/>
      <c r="C155" s="1393" t="s">
        <v>614</v>
      </c>
      <c r="D155" s="1393" t="s">
        <v>2252</v>
      </c>
      <c r="E155" s="1315" t="s">
        <v>2564</v>
      </c>
      <c r="F155" s="1315" t="s">
        <v>2717</v>
      </c>
      <c r="G155" s="2632">
        <v>8022195605</v>
      </c>
      <c r="H155" s="2632" t="s">
        <v>2718</v>
      </c>
      <c r="I155" s="2753" t="s">
        <v>2810</v>
      </c>
      <c r="J155" s="1960" t="s">
        <v>73</v>
      </c>
      <c r="K155" s="1461" t="s">
        <v>138</v>
      </c>
      <c r="L155" s="2781" t="s">
        <v>2720</v>
      </c>
      <c r="M155" s="2351">
        <v>45933</v>
      </c>
      <c r="N155" s="1314">
        <v>61440</v>
      </c>
      <c r="O155" s="2241" t="s">
        <v>47</v>
      </c>
      <c r="P155" s="1315" t="s">
        <v>62</v>
      </c>
      <c r="Q155" s="1395">
        <v>1</v>
      </c>
      <c r="R155" s="1467">
        <v>4800091857</v>
      </c>
      <c r="S155" s="1545" t="s">
        <v>2721</v>
      </c>
      <c r="T155" s="1314">
        <v>61440</v>
      </c>
      <c r="U155" s="1315" t="s">
        <v>49</v>
      </c>
      <c r="V155" s="2839">
        <f>Table6268934567910[[#This Row],[Offer Value]]-Table6268934567910[[#This Row],[PO Value]]</f>
        <v>0</v>
      </c>
      <c r="W155" s="1317"/>
      <c r="X155" s="1317"/>
      <c r="Y155" s="1468"/>
      <c r="AB155" s="1542"/>
    </row>
    <row r="156" spans="1:28" s="1318" customFormat="1" ht="31.5" customHeight="1">
      <c r="A156" s="1317"/>
      <c r="B156" s="1393"/>
      <c r="C156" s="1393" t="s">
        <v>614</v>
      </c>
      <c r="D156" s="1393" t="s">
        <v>2252</v>
      </c>
      <c r="E156" s="1315" t="s">
        <v>2564</v>
      </c>
      <c r="F156" s="1315" t="s">
        <v>2717</v>
      </c>
      <c r="G156" s="2632">
        <v>8022195605</v>
      </c>
      <c r="H156" s="2632" t="s">
        <v>2718</v>
      </c>
      <c r="I156" s="2752" t="s">
        <v>2811</v>
      </c>
      <c r="J156" s="1960" t="s">
        <v>73</v>
      </c>
      <c r="K156" s="1461" t="s">
        <v>138</v>
      </c>
      <c r="L156" s="2781" t="s">
        <v>2720</v>
      </c>
      <c r="M156" s="2351">
        <v>45933</v>
      </c>
      <c r="N156" s="1314">
        <v>61440</v>
      </c>
      <c r="O156" s="2241" t="s">
        <v>47</v>
      </c>
      <c r="P156" s="1315" t="s">
        <v>62</v>
      </c>
      <c r="Q156" s="1395">
        <v>1</v>
      </c>
      <c r="R156" s="1467">
        <v>4800091857</v>
      </c>
      <c r="S156" s="1545" t="s">
        <v>2721</v>
      </c>
      <c r="T156" s="1314">
        <v>61440</v>
      </c>
      <c r="U156" s="1315" t="s">
        <v>49</v>
      </c>
      <c r="V156" s="2839">
        <f>Table6268934567910[[#This Row],[Offer Value]]-Table6268934567910[[#This Row],[PO Value]]</f>
        <v>0</v>
      </c>
      <c r="W156" s="1317"/>
      <c r="X156" s="1317"/>
      <c r="Y156" s="1468"/>
      <c r="AB156" s="1542"/>
    </row>
    <row r="157" spans="1:28" s="1318" customFormat="1" ht="15.6">
      <c r="A157" s="1317"/>
      <c r="B157" s="1393"/>
      <c r="C157" s="1393" t="s">
        <v>614</v>
      </c>
      <c r="D157" s="1393" t="s">
        <v>2252</v>
      </c>
      <c r="E157" s="1315" t="s">
        <v>2564</v>
      </c>
      <c r="F157" s="1315" t="s">
        <v>2717</v>
      </c>
      <c r="G157" s="2632">
        <v>8022195605</v>
      </c>
      <c r="H157" s="2632" t="s">
        <v>2718</v>
      </c>
      <c r="I157" s="2753" t="s">
        <v>2812</v>
      </c>
      <c r="J157" s="1960" t="s">
        <v>73</v>
      </c>
      <c r="K157" s="1461" t="s">
        <v>138</v>
      </c>
      <c r="L157" s="2781" t="s">
        <v>2720</v>
      </c>
      <c r="M157" s="2351">
        <v>45933</v>
      </c>
      <c r="N157" s="1314">
        <v>61440</v>
      </c>
      <c r="O157" s="2241" t="s">
        <v>47</v>
      </c>
      <c r="P157" s="1315" t="s">
        <v>62</v>
      </c>
      <c r="Q157" s="1395">
        <v>1</v>
      </c>
      <c r="R157" s="1467">
        <v>4800091857</v>
      </c>
      <c r="S157" s="1545" t="s">
        <v>2721</v>
      </c>
      <c r="T157" s="1314">
        <v>61440</v>
      </c>
      <c r="U157" s="1315" t="s">
        <v>49</v>
      </c>
      <c r="V157" s="2839">
        <f>Table6268934567910[[#This Row],[Offer Value]]-Table6268934567910[[#This Row],[PO Value]]</f>
        <v>0</v>
      </c>
      <c r="W157" s="1317"/>
      <c r="X157" s="1317"/>
      <c r="Y157" s="1468"/>
      <c r="Z157" s="1318" t="s">
        <v>208</v>
      </c>
      <c r="AB157" s="1542"/>
    </row>
    <row r="158" spans="1:28" s="1318" customFormat="1" ht="15.6">
      <c r="A158" s="1317"/>
      <c r="B158" s="1393"/>
      <c r="C158" s="1393" t="s">
        <v>614</v>
      </c>
      <c r="D158" s="1393" t="s">
        <v>2252</v>
      </c>
      <c r="E158" s="2747" t="s">
        <v>2564</v>
      </c>
      <c r="F158" s="1552" t="s">
        <v>2717</v>
      </c>
      <c r="G158" s="2925">
        <v>8022195605</v>
      </c>
      <c r="H158" s="2925" t="s">
        <v>2718</v>
      </c>
      <c r="I158" s="2926" t="s">
        <v>2813</v>
      </c>
      <c r="J158" s="1960" t="s">
        <v>73</v>
      </c>
      <c r="K158" s="1461" t="s">
        <v>138</v>
      </c>
      <c r="L158" s="2781" t="s">
        <v>2720</v>
      </c>
      <c r="M158" s="2351">
        <v>45933</v>
      </c>
      <c r="N158" s="1314">
        <v>61440</v>
      </c>
      <c r="O158" s="2241" t="s">
        <v>47</v>
      </c>
      <c r="P158" s="1315" t="s">
        <v>62</v>
      </c>
      <c r="Q158" s="1395">
        <v>1</v>
      </c>
      <c r="R158" s="1467">
        <v>4800091857</v>
      </c>
      <c r="S158" s="1545" t="s">
        <v>2721</v>
      </c>
      <c r="T158" s="1314">
        <v>61440</v>
      </c>
      <c r="U158" s="1315" t="s">
        <v>49</v>
      </c>
      <c r="V158" s="2839">
        <f>Table6268934567910[[#This Row],[Offer Value]]-Table6268934567910[[#This Row],[PO Value]]</f>
        <v>0</v>
      </c>
      <c r="W158" s="1317"/>
      <c r="X158" s="1317"/>
      <c r="Y158" s="1468"/>
      <c r="AB158" s="1542"/>
    </row>
    <row r="159" spans="1:28" s="1318" customFormat="1" ht="15.6">
      <c r="A159" s="1317"/>
      <c r="B159" s="1393"/>
      <c r="C159" s="1393" t="s">
        <v>614</v>
      </c>
      <c r="D159" s="1393" t="s">
        <v>2252</v>
      </c>
      <c r="E159" s="2747" t="s">
        <v>2564</v>
      </c>
      <c r="F159" s="1552" t="s">
        <v>2717</v>
      </c>
      <c r="G159" s="2925">
        <v>8022195605</v>
      </c>
      <c r="H159" s="2925" t="s">
        <v>2718</v>
      </c>
      <c r="I159" s="2926" t="s">
        <v>2814</v>
      </c>
      <c r="J159" s="1960" t="s">
        <v>73</v>
      </c>
      <c r="K159" s="1461" t="s">
        <v>138</v>
      </c>
      <c r="L159" s="2781" t="s">
        <v>2720</v>
      </c>
      <c r="M159" s="2351">
        <v>45933</v>
      </c>
      <c r="N159" s="1314">
        <v>61440</v>
      </c>
      <c r="O159" s="2241" t="s">
        <v>47</v>
      </c>
      <c r="P159" s="1315" t="s">
        <v>62</v>
      </c>
      <c r="Q159" s="1395">
        <v>1</v>
      </c>
      <c r="R159" s="1467">
        <v>4800091857</v>
      </c>
      <c r="S159" s="1545" t="s">
        <v>2721</v>
      </c>
      <c r="T159" s="1314">
        <v>61440</v>
      </c>
      <c r="U159" s="1315" t="s">
        <v>49</v>
      </c>
      <c r="V159" s="2839">
        <f>Table6268934567910[[#This Row],[Offer Value]]-Table6268934567910[[#This Row],[PO Value]]</f>
        <v>0</v>
      </c>
      <c r="W159" s="1317"/>
      <c r="X159" s="1317"/>
      <c r="Y159" s="1468"/>
      <c r="AB159" s="1542"/>
    </row>
    <row r="160" spans="1:28" s="1318" customFormat="1" ht="15.6">
      <c r="A160" s="1317"/>
      <c r="B160" s="1393"/>
      <c r="C160" s="1543" t="s">
        <v>614</v>
      </c>
      <c r="D160" s="1543" t="s">
        <v>2252</v>
      </c>
      <c r="E160" s="1467" t="s">
        <v>2564</v>
      </c>
      <c r="F160" s="1467" t="s">
        <v>2717</v>
      </c>
      <c r="G160" s="2922">
        <v>8022195605</v>
      </c>
      <c r="H160" s="2922" t="s">
        <v>2718</v>
      </c>
      <c r="I160" s="2927" t="s">
        <v>2815</v>
      </c>
      <c r="J160" s="1960" t="s">
        <v>73</v>
      </c>
      <c r="K160" s="1461" t="s">
        <v>138</v>
      </c>
      <c r="L160" s="2781" t="s">
        <v>2720</v>
      </c>
      <c r="M160" s="2351">
        <v>45933</v>
      </c>
      <c r="N160" s="1314">
        <v>61440</v>
      </c>
      <c r="O160" s="2241" t="s">
        <v>47</v>
      </c>
      <c r="P160" s="1315" t="s">
        <v>62</v>
      </c>
      <c r="Q160" s="1395">
        <v>1</v>
      </c>
      <c r="R160" s="1467">
        <v>4800091857</v>
      </c>
      <c r="S160" s="1545" t="s">
        <v>2721</v>
      </c>
      <c r="T160" s="1314">
        <v>61440</v>
      </c>
      <c r="U160" s="1315" t="s">
        <v>49</v>
      </c>
      <c r="V160" s="2839">
        <f>Table6268934567910[[#This Row],[Offer Value]]-Table6268934567910[[#This Row],[PO Value]]</f>
        <v>0</v>
      </c>
      <c r="W160" s="1317"/>
      <c r="X160" s="1317"/>
      <c r="Y160" s="1468"/>
      <c r="AB160" s="1542"/>
    </row>
    <row r="161" spans="1:28" s="1318" customFormat="1" ht="15.6">
      <c r="A161" s="1317"/>
      <c r="B161" s="1393"/>
      <c r="C161" s="1393" t="s">
        <v>614</v>
      </c>
      <c r="D161" s="1393" t="s">
        <v>2252</v>
      </c>
      <c r="E161" s="1315" t="s">
        <v>2564</v>
      </c>
      <c r="F161" s="2754" t="s">
        <v>2717</v>
      </c>
      <c r="G161" s="2852">
        <v>8022195605</v>
      </c>
      <c r="H161" s="2928" t="s">
        <v>2718</v>
      </c>
      <c r="I161" s="2872" t="s">
        <v>2816</v>
      </c>
      <c r="J161" s="1960" t="s">
        <v>73</v>
      </c>
      <c r="K161" s="1461" t="s">
        <v>138</v>
      </c>
      <c r="L161" s="2781" t="s">
        <v>2720</v>
      </c>
      <c r="M161" s="2351">
        <v>45933</v>
      </c>
      <c r="N161" s="1314">
        <v>61440</v>
      </c>
      <c r="O161" s="2241" t="s">
        <v>47</v>
      </c>
      <c r="P161" s="1315" t="s">
        <v>62</v>
      </c>
      <c r="Q161" s="1395">
        <v>1</v>
      </c>
      <c r="R161" s="1467">
        <v>4800091857</v>
      </c>
      <c r="S161" s="1545" t="s">
        <v>2721</v>
      </c>
      <c r="T161" s="1314">
        <v>61440</v>
      </c>
      <c r="U161" s="1315" t="s">
        <v>49</v>
      </c>
      <c r="V161" s="2839">
        <f>Table6268934567910[[#This Row],[Offer Value]]-Table6268934567910[[#This Row],[PO Value]]</f>
        <v>0</v>
      </c>
      <c r="W161" s="1317"/>
      <c r="X161" s="1317"/>
      <c r="Y161" s="1468"/>
      <c r="AB161" s="1542"/>
    </row>
    <row r="162" spans="1:28" s="1318" customFormat="1" ht="15.6">
      <c r="A162" s="1391"/>
      <c r="B162" s="1392"/>
      <c r="C162" s="1393" t="s">
        <v>614</v>
      </c>
      <c r="D162" s="1393" t="s">
        <v>2252</v>
      </c>
      <c r="E162" s="1393" t="s">
        <v>2605</v>
      </c>
      <c r="F162" s="1960" t="s">
        <v>2606</v>
      </c>
      <c r="G162" s="1461">
        <v>8022195885</v>
      </c>
      <c r="H162" s="974" t="s">
        <v>2607</v>
      </c>
      <c r="I162" s="1962" t="s">
        <v>2817</v>
      </c>
      <c r="J162" s="1461" t="s">
        <v>73</v>
      </c>
      <c r="K162" s="1461" t="s">
        <v>138</v>
      </c>
      <c r="L162" s="1393" t="s">
        <v>2624</v>
      </c>
      <c r="M162" s="1634">
        <v>45819</v>
      </c>
      <c r="N162" s="1315">
        <v>64190</v>
      </c>
      <c r="O162" s="1315" t="s">
        <v>37</v>
      </c>
      <c r="P162" s="1315" t="s">
        <v>37</v>
      </c>
      <c r="Q162" s="1395">
        <v>1</v>
      </c>
      <c r="R162" s="1315">
        <v>4800089417</v>
      </c>
      <c r="S162" s="1634">
        <v>45864</v>
      </c>
      <c r="T162" s="1315">
        <v>64190</v>
      </c>
      <c r="U162" s="697" t="s">
        <v>49</v>
      </c>
      <c r="V162" s="1316">
        <f>Table6268934567910[[#This Row],[Offer Value]]-Table6268934567910[[#This Row],[PO Value]]</f>
        <v>0</v>
      </c>
      <c r="W162" s="1393"/>
      <c r="X162" s="1393"/>
      <c r="Y162" s="1391"/>
      <c r="AB162" s="1542"/>
    </row>
    <row r="163" spans="1:28" s="1318" customFormat="1" ht="15.6">
      <c r="A163" s="1391"/>
      <c r="B163" s="1392"/>
      <c r="C163" s="1393" t="s">
        <v>614</v>
      </c>
      <c r="D163" s="1393" t="s">
        <v>2252</v>
      </c>
      <c r="E163" s="1393" t="s">
        <v>2605</v>
      </c>
      <c r="F163" s="1960" t="s">
        <v>2606</v>
      </c>
      <c r="G163" s="1461">
        <v>8022195885</v>
      </c>
      <c r="H163" s="974" t="s">
        <v>2607</v>
      </c>
      <c r="I163" s="1962" t="s">
        <v>2818</v>
      </c>
      <c r="J163" s="1461" t="s">
        <v>73</v>
      </c>
      <c r="K163" s="1461" t="s">
        <v>138</v>
      </c>
      <c r="L163" s="1393" t="s">
        <v>2624</v>
      </c>
      <c r="M163" s="1634">
        <v>45819</v>
      </c>
      <c r="N163" s="1315">
        <v>64190</v>
      </c>
      <c r="O163" s="1315" t="s">
        <v>37</v>
      </c>
      <c r="P163" s="1315" t="s">
        <v>37</v>
      </c>
      <c r="Q163" s="1395">
        <v>1</v>
      </c>
      <c r="R163" s="1315">
        <v>4800089417</v>
      </c>
      <c r="S163" s="1634">
        <v>45864</v>
      </c>
      <c r="T163" s="1315">
        <v>64190</v>
      </c>
      <c r="U163" s="697" t="s">
        <v>49</v>
      </c>
      <c r="V163" s="1316">
        <f>Table6268934567910[[#This Row],[Offer Value]]-Table6268934567910[[#This Row],[PO Value]]</f>
        <v>0</v>
      </c>
      <c r="W163" s="1393"/>
      <c r="X163" s="1393"/>
      <c r="Y163" s="1391"/>
      <c r="AB163" s="1542"/>
    </row>
    <row r="164" spans="1:28" s="1318" customFormat="1" ht="15.6">
      <c r="A164" s="1391"/>
      <c r="B164" s="1392"/>
      <c r="C164" s="1393" t="s">
        <v>614</v>
      </c>
      <c r="D164" s="1393" t="s">
        <v>2252</v>
      </c>
      <c r="E164" s="1393" t="s">
        <v>2605</v>
      </c>
      <c r="F164" s="1960" t="s">
        <v>2606</v>
      </c>
      <c r="G164" s="1461">
        <v>8022195885</v>
      </c>
      <c r="H164" s="974" t="s">
        <v>2607</v>
      </c>
      <c r="I164" s="1962" t="s">
        <v>2819</v>
      </c>
      <c r="J164" s="1461" t="s">
        <v>73</v>
      </c>
      <c r="K164" s="1461" t="s">
        <v>138</v>
      </c>
      <c r="L164" s="1393" t="s">
        <v>2624</v>
      </c>
      <c r="M164" s="1634">
        <v>45819</v>
      </c>
      <c r="N164" s="1315">
        <v>64190</v>
      </c>
      <c r="O164" s="1315" t="s">
        <v>37</v>
      </c>
      <c r="P164" s="1315" t="s">
        <v>37</v>
      </c>
      <c r="Q164" s="1395">
        <v>1</v>
      </c>
      <c r="R164" s="1315">
        <v>4800089417</v>
      </c>
      <c r="S164" s="1634">
        <v>45864</v>
      </c>
      <c r="T164" s="1315">
        <v>64190</v>
      </c>
      <c r="U164" s="697" t="s">
        <v>49</v>
      </c>
      <c r="V164" s="1316">
        <f>Table6268934567910[[#This Row],[Offer Value]]-Table6268934567910[[#This Row],[PO Value]]</f>
        <v>0</v>
      </c>
      <c r="W164" s="1393"/>
      <c r="X164" s="1393"/>
      <c r="Y164" s="1391"/>
      <c r="AB164" s="1542"/>
    </row>
    <row r="165" spans="1:28" s="1318" customFormat="1" ht="15.6">
      <c r="A165" s="1391"/>
      <c r="B165" s="1392"/>
      <c r="C165" s="1393" t="s">
        <v>614</v>
      </c>
      <c r="D165" s="1393" t="s">
        <v>2252</v>
      </c>
      <c r="E165" s="1393" t="s">
        <v>2605</v>
      </c>
      <c r="F165" s="1960" t="s">
        <v>2606</v>
      </c>
      <c r="G165" s="1461">
        <v>8022195885</v>
      </c>
      <c r="H165" s="974" t="s">
        <v>2607</v>
      </c>
      <c r="I165" s="1962" t="s">
        <v>2820</v>
      </c>
      <c r="J165" s="1461" t="s">
        <v>73</v>
      </c>
      <c r="K165" s="1461" t="s">
        <v>138</v>
      </c>
      <c r="L165" s="1393" t="s">
        <v>2624</v>
      </c>
      <c r="M165" s="1634">
        <v>45819</v>
      </c>
      <c r="N165" s="1315">
        <v>64190</v>
      </c>
      <c r="O165" s="1315" t="s">
        <v>37</v>
      </c>
      <c r="P165" s="1315" t="s">
        <v>37</v>
      </c>
      <c r="Q165" s="1395">
        <v>1</v>
      </c>
      <c r="R165" s="1315">
        <v>4800089417</v>
      </c>
      <c r="S165" s="1634">
        <v>45864</v>
      </c>
      <c r="T165" s="1315">
        <v>64190</v>
      </c>
      <c r="U165" s="697" t="s">
        <v>49</v>
      </c>
      <c r="V165" s="1316">
        <f>Table6268934567910[[#This Row],[Offer Value]]-Table6268934567910[[#This Row],[PO Value]]</f>
        <v>0</v>
      </c>
      <c r="W165" s="1393"/>
      <c r="X165" s="1393"/>
      <c r="Y165" s="1391"/>
      <c r="AB165" s="1542"/>
    </row>
    <row r="166" spans="1:28" s="1318" customFormat="1" ht="15.6">
      <c r="A166" s="1391"/>
      <c r="B166" s="1393"/>
      <c r="C166" s="1393" t="s">
        <v>614</v>
      </c>
      <c r="D166" s="1393" t="s">
        <v>2252</v>
      </c>
      <c r="E166" s="1393" t="s">
        <v>2605</v>
      </c>
      <c r="F166" s="1960" t="s">
        <v>2606</v>
      </c>
      <c r="G166" s="1461">
        <v>8022195885</v>
      </c>
      <c r="H166" s="974" t="s">
        <v>2607</v>
      </c>
      <c r="I166" s="1962" t="s">
        <v>2821</v>
      </c>
      <c r="J166" s="1461" t="s">
        <v>73</v>
      </c>
      <c r="K166" s="1461" t="s">
        <v>138</v>
      </c>
      <c r="L166" s="1393" t="s">
        <v>2624</v>
      </c>
      <c r="M166" s="1634">
        <v>45819</v>
      </c>
      <c r="N166" s="1315">
        <v>64190</v>
      </c>
      <c r="O166" s="1315" t="s">
        <v>37</v>
      </c>
      <c r="P166" s="1315" t="s">
        <v>37</v>
      </c>
      <c r="Q166" s="1395">
        <v>1</v>
      </c>
      <c r="R166" s="1315">
        <v>4800089417</v>
      </c>
      <c r="S166" s="1634">
        <v>45864</v>
      </c>
      <c r="T166" s="1315">
        <v>64190</v>
      </c>
      <c r="U166" s="697" t="s">
        <v>49</v>
      </c>
      <c r="V166" s="1316">
        <f>Table6268934567910[[#This Row],[Offer Value]]-Table6268934567910[[#This Row],[PO Value]]</f>
        <v>0</v>
      </c>
      <c r="W166" s="1393"/>
      <c r="X166" s="1393"/>
      <c r="Y166" s="1391"/>
      <c r="AB166" s="1542"/>
    </row>
    <row r="167" spans="1:28" s="1318" customFormat="1" ht="15.6">
      <c r="A167" s="1391"/>
      <c r="B167" s="1393"/>
      <c r="C167" s="1393" t="s">
        <v>614</v>
      </c>
      <c r="D167" s="1393" t="s">
        <v>2252</v>
      </c>
      <c r="E167" s="1393" t="s">
        <v>2605</v>
      </c>
      <c r="F167" s="1960" t="s">
        <v>2606</v>
      </c>
      <c r="G167" s="1461">
        <v>8022195885</v>
      </c>
      <c r="H167" s="974" t="s">
        <v>2607</v>
      </c>
      <c r="I167" s="1962" t="s">
        <v>2822</v>
      </c>
      <c r="J167" s="1461" t="s">
        <v>73</v>
      </c>
      <c r="K167" s="1461" t="s">
        <v>138</v>
      </c>
      <c r="L167" s="1393" t="s">
        <v>2624</v>
      </c>
      <c r="M167" s="1634">
        <v>45819</v>
      </c>
      <c r="N167" s="1315">
        <v>64190</v>
      </c>
      <c r="O167" s="1315" t="s">
        <v>37</v>
      </c>
      <c r="P167" s="1315" t="s">
        <v>37</v>
      </c>
      <c r="Q167" s="1395">
        <v>1</v>
      </c>
      <c r="R167" s="1315">
        <v>4800089417</v>
      </c>
      <c r="S167" s="1634">
        <v>45864</v>
      </c>
      <c r="T167" s="1315">
        <v>64190</v>
      </c>
      <c r="U167" s="697" t="s">
        <v>49</v>
      </c>
      <c r="V167" s="1316">
        <f>Table6268934567910[[#This Row],[Offer Value]]-Table6268934567910[[#This Row],[PO Value]]</f>
        <v>0</v>
      </c>
      <c r="W167" s="1393"/>
      <c r="X167" s="1393"/>
      <c r="Y167" s="1391"/>
      <c r="AB167" s="1542"/>
    </row>
    <row r="168" spans="1:28" s="1318" customFormat="1" ht="15.6">
      <c r="A168" s="1391"/>
      <c r="B168" s="1393"/>
      <c r="C168" s="1393" t="s">
        <v>614</v>
      </c>
      <c r="D168" s="1393" t="s">
        <v>2252</v>
      </c>
      <c r="E168" s="1393" t="s">
        <v>2605</v>
      </c>
      <c r="F168" s="1960" t="s">
        <v>2606</v>
      </c>
      <c r="G168" s="1461">
        <v>8022195885</v>
      </c>
      <c r="H168" s="974" t="s">
        <v>2607</v>
      </c>
      <c r="I168" s="1962" t="s">
        <v>2608</v>
      </c>
      <c r="J168" s="1461" t="s">
        <v>73</v>
      </c>
      <c r="K168" s="1461" t="s">
        <v>138</v>
      </c>
      <c r="L168" s="1393" t="s">
        <v>2624</v>
      </c>
      <c r="M168" s="1634">
        <v>45819</v>
      </c>
      <c r="N168" s="1315">
        <v>64190</v>
      </c>
      <c r="O168" s="1315" t="s">
        <v>37</v>
      </c>
      <c r="P168" s="1315" t="s">
        <v>37</v>
      </c>
      <c r="Q168" s="1395">
        <v>1</v>
      </c>
      <c r="R168" s="1315">
        <v>4800089417</v>
      </c>
      <c r="S168" s="1634">
        <v>45864</v>
      </c>
      <c r="T168" s="1315">
        <v>64190</v>
      </c>
      <c r="U168" s="697" t="s">
        <v>49</v>
      </c>
      <c r="V168" s="1316">
        <f>Table6268934567910[[#This Row],[Offer Value]]-Table6268934567910[[#This Row],[PO Value]]</f>
        <v>0</v>
      </c>
      <c r="W168" s="1393"/>
      <c r="X168" s="1393"/>
      <c r="Y168" s="1636"/>
      <c r="AB168" s="1542"/>
    </row>
    <row r="169" spans="1:28" s="1318" customFormat="1" ht="15.6">
      <c r="A169" s="706"/>
      <c r="B169" s="703"/>
      <c r="C169" s="703" t="s">
        <v>614</v>
      </c>
      <c r="D169" s="703" t="s">
        <v>2252</v>
      </c>
      <c r="E169" s="697" t="s">
        <v>2728</v>
      </c>
      <c r="F169" s="703" t="s">
        <v>2468</v>
      </c>
      <c r="G169" s="770">
        <v>9343174460</v>
      </c>
      <c r="H169" s="770" t="s">
        <v>2469</v>
      </c>
      <c r="I169" s="2353" t="s">
        <v>2823</v>
      </c>
      <c r="J169" s="698" t="s">
        <v>73</v>
      </c>
      <c r="K169" s="705" t="s">
        <v>138</v>
      </c>
      <c r="L169" s="2631" t="s">
        <v>2730</v>
      </c>
      <c r="M169" s="713">
        <v>45907</v>
      </c>
      <c r="N169" s="697">
        <v>65500</v>
      </c>
      <c r="O169" s="723" t="s">
        <v>44</v>
      </c>
      <c r="P169" s="697" t="s">
        <v>62</v>
      </c>
      <c r="Q169" s="707">
        <v>0.8</v>
      </c>
      <c r="R169" s="697"/>
      <c r="S169" s="713"/>
      <c r="T169" s="697"/>
      <c r="U169" s="697" t="s">
        <v>49</v>
      </c>
      <c r="V169" s="2635">
        <f>Table6268934567910[[#This Row],[Offer Value]]-Table6268934567910[[#This Row],[PO Value]]</f>
        <v>65500</v>
      </c>
      <c r="W169" s="706"/>
      <c r="X169" s="706"/>
      <c r="Y169" s="709"/>
    </row>
    <row r="170" spans="1:28" s="1318" customFormat="1" ht="15.6">
      <c r="A170" s="706"/>
      <c r="B170" s="703"/>
      <c r="C170" s="703" t="s">
        <v>614</v>
      </c>
      <c r="D170" s="703" t="s">
        <v>2252</v>
      </c>
      <c r="E170" s="697" t="s">
        <v>2728</v>
      </c>
      <c r="F170" s="718" t="s">
        <v>2468</v>
      </c>
      <c r="G170" s="2889">
        <v>9343174460</v>
      </c>
      <c r="H170" s="2889" t="s">
        <v>2469</v>
      </c>
      <c r="I170" s="2354" t="s">
        <v>2824</v>
      </c>
      <c r="J170" s="698" t="s">
        <v>73</v>
      </c>
      <c r="K170" s="705" t="s">
        <v>138</v>
      </c>
      <c r="L170" s="2631" t="s">
        <v>2730</v>
      </c>
      <c r="M170" s="713">
        <v>45907</v>
      </c>
      <c r="N170" s="697">
        <v>65500</v>
      </c>
      <c r="O170" s="723" t="s">
        <v>44</v>
      </c>
      <c r="P170" s="697" t="s">
        <v>62</v>
      </c>
      <c r="Q170" s="707">
        <v>0.8</v>
      </c>
      <c r="R170" s="691"/>
      <c r="S170" s="716"/>
      <c r="T170" s="697"/>
      <c r="U170" s="697" t="s">
        <v>49</v>
      </c>
      <c r="V170" s="710">
        <f>Table6268934567910[[#This Row],[Offer Value]]-Table6268934567910[[#This Row],[PO Value]]</f>
        <v>65500</v>
      </c>
      <c r="W170" s="706"/>
      <c r="X170" s="706"/>
      <c r="Y170" s="709"/>
      <c r="AB170" s="1542"/>
    </row>
    <row r="171" spans="1:28" s="1318" customFormat="1" ht="15.6">
      <c r="A171" s="706"/>
      <c r="B171" s="703"/>
      <c r="C171" s="703" t="s">
        <v>614</v>
      </c>
      <c r="D171" s="703" t="s">
        <v>2252</v>
      </c>
      <c r="E171" s="697" t="s">
        <v>2728</v>
      </c>
      <c r="F171" s="718" t="s">
        <v>2468</v>
      </c>
      <c r="G171" s="2889">
        <v>9343174460</v>
      </c>
      <c r="H171" s="2889" t="s">
        <v>2469</v>
      </c>
      <c r="I171" s="2353" t="s">
        <v>2825</v>
      </c>
      <c r="J171" s="698" t="s">
        <v>73</v>
      </c>
      <c r="K171" s="705" t="s">
        <v>138</v>
      </c>
      <c r="L171" s="2631" t="s">
        <v>2730</v>
      </c>
      <c r="M171" s="713">
        <v>45907</v>
      </c>
      <c r="N171" s="697">
        <v>65500</v>
      </c>
      <c r="O171" s="723" t="s">
        <v>44</v>
      </c>
      <c r="P171" s="697" t="s">
        <v>62</v>
      </c>
      <c r="Q171" s="707">
        <v>0.8</v>
      </c>
      <c r="R171" s="691"/>
      <c r="S171" s="716"/>
      <c r="T171" s="697"/>
      <c r="U171" s="697" t="s">
        <v>49</v>
      </c>
      <c r="V171" s="710">
        <f>Table6268934567910[[#This Row],[Offer Value]]-Table6268934567910[[#This Row],[PO Value]]</f>
        <v>65500</v>
      </c>
      <c r="W171" s="706"/>
      <c r="X171" s="706"/>
      <c r="Y171" s="709"/>
      <c r="AB171" s="1542"/>
    </row>
    <row r="172" spans="1:28" s="1318" customFormat="1" ht="15.6">
      <c r="A172" s="706"/>
      <c r="B172" s="717"/>
      <c r="C172" s="703" t="s">
        <v>614</v>
      </c>
      <c r="D172" s="703" t="s">
        <v>2252</v>
      </c>
      <c r="E172" s="697" t="s">
        <v>2728</v>
      </c>
      <c r="F172" s="718" t="s">
        <v>2468</v>
      </c>
      <c r="G172" s="2889">
        <v>9343174460</v>
      </c>
      <c r="H172" s="2889" t="s">
        <v>2469</v>
      </c>
      <c r="I172" s="2633" t="s">
        <v>2826</v>
      </c>
      <c r="J172" s="698" t="s">
        <v>73</v>
      </c>
      <c r="K172" s="705" t="s">
        <v>138</v>
      </c>
      <c r="L172" s="2631" t="s">
        <v>2730</v>
      </c>
      <c r="M172" s="713">
        <v>45907</v>
      </c>
      <c r="N172" s="697">
        <v>65500</v>
      </c>
      <c r="O172" s="723" t="s">
        <v>44</v>
      </c>
      <c r="P172" s="697" t="s">
        <v>62</v>
      </c>
      <c r="Q172" s="707">
        <v>0.8</v>
      </c>
      <c r="R172" s="691"/>
      <c r="S172" s="716"/>
      <c r="T172" s="697"/>
      <c r="U172" s="697" t="s">
        <v>49</v>
      </c>
      <c r="V172" s="710">
        <f>Table6268934567910[[#This Row],[Offer Value]]-Table6268934567910[[#This Row],[PO Value]]</f>
        <v>65500</v>
      </c>
      <c r="W172" s="706"/>
      <c r="X172" s="706"/>
      <c r="Y172" s="706"/>
      <c r="AB172" s="1542"/>
    </row>
    <row r="173" spans="1:28" s="1318" customFormat="1" ht="15.6">
      <c r="A173" s="706"/>
      <c r="B173" s="703"/>
      <c r="C173" s="703" t="s">
        <v>614</v>
      </c>
      <c r="D173" s="703" t="s">
        <v>2252</v>
      </c>
      <c r="E173" s="697" t="s">
        <v>2728</v>
      </c>
      <c r="F173" s="718" t="s">
        <v>2468</v>
      </c>
      <c r="G173" s="2889">
        <v>9343174460</v>
      </c>
      <c r="H173" s="2889" t="s">
        <v>2469</v>
      </c>
      <c r="I173" s="2353" t="s">
        <v>2827</v>
      </c>
      <c r="J173" s="698" t="s">
        <v>73</v>
      </c>
      <c r="K173" s="705" t="s">
        <v>138</v>
      </c>
      <c r="L173" s="2631" t="s">
        <v>2730</v>
      </c>
      <c r="M173" s="713">
        <v>45907</v>
      </c>
      <c r="N173" s="697">
        <v>65500</v>
      </c>
      <c r="O173" s="723" t="s">
        <v>44</v>
      </c>
      <c r="P173" s="697" t="s">
        <v>62</v>
      </c>
      <c r="Q173" s="707">
        <v>0.8</v>
      </c>
      <c r="R173" s="691"/>
      <c r="S173" s="716"/>
      <c r="T173" s="697"/>
      <c r="U173" s="697" t="s">
        <v>49</v>
      </c>
      <c r="V173" s="710">
        <f>Table6268934567910[[#This Row],[Offer Value]]-Table6268934567910[[#This Row],[PO Value]]</f>
        <v>65500</v>
      </c>
      <c r="W173" s="706"/>
      <c r="X173" s="706"/>
      <c r="Y173" s="709"/>
      <c r="AB173" s="1542"/>
    </row>
    <row r="174" spans="1:28" s="1318" customFormat="1" ht="15.6">
      <c r="A174" s="706"/>
      <c r="B174" s="703"/>
      <c r="C174" s="703" t="s">
        <v>614</v>
      </c>
      <c r="D174" s="703" t="s">
        <v>2252</v>
      </c>
      <c r="E174" s="697" t="s">
        <v>2728</v>
      </c>
      <c r="F174" s="718" t="s">
        <v>2468</v>
      </c>
      <c r="G174" s="2889">
        <v>9343174460</v>
      </c>
      <c r="H174" s="2889" t="s">
        <v>2469</v>
      </c>
      <c r="I174" s="2354" t="s">
        <v>2828</v>
      </c>
      <c r="J174" s="698" t="s">
        <v>73</v>
      </c>
      <c r="K174" s="705" t="s">
        <v>138</v>
      </c>
      <c r="L174" s="2631" t="s">
        <v>2730</v>
      </c>
      <c r="M174" s="713">
        <v>45907</v>
      </c>
      <c r="N174" s="697">
        <v>65500</v>
      </c>
      <c r="O174" s="723" t="s">
        <v>44</v>
      </c>
      <c r="P174" s="697" t="s">
        <v>62</v>
      </c>
      <c r="Q174" s="707">
        <v>0.8</v>
      </c>
      <c r="R174" s="691"/>
      <c r="S174" s="716"/>
      <c r="T174" s="697"/>
      <c r="U174" s="697" t="s">
        <v>49</v>
      </c>
      <c r="V174" s="710">
        <f>Table6268934567910[[#This Row],[Offer Value]]-Table6268934567910[[#This Row],[PO Value]]</f>
        <v>65500</v>
      </c>
      <c r="W174" s="706"/>
      <c r="X174" s="706"/>
      <c r="Y174" s="709"/>
      <c r="AB174" s="1542"/>
    </row>
    <row r="175" spans="1:28" s="1318" customFormat="1" ht="15.6">
      <c r="A175" s="706"/>
      <c r="B175" s="717"/>
      <c r="C175" s="703" t="s">
        <v>614</v>
      </c>
      <c r="D175" s="703" t="s">
        <v>2252</v>
      </c>
      <c r="E175" s="697" t="s">
        <v>2728</v>
      </c>
      <c r="F175" s="718" t="s">
        <v>2468</v>
      </c>
      <c r="G175" s="2889">
        <v>9343174460</v>
      </c>
      <c r="H175" s="2889" t="s">
        <v>2469</v>
      </c>
      <c r="I175" s="2799" t="s">
        <v>2256</v>
      </c>
      <c r="J175" s="698" t="s">
        <v>73</v>
      </c>
      <c r="K175" s="705" t="s">
        <v>138</v>
      </c>
      <c r="L175" s="2631" t="s">
        <v>2730</v>
      </c>
      <c r="M175" s="713">
        <v>45907</v>
      </c>
      <c r="N175" s="697">
        <v>65500</v>
      </c>
      <c r="O175" s="723" t="s">
        <v>44</v>
      </c>
      <c r="P175" s="697" t="s">
        <v>62</v>
      </c>
      <c r="Q175" s="707">
        <v>0.8</v>
      </c>
      <c r="R175" s="691"/>
      <c r="S175" s="716"/>
      <c r="T175" s="697"/>
      <c r="U175" s="697" t="s">
        <v>49</v>
      </c>
      <c r="V175" s="710">
        <f>Table6268934567910[[#This Row],[Offer Value]]-Table6268934567910[[#This Row],[PO Value]]</f>
        <v>65500</v>
      </c>
      <c r="W175" s="706"/>
      <c r="X175" s="706"/>
      <c r="Y175" s="706"/>
      <c r="AB175" s="1542"/>
    </row>
    <row r="176" spans="1:28" s="1318" customFormat="1" ht="15.6">
      <c r="A176" s="706"/>
      <c r="B176" s="717"/>
      <c r="C176" s="703" t="s">
        <v>614</v>
      </c>
      <c r="D176" s="703" t="s">
        <v>2252</v>
      </c>
      <c r="E176" s="697" t="s">
        <v>2728</v>
      </c>
      <c r="F176" s="718" t="s">
        <v>2468</v>
      </c>
      <c r="G176" s="2889">
        <v>9343174460</v>
      </c>
      <c r="H176" s="2889" t="s">
        <v>2469</v>
      </c>
      <c r="I176" s="2354" t="s">
        <v>2779</v>
      </c>
      <c r="J176" s="698" t="s">
        <v>73</v>
      </c>
      <c r="K176" s="705" t="s">
        <v>138</v>
      </c>
      <c r="L176" s="2631" t="s">
        <v>2730</v>
      </c>
      <c r="M176" s="713">
        <v>45907</v>
      </c>
      <c r="N176" s="697">
        <v>65500</v>
      </c>
      <c r="O176" s="723" t="s">
        <v>44</v>
      </c>
      <c r="P176" s="697" t="s">
        <v>62</v>
      </c>
      <c r="Q176" s="707">
        <v>0.8</v>
      </c>
      <c r="R176" s="691"/>
      <c r="S176" s="716"/>
      <c r="T176" s="697"/>
      <c r="U176" s="697" t="s">
        <v>49</v>
      </c>
      <c r="V176" s="710">
        <f>Table6268934567910[[#This Row],[Offer Value]]-Table6268934567910[[#This Row],[PO Value]]</f>
        <v>65500</v>
      </c>
      <c r="W176" s="706"/>
      <c r="X176" s="706"/>
      <c r="Y176" s="706"/>
      <c r="AB176" s="1542"/>
    </row>
    <row r="177" spans="1:32" s="1318" customFormat="1" ht="15.6">
      <c r="A177" s="706"/>
      <c r="B177" s="717"/>
      <c r="C177" s="703" t="s">
        <v>614</v>
      </c>
      <c r="D177" s="703" t="s">
        <v>2252</v>
      </c>
      <c r="E177" s="697" t="s">
        <v>2728</v>
      </c>
      <c r="F177" s="703" t="s">
        <v>2468</v>
      </c>
      <c r="G177" s="770">
        <v>9343174460</v>
      </c>
      <c r="H177" s="770" t="s">
        <v>2469</v>
      </c>
      <c r="I177" s="2353" t="s">
        <v>2615</v>
      </c>
      <c r="J177" s="698" t="s">
        <v>73</v>
      </c>
      <c r="K177" s="705" t="s">
        <v>138</v>
      </c>
      <c r="L177" s="2631" t="s">
        <v>2730</v>
      </c>
      <c r="M177" s="713">
        <v>45907</v>
      </c>
      <c r="N177" s="697">
        <v>65500</v>
      </c>
      <c r="O177" s="723" t="s">
        <v>44</v>
      </c>
      <c r="P177" s="697" t="s">
        <v>62</v>
      </c>
      <c r="Q177" s="707">
        <v>0.8</v>
      </c>
      <c r="R177" s="691"/>
      <c r="S177" s="716"/>
      <c r="T177" s="697"/>
      <c r="U177" s="697" t="s">
        <v>49</v>
      </c>
      <c r="V177" s="710">
        <f>Table6268934567910[[#This Row],[Offer Value]]-Table6268934567910[[#This Row],[PO Value]]</f>
        <v>65500</v>
      </c>
      <c r="W177" s="706"/>
      <c r="X177" s="706"/>
      <c r="Y177" s="709"/>
      <c r="Z177" s="1318" t="s">
        <v>208</v>
      </c>
      <c r="AA177" s="1318" t="s">
        <v>208</v>
      </c>
      <c r="AB177" s="1542"/>
    </row>
    <row r="178" spans="1:32" s="1318" customFormat="1" ht="15.6">
      <c r="A178" s="706"/>
      <c r="B178" s="703"/>
      <c r="C178" s="703" t="s">
        <v>614</v>
      </c>
      <c r="D178" s="703" t="s">
        <v>2252</v>
      </c>
      <c r="E178" s="697" t="s">
        <v>2728</v>
      </c>
      <c r="F178" s="703" t="s">
        <v>2468</v>
      </c>
      <c r="G178" s="770">
        <v>9343174460</v>
      </c>
      <c r="H178" s="770" t="s">
        <v>2469</v>
      </c>
      <c r="I178" s="2789" t="s">
        <v>2780</v>
      </c>
      <c r="J178" s="698" t="s">
        <v>73</v>
      </c>
      <c r="K178" s="705" t="s">
        <v>138</v>
      </c>
      <c r="L178" s="2631" t="s">
        <v>2730</v>
      </c>
      <c r="M178" s="713">
        <v>45907</v>
      </c>
      <c r="N178" s="697">
        <v>65500</v>
      </c>
      <c r="O178" s="723" t="s">
        <v>44</v>
      </c>
      <c r="P178" s="697" t="s">
        <v>62</v>
      </c>
      <c r="Q178" s="707">
        <v>0.8</v>
      </c>
      <c r="R178" s="691"/>
      <c r="S178" s="716"/>
      <c r="T178" s="697"/>
      <c r="U178" s="697" t="s">
        <v>49</v>
      </c>
      <c r="V178" s="710">
        <f>Table6268934567910[[#This Row],[Offer Value]]-Table6268934567910[[#This Row],[PO Value]]</f>
        <v>65500</v>
      </c>
      <c r="W178" s="706"/>
      <c r="X178" s="706"/>
      <c r="Y178" s="709"/>
      <c r="AB178" s="1542"/>
    </row>
    <row r="179" spans="1:32" s="1318" customFormat="1" ht="15.6">
      <c r="A179" s="1391"/>
      <c r="B179" s="1393"/>
      <c r="C179" s="2731" t="s">
        <v>2364</v>
      </c>
      <c r="D179" s="1460" t="s">
        <v>2365</v>
      </c>
      <c r="E179" s="1460" t="s">
        <v>2262</v>
      </c>
      <c r="F179" s="2744" t="s">
        <v>2366</v>
      </c>
      <c r="G179" s="2731" t="s">
        <v>2367</v>
      </c>
      <c r="H179" s="1444" t="s">
        <v>2368</v>
      </c>
      <c r="I179" s="2788" t="s">
        <v>2405</v>
      </c>
      <c r="J179" s="940" t="s">
        <v>73</v>
      </c>
      <c r="K179" s="940" t="s">
        <v>138</v>
      </c>
      <c r="L179" s="1495" t="s">
        <v>2370</v>
      </c>
      <c r="M179" s="1399" t="s">
        <v>1275</v>
      </c>
      <c r="N179" s="1315">
        <v>66080</v>
      </c>
      <c r="O179" s="1399" t="s">
        <v>7</v>
      </c>
      <c r="P179" s="1399" t="s">
        <v>28</v>
      </c>
      <c r="Q179" s="1496">
        <v>0.9</v>
      </c>
      <c r="R179" s="1467">
        <v>3400014785</v>
      </c>
      <c r="S179" s="1397" t="s">
        <v>2371</v>
      </c>
      <c r="T179" s="1315">
        <v>66080</v>
      </c>
      <c r="U179" s="1315" t="s">
        <v>28</v>
      </c>
      <c r="V179" s="2838">
        <f>Table6268934567910[[#This Row],[Offer Value]]-Table6268934567910[[#This Row],[PO Value]]</f>
        <v>0</v>
      </c>
      <c r="W179" s="1399" t="s">
        <v>2355</v>
      </c>
      <c r="X179" s="1317"/>
      <c r="Y179" s="1497"/>
      <c r="AB179" s="1542"/>
    </row>
    <row r="180" spans="1:32" s="1318" customFormat="1" ht="15.6">
      <c r="A180" s="1391"/>
      <c r="B180" s="1393"/>
      <c r="C180" s="2731" t="s">
        <v>2364</v>
      </c>
      <c r="D180" s="1460" t="s">
        <v>2365</v>
      </c>
      <c r="E180" s="1460" t="s">
        <v>2262</v>
      </c>
      <c r="F180" s="2744" t="s">
        <v>2366</v>
      </c>
      <c r="G180" s="2731" t="s">
        <v>2367</v>
      </c>
      <c r="H180" s="1444" t="s">
        <v>2368</v>
      </c>
      <c r="I180" s="2788" t="s">
        <v>2829</v>
      </c>
      <c r="J180" s="940" t="s">
        <v>73</v>
      </c>
      <c r="K180" s="940" t="s">
        <v>138</v>
      </c>
      <c r="L180" s="1495" t="s">
        <v>2370</v>
      </c>
      <c r="M180" s="1399" t="s">
        <v>1275</v>
      </c>
      <c r="N180" s="1315">
        <v>66080</v>
      </c>
      <c r="O180" s="1399" t="s">
        <v>7</v>
      </c>
      <c r="P180" s="1399" t="s">
        <v>28</v>
      </c>
      <c r="Q180" s="1496">
        <v>0.9</v>
      </c>
      <c r="R180" s="1467">
        <v>3400014785</v>
      </c>
      <c r="S180" s="1397" t="s">
        <v>2371</v>
      </c>
      <c r="T180" s="1315">
        <v>66080</v>
      </c>
      <c r="U180" s="1315" t="s">
        <v>28</v>
      </c>
      <c r="V180" s="2838">
        <f>Table6268934567910[[#This Row],[Offer Value]]-Table6268934567910[[#This Row],[PO Value]]</f>
        <v>0</v>
      </c>
      <c r="W180" s="1399" t="s">
        <v>2355</v>
      </c>
      <c r="X180" s="1317"/>
      <c r="Y180" s="1365"/>
      <c r="AB180" s="1542"/>
    </row>
    <row r="181" spans="1:32" s="1318" customFormat="1" ht="15.6">
      <c r="A181" s="1391"/>
      <c r="B181" s="1393"/>
      <c r="C181" s="2731" t="s">
        <v>2364</v>
      </c>
      <c r="D181" s="1460" t="s">
        <v>2365</v>
      </c>
      <c r="E181" s="1460" t="s">
        <v>2262</v>
      </c>
      <c r="F181" s="2744" t="s">
        <v>2366</v>
      </c>
      <c r="G181" s="2731" t="s">
        <v>2367</v>
      </c>
      <c r="H181" s="1444" t="s">
        <v>2368</v>
      </c>
      <c r="I181" s="2788" t="s">
        <v>2830</v>
      </c>
      <c r="J181" s="940" t="s">
        <v>73</v>
      </c>
      <c r="K181" s="940" t="s">
        <v>138</v>
      </c>
      <c r="L181" s="1495" t="s">
        <v>2370</v>
      </c>
      <c r="M181" s="1399" t="s">
        <v>1275</v>
      </c>
      <c r="N181" s="1315">
        <v>66080</v>
      </c>
      <c r="O181" s="1399" t="s">
        <v>7</v>
      </c>
      <c r="P181" s="1399" t="s">
        <v>28</v>
      </c>
      <c r="Q181" s="1496">
        <v>0.9</v>
      </c>
      <c r="R181" s="1467">
        <v>3400014785</v>
      </c>
      <c r="S181" s="1397" t="s">
        <v>2371</v>
      </c>
      <c r="T181" s="1315">
        <v>66080</v>
      </c>
      <c r="U181" s="1315" t="s">
        <v>28</v>
      </c>
      <c r="V181" s="2838">
        <f>Table6268934567910[[#This Row],[Offer Value]]-Table6268934567910[[#This Row],[PO Value]]</f>
        <v>0</v>
      </c>
      <c r="W181" s="1399" t="s">
        <v>2355</v>
      </c>
      <c r="X181" s="1317"/>
      <c r="Y181" s="1365"/>
      <c r="AB181" s="1542"/>
    </row>
    <row r="182" spans="1:32" s="1318" customFormat="1" ht="15.6">
      <c r="A182" s="1391"/>
      <c r="B182" s="1393"/>
      <c r="C182" s="2731" t="s">
        <v>2364</v>
      </c>
      <c r="D182" s="1460" t="s">
        <v>2365</v>
      </c>
      <c r="E182" s="1460" t="s">
        <v>2262</v>
      </c>
      <c r="F182" s="2744" t="s">
        <v>2366</v>
      </c>
      <c r="G182" s="2731" t="s">
        <v>2367</v>
      </c>
      <c r="H182" s="1444" t="s">
        <v>2368</v>
      </c>
      <c r="I182" s="2788" t="s">
        <v>2831</v>
      </c>
      <c r="J182" s="940" t="s">
        <v>73</v>
      </c>
      <c r="K182" s="940" t="s">
        <v>138</v>
      </c>
      <c r="L182" s="1495" t="s">
        <v>2370</v>
      </c>
      <c r="M182" s="1399" t="s">
        <v>1275</v>
      </c>
      <c r="N182" s="1315">
        <v>66080</v>
      </c>
      <c r="O182" s="1399" t="s">
        <v>7</v>
      </c>
      <c r="P182" s="1399" t="s">
        <v>28</v>
      </c>
      <c r="Q182" s="1496">
        <v>0.9</v>
      </c>
      <c r="R182" s="1467">
        <v>3400014785</v>
      </c>
      <c r="S182" s="1397" t="s">
        <v>2371</v>
      </c>
      <c r="T182" s="1315">
        <v>66080</v>
      </c>
      <c r="U182" s="1315" t="s">
        <v>28</v>
      </c>
      <c r="V182" s="2838">
        <f>Table6268934567910[[#This Row],[Offer Value]]-Table6268934567910[[#This Row],[PO Value]]</f>
        <v>0</v>
      </c>
      <c r="W182" s="1399" t="s">
        <v>2355</v>
      </c>
      <c r="X182" s="1317"/>
      <c r="Y182" s="1365"/>
      <c r="Z182" s="1987"/>
      <c r="AA182" s="1988"/>
      <c r="AB182" s="1989"/>
    </row>
    <row r="183" spans="1:32" s="1318" customFormat="1" ht="15.6">
      <c r="A183" s="1391"/>
      <c r="B183" s="1393"/>
      <c r="C183" s="2731" t="s">
        <v>2364</v>
      </c>
      <c r="D183" s="1460" t="s">
        <v>2365</v>
      </c>
      <c r="E183" s="1460" t="s">
        <v>2262</v>
      </c>
      <c r="F183" s="2744" t="s">
        <v>2366</v>
      </c>
      <c r="G183" s="2731" t="s">
        <v>2367</v>
      </c>
      <c r="H183" s="1444" t="s">
        <v>2368</v>
      </c>
      <c r="I183" s="2793" t="s">
        <v>2832</v>
      </c>
      <c r="J183" s="940" t="s">
        <v>73</v>
      </c>
      <c r="K183" s="940" t="s">
        <v>138</v>
      </c>
      <c r="L183" s="1495" t="s">
        <v>2370</v>
      </c>
      <c r="M183" s="1399" t="s">
        <v>1275</v>
      </c>
      <c r="N183" s="1315">
        <v>66080</v>
      </c>
      <c r="O183" s="1399" t="s">
        <v>7</v>
      </c>
      <c r="P183" s="1399" t="s">
        <v>28</v>
      </c>
      <c r="Q183" s="1496">
        <v>0.9</v>
      </c>
      <c r="R183" s="1467">
        <v>3400014785</v>
      </c>
      <c r="S183" s="1397" t="s">
        <v>2371</v>
      </c>
      <c r="T183" s="1315">
        <v>66080</v>
      </c>
      <c r="U183" s="1315" t="s">
        <v>28</v>
      </c>
      <c r="V183" s="2838">
        <f>Table6268934567910[[#This Row],[Offer Value]]-Table6268934567910[[#This Row],[PO Value]]</f>
        <v>0</v>
      </c>
      <c r="W183" s="1399" t="s">
        <v>2355</v>
      </c>
      <c r="X183" s="1317"/>
      <c r="Y183" s="1365"/>
      <c r="Z183" s="1987"/>
      <c r="AA183" s="1988"/>
      <c r="AB183" s="1989"/>
    </row>
    <row r="184" spans="1:32" s="1318" customFormat="1" ht="15.6">
      <c r="A184" s="1391"/>
      <c r="B184" s="1393"/>
      <c r="C184" s="1460" t="s">
        <v>2364</v>
      </c>
      <c r="D184" s="1460" t="s">
        <v>2365</v>
      </c>
      <c r="E184" s="1460" t="s">
        <v>2262</v>
      </c>
      <c r="F184" s="1493" t="s">
        <v>2366</v>
      </c>
      <c r="G184" s="1460" t="s">
        <v>2367</v>
      </c>
      <c r="H184" s="942" t="s">
        <v>2368</v>
      </c>
      <c r="I184" s="1494" t="s">
        <v>2833</v>
      </c>
      <c r="J184" s="940" t="s">
        <v>73</v>
      </c>
      <c r="K184" s="940" t="s">
        <v>138</v>
      </c>
      <c r="L184" s="1495" t="s">
        <v>2370</v>
      </c>
      <c r="M184" s="1399" t="s">
        <v>1275</v>
      </c>
      <c r="N184" s="1315">
        <v>66080</v>
      </c>
      <c r="O184" s="1399" t="s">
        <v>7</v>
      </c>
      <c r="P184" s="1399" t="s">
        <v>28</v>
      </c>
      <c r="Q184" s="1496">
        <v>0.9</v>
      </c>
      <c r="R184" s="1467">
        <v>3400014785</v>
      </c>
      <c r="S184" s="1397" t="s">
        <v>2371</v>
      </c>
      <c r="T184" s="1315">
        <v>66080</v>
      </c>
      <c r="U184" s="1315" t="s">
        <v>28</v>
      </c>
      <c r="V184" s="2838">
        <f>Table6268934567910[[#This Row],[Offer Value]]-Table6268934567910[[#This Row],[PO Value]]</f>
        <v>0</v>
      </c>
      <c r="W184" s="1399" t="s">
        <v>2355</v>
      </c>
      <c r="X184" s="1317"/>
      <c r="Y184" s="1365"/>
      <c r="Z184" s="1987"/>
      <c r="AA184" s="1988"/>
      <c r="AB184" s="1989"/>
    </row>
    <row r="185" spans="1:32" ht="15.6">
      <c r="A185" s="1391"/>
      <c r="B185" s="1393"/>
      <c r="C185" s="1460" t="s">
        <v>2364</v>
      </c>
      <c r="D185" s="1460" t="s">
        <v>2365</v>
      </c>
      <c r="E185" s="1460" t="s">
        <v>2262</v>
      </c>
      <c r="F185" s="2755" t="s">
        <v>2366</v>
      </c>
      <c r="G185" s="1460" t="s">
        <v>2367</v>
      </c>
      <c r="H185" s="942" t="s">
        <v>2368</v>
      </c>
      <c r="I185" s="2788" t="s">
        <v>2834</v>
      </c>
      <c r="J185" s="940" t="s">
        <v>73</v>
      </c>
      <c r="K185" s="940" t="s">
        <v>138</v>
      </c>
      <c r="L185" s="1495" t="s">
        <v>2370</v>
      </c>
      <c r="M185" s="1399" t="s">
        <v>1275</v>
      </c>
      <c r="N185" s="1315">
        <v>66080</v>
      </c>
      <c r="O185" s="1399" t="s">
        <v>7</v>
      </c>
      <c r="P185" s="1399" t="s">
        <v>28</v>
      </c>
      <c r="Q185" s="1496">
        <v>0.9</v>
      </c>
      <c r="R185" s="1467">
        <v>3400014785</v>
      </c>
      <c r="S185" s="1397" t="s">
        <v>2371</v>
      </c>
      <c r="T185" s="1315">
        <v>66080</v>
      </c>
      <c r="U185" s="1315" t="s">
        <v>28</v>
      </c>
      <c r="V185" s="2838">
        <f>Table6268934567910[[#This Row],[Offer Value]]-Table6268934567910[[#This Row],[PO Value]]</f>
        <v>0</v>
      </c>
      <c r="W185" s="1399" t="s">
        <v>2355</v>
      </c>
      <c r="X185" s="1317"/>
      <c r="Y185" s="1365"/>
      <c r="Z185" s="468"/>
      <c r="AA185" s="469"/>
      <c r="AB185" s="449"/>
    </row>
    <row r="186" spans="1:32" s="1318" customFormat="1" ht="15.6">
      <c r="A186" s="1391"/>
      <c r="B186" s="1393"/>
      <c r="C186" s="1460" t="s">
        <v>2364</v>
      </c>
      <c r="D186" s="1460" t="s">
        <v>2365</v>
      </c>
      <c r="E186" s="1460" t="s">
        <v>2262</v>
      </c>
      <c r="F186" s="1493" t="s">
        <v>2366</v>
      </c>
      <c r="G186" s="1460" t="s">
        <v>2367</v>
      </c>
      <c r="H186" s="942" t="s">
        <v>2368</v>
      </c>
      <c r="I186" s="1494" t="s">
        <v>2835</v>
      </c>
      <c r="J186" s="940" t="s">
        <v>73</v>
      </c>
      <c r="K186" s="940" t="s">
        <v>138</v>
      </c>
      <c r="L186" s="1495" t="s">
        <v>2370</v>
      </c>
      <c r="M186" s="1399" t="s">
        <v>1275</v>
      </c>
      <c r="N186" s="1315">
        <v>66080</v>
      </c>
      <c r="O186" s="1399" t="s">
        <v>7</v>
      </c>
      <c r="P186" s="1399" t="s">
        <v>28</v>
      </c>
      <c r="Q186" s="1496">
        <v>0.9</v>
      </c>
      <c r="R186" s="1467">
        <v>3400014785</v>
      </c>
      <c r="S186" s="1397" t="s">
        <v>2371</v>
      </c>
      <c r="T186" s="1315">
        <v>66080</v>
      </c>
      <c r="U186" s="1315" t="s">
        <v>28</v>
      </c>
      <c r="V186" s="2838">
        <f>Table6268934567910[[#This Row],[Offer Value]]-Table6268934567910[[#This Row],[PO Value]]</f>
        <v>0</v>
      </c>
      <c r="W186" s="1399" t="s">
        <v>2355</v>
      </c>
      <c r="X186" s="1317"/>
      <c r="Y186" s="1365"/>
      <c r="Z186" s="1987" t="s">
        <v>208</v>
      </c>
      <c r="AA186" s="1988" t="s">
        <v>208</v>
      </c>
      <c r="AB186" s="1989"/>
    </row>
    <row r="187" spans="1:32" ht="46.8">
      <c r="A187" s="1391"/>
      <c r="B187" s="1393"/>
      <c r="C187" s="1460" t="s">
        <v>2364</v>
      </c>
      <c r="D187" s="1460" t="s">
        <v>2365</v>
      </c>
      <c r="E187" s="1460" t="s">
        <v>2262</v>
      </c>
      <c r="F187" s="1493" t="s">
        <v>2366</v>
      </c>
      <c r="G187" s="1460" t="s">
        <v>2367</v>
      </c>
      <c r="H187" s="942" t="s">
        <v>2368</v>
      </c>
      <c r="I187" s="1494" t="s">
        <v>2836</v>
      </c>
      <c r="J187" s="940" t="s">
        <v>73</v>
      </c>
      <c r="K187" s="940" t="s">
        <v>138</v>
      </c>
      <c r="L187" s="1495" t="s">
        <v>2370</v>
      </c>
      <c r="M187" s="1399" t="s">
        <v>1275</v>
      </c>
      <c r="N187" s="1315">
        <v>66080</v>
      </c>
      <c r="O187" s="1399" t="s">
        <v>7</v>
      </c>
      <c r="P187" s="1399" t="s">
        <v>28</v>
      </c>
      <c r="Q187" s="1496">
        <v>0.9</v>
      </c>
      <c r="R187" s="1467">
        <v>3400014785</v>
      </c>
      <c r="S187" s="1397" t="s">
        <v>2371</v>
      </c>
      <c r="T187" s="1315">
        <v>66080</v>
      </c>
      <c r="U187" s="1315" t="s">
        <v>28</v>
      </c>
      <c r="V187" s="2838">
        <f>Table6268934567910[[#This Row],[Offer Value]]-Table6268934567910[[#This Row],[PO Value]]</f>
        <v>0</v>
      </c>
      <c r="W187" s="1508" t="s">
        <v>2355</v>
      </c>
      <c r="X187" s="1317"/>
      <c r="Y187" s="1365"/>
      <c r="Z187" s="468"/>
      <c r="AA187" s="469"/>
      <c r="AB187" s="449"/>
    </row>
    <row r="188" spans="1:32" s="1318" customFormat="1" ht="31.2">
      <c r="A188" s="1192"/>
      <c r="B188" s="1203"/>
      <c r="C188" s="1204" t="s">
        <v>1190</v>
      </c>
      <c r="D188" s="1205" t="s">
        <v>2252</v>
      </c>
      <c r="E188" s="1205" t="s">
        <v>2408</v>
      </c>
      <c r="F188" s="2725" t="s">
        <v>2409</v>
      </c>
      <c r="G188" s="2729">
        <v>9481273435</v>
      </c>
      <c r="H188" s="2787" t="s">
        <v>2410</v>
      </c>
      <c r="I188" s="2898" t="s">
        <v>2837</v>
      </c>
      <c r="J188" s="1207" t="s">
        <v>73</v>
      </c>
      <c r="K188" s="1207" t="s">
        <v>138</v>
      </c>
      <c r="L188" s="1208" t="s">
        <v>2411</v>
      </c>
      <c r="M188" s="1209">
        <v>45629</v>
      </c>
      <c r="N188" s="1189">
        <v>68898</v>
      </c>
      <c r="O188" s="1176" t="s">
        <v>7</v>
      </c>
      <c r="P188" s="1177" t="s">
        <v>37</v>
      </c>
      <c r="Q188" s="1210">
        <v>1</v>
      </c>
      <c r="R188" s="1201" t="s">
        <v>2412</v>
      </c>
      <c r="S188" s="1202" t="s">
        <v>2413</v>
      </c>
      <c r="T188" s="1189">
        <v>68898</v>
      </c>
      <c r="U188" s="1211" t="s">
        <v>34</v>
      </c>
      <c r="V188" s="2837">
        <f>Table6268934567910[[#This Row],[Offer Value]]-Table6268934567910[[#This Row],[PO Value]]</f>
        <v>0</v>
      </c>
      <c r="W188" s="1183"/>
      <c r="X188" s="1183"/>
      <c r="Y188" s="1184"/>
      <c r="Z188" s="1987"/>
      <c r="AA188" s="1988"/>
      <c r="AB188" s="1989"/>
    </row>
    <row r="189" spans="1:32" s="1318" customFormat="1" ht="31.2">
      <c r="A189" s="1192"/>
      <c r="B189" s="1203"/>
      <c r="C189" s="1194" t="s">
        <v>1190</v>
      </c>
      <c r="D189" s="1195" t="s">
        <v>2252</v>
      </c>
      <c r="E189" s="1195" t="s">
        <v>2408</v>
      </c>
      <c r="F189" s="1194" t="s">
        <v>2409</v>
      </c>
      <c r="G189" s="1195">
        <v>9481273435</v>
      </c>
      <c r="H189" s="1196" t="s">
        <v>2410</v>
      </c>
      <c r="I189" s="2412" t="s">
        <v>2838</v>
      </c>
      <c r="J189" s="1197" t="s">
        <v>73</v>
      </c>
      <c r="K189" s="1197" t="s">
        <v>138</v>
      </c>
      <c r="L189" s="1198" t="s">
        <v>2411</v>
      </c>
      <c r="M189" s="1199">
        <v>45629</v>
      </c>
      <c r="N189" s="1189">
        <v>68898</v>
      </c>
      <c r="O189" s="1176" t="s">
        <v>7</v>
      </c>
      <c r="P189" s="1177" t="s">
        <v>37</v>
      </c>
      <c r="Q189" s="1200">
        <v>1</v>
      </c>
      <c r="R189" s="1201" t="s">
        <v>2412</v>
      </c>
      <c r="S189" s="1202" t="s">
        <v>2413</v>
      </c>
      <c r="T189" s="1189">
        <v>68898</v>
      </c>
      <c r="U189" s="1177" t="s">
        <v>34</v>
      </c>
      <c r="V189" s="2837">
        <f>Table6268934567910[[#This Row],[Offer Value]]-Table6268934567910[[#This Row],[PO Value]]</f>
        <v>0</v>
      </c>
      <c r="W189" s="1183"/>
      <c r="X189" s="1183"/>
      <c r="Y189" s="1184"/>
      <c r="Z189" s="1987"/>
      <c r="AA189" s="1988"/>
      <c r="AB189" s="1989"/>
    </row>
    <row r="190" spans="1:32" s="1318" customFormat="1" ht="31.2">
      <c r="A190" s="1192"/>
      <c r="B190" s="1203"/>
      <c r="C190" s="1204" t="s">
        <v>1190</v>
      </c>
      <c r="D190" s="1205" t="s">
        <v>2252</v>
      </c>
      <c r="E190" s="1205" t="s">
        <v>2408</v>
      </c>
      <c r="F190" s="2725" t="s">
        <v>2409</v>
      </c>
      <c r="G190" s="2729">
        <v>9481273435</v>
      </c>
      <c r="H190" s="2777" t="s">
        <v>2410</v>
      </c>
      <c r="I190" s="2898" t="s">
        <v>2839</v>
      </c>
      <c r="J190" s="1207" t="s">
        <v>73</v>
      </c>
      <c r="K190" s="1207" t="s">
        <v>138</v>
      </c>
      <c r="L190" s="2808" t="s">
        <v>2411</v>
      </c>
      <c r="M190" s="1209">
        <v>45629</v>
      </c>
      <c r="N190" s="1189">
        <v>68898</v>
      </c>
      <c r="O190" s="1176" t="s">
        <v>7</v>
      </c>
      <c r="P190" s="1177" t="s">
        <v>37</v>
      </c>
      <c r="Q190" s="1210">
        <v>1</v>
      </c>
      <c r="R190" s="1201" t="s">
        <v>2412</v>
      </c>
      <c r="S190" s="1202" t="s">
        <v>2413</v>
      </c>
      <c r="T190" s="1189">
        <v>68898</v>
      </c>
      <c r="U190" s="1211" t="s">
        <v>34</v>
      </c>
      <c r="V190" s="2837">
        <f>Table6268934567910[[#This Row],[Offer Value]]-Table6268934567910[[#This Row],[PO Value]]</f>
        <v>0</v>
      </c>
      <c r="W190" s="1183"/>
      <c r="X190" s="1183"/>
      <c r="Y190" s="1184"/>
      <c r="Z190" s="1987"/>
      <c r="AA190" s="1988"/>
      <c r="AB190" s="1989"/>
      <c r="AF190" s="1318" t="s">
        <v>2840</v>
      </c>
    </row>
    <row r="191" spans="1:32" s="1318" customFormat="1" ht="31.2">
      <c r="A191" s="1192"/>
      <c r="B191" s="1203"/>
      <c r="C191" s="1194" t="s">
        <v>1190</v>
      </c>
      <c r="D191" s="1195" t="s">
        <v>2252</v>
      </c>
      <c r="E191" s="1195" t="s">
        <v>2408</v>
      </c>
      <c r="F191" s="1194" t="s">
        <v>2409</v>
      </c>
      <c r="G191" s="1195">
        <v>9481273435</v>
      </c>
      <c r="H191" s="1196" t="s">
        <v>2410</v>
      </c>
      <c r="I191" s="1194" t="s">
        <v>2841</v>
      </c>
      <c r="J191" s="1197" t="s">
        <v>73</v>
      </c>
      <c r="K191" s="1197" t="s">
        <v>138</v>
      </c>
      <c r="L191" s="2810" t="s">
        <v>2411</v>
      </c>
      <c r="M191" s="1199">
        <v>45629</v>
      </c>
      <c r="N191" s="1189">
        <v>68898</v>
      </c>
      <c r="O191" s="1176" t="s">
        <v>7</v>
      </c>
      <c r="P191" s="1177" t="s">
        <v>37</v>
      </c>
      <c r="Q191" s="1200">
        <v>1</v>
      </c>
      <c r="R191" s="1201" t="s">
        <v>2412</v>
      </c>
      <c r="S191" s="1202" t="s">
        <v>2413</v>
      </c>
      <c r="T191" s="1189">
        <v>68898</v>
      </c>
      <c r="U191" s="1177" t="s">
        <v>34</v>
      </c>
      <c r="V191" s="2837">
        <f>Table6268934567910[[#This Row],[Offer Value]]-Table6268934567910[[#This Row],[PO Value]]</f>
        <v>0</v>
      </c>
      <c r="W191" s="1183"/>
      <c r="X191" s="1183"/>
      <c r="Y191" s="1184"/>
      <c r="Z191" s="1987"/>
      <c r="AA191" s="1988"/>
      <c r="AB191" s="1989"/>
    </row>
    <row r="192" spans="1:32" s="1318" customFormat="1" ht="31.2">
      <c r="A192" s="1192"/>
      <c r="B192" s="1203"/>
      <c r="C192" s="1204" t="s">
        <v>1190</v>
      </c>
      <c r="D192" s="1205" t="s">
        <v>2252</v>
      </c>
      <c r="E192" s="1239" t="s">
        <v>2408</v>
      </c>
      <c r="F192" s="1214" t="s">
        <v>2409</v>
      </c>
      <c r="G192" s="1213">
        <v>9481273435</v>
      </c>
      <c r="H192" s="1215" t="s">
        <v>2410</v>
      </c>
      <c r="I192" s="2898" t="s">
        <v>2842</v>
      </c>
      <c r="J192" s="1207" t="s">
        <v>73</v>
      </c>
      <c r="K192" s="1207" t="s">
        <v>138</v>
      </c>
      <c r="L192" s="1208" t="s">
        <v>2411</v>
      </c>
      <c r="M192" s="1209">
        <v>45629</v>
      </c>
      <c r="N192" s="1189">
        <v>68898</v>
      </c>
      <c r="O192" s="1176" t="s">
        <v>7</v>
      </c>
      <c r="P192" s="1177" t="s">
        <v>37</v>
      </c>
      <c r="Q192" s="1210">
        <v>1</v>
      </c>
      <c r="R192" s="1201" t="s">
        <v>2412</v>
      </c>
      <c r="S192" s="1202" t="s">
        <v>2413</v>
      </c>
      <c r="T192" s="1189">
        <v>68898</v>
      </c>
      <c r="U192" s="1211" t="s">
        <v>34</v>
      </c>
      <c r="V192" s="2837">
        <f>Table6268934567910[[#This Row],[Offer Value]]-Table6268934567910[[#This Row],[PO Value]]</f>
        <v>0</v>
      </c>
      <c r="W192" s="1183"/>
      <c r="X192" s="1183"/>
      <c r="Y192" s="1184"/>
      <c r="Z192" s="1987"/>
      <c r="AA192" s="1988"/>
      <c r="AB192" s="1989"/>
    </row>
    <row r="193" spans="1:31" s="1318" customFormat="1" ht="31.2">
      <c r="A193" s="1192"/>
      <c r="B193" s="1203"/>
      <c r="C193" s="1194" t="s">
        <v>1190</v>
      </c>
      <c r="D193" s="1195" t="s">
        <v>2252</v>
      </c>
      <c r="E193" s="1236" t="s">
        <v>2408</v>
      </c>
      <c r="F193" s="2757" t="s">
        <v>2409</v>
      </c>
      <c r="G193" s="2220">
        <v>9481273435</v>
      </c>
      <c r="H193" s="2786" t="s">
        <v>2410</v>
      </c>
      <c r="I193" s="2412" t="s">
        <v>2843</v>
      </c>
      <c r="J193" s="1197" t="s">
        <v>73</v>
      </c>
      <c r="K193" s="1197" t="s">
        <v>138</v>
      </c>
      <c r="L193" s="1198" t="s">
        <v>2411</v>
      </c>
      <c r="M193" s="1199">
        <v>45629</v>
      </c>
      <c r="N193" s="1189">
        <v>68898</v>
      </c>
      <c r="O193" s="1176" t="s">
        <v>7</v>
      </c>
      <c r="P193" s="1177" t="s">
        <v>37</v>
      </c>
      <c r="Q193" s="1200">
        <v>1</v>
      </c>
      <c r="R193" s="1201" t="s">
        <v>2412</v>
      </c>
      <c r="S193" s="1202" t="s">
        <v>2413</v>
      </c>
      <c r="T193" s="1189">
        <v>68898</v>
      </c>
      <c r="U193" s="1177" t="s">
        <v>34</v>
      </c>
      <c r="V193" s="2837">
        <f>Table6268934567910[[#This Row],[Offer Value]]-Table6268934567910[[#This Row],[PO Value]]</f>
        <v>0</v>
      </c>
      <c r="W193" s="1183"/>
      <c r="X193" s="1183"/>
      <c r="Y193" s="1184"/>
      <c r="Z193" s="1987"/>
      <c r="AA193" s="1988"/>
      <c r="AB193" s="1989"/>
    </row>
    <row r="194" spans="1:31" s="1318" customFormat="1" ht="31.2">
      <c r="A194" s="1192"/>
      <c r="B194" s="1203"/>
      <c r="C194" s="1204" t="s">
        <v>1190</v>
      </c>
      <c r="D194" s="1205" t="s">
        <v>2252</v>
      </c>
      <c r="E194" s="1205" t="s">
        <v>2408</v>
      </c>
      <c r="F194" s="1204" t="s">
        <v>2409</v>
      </c>
      <c r="G194" s="1205">
        <v>9481273435</v>
      </c>
      <c r="H194" s="1206" t="s">
        <v>2410</v>
      </c>
      <c r="I194" s="2898" t="s">
        <v>2597</v>
      </c>
      <c r="J194" s="1207" t="s">
        <v>73</v>
      </c>
      <c r="K194" s="1207" t="s">
        <v>138</v>
      </c>
      <c r="L194" s="1208" t="s">
        <v>2411</v>
      </c>
      <c r="M194" s="1209">
        <v>45629</v>
      </c>
      <c r="N194" s="1189">
        <v>68898</v>
      </c>
      <c r="O194" s="1176" t="s">
        <v>7</v>
      </c>
      <c r="P194" s="1177" t="s">
        <v>37</v>
      </c>
      <c r="Q194" s="1210">
        <v>1</v>
      </c>
      <c r="R194" s="1201" t="s">
        <v>2412</v>
      </c>
      <c r="S194" s="1202" t="s">
        <v>2413</v>
      </c>
      <c r="T194" s="1189">
        <v>68898</v>
      </c>
      <c r="U194" s="1211" t="s">
        <v>34</v>
      </c>
      <c r="V194" s="2837">
        <f>Table6268934567910[[#This Row],[Offer Value]]-Table6268934567910[[#This Row],[PO Value]]</f>
        <v>0</v>
      </c>
      <c r="W194" s="1183"/>
      <c r="X194" s="1183"/>
      <c r="Y194" s="1184"/>
      <c r="Z194" s="1987"/>
      <c r="AA194" s="1988"/>
      <c r="AB194" s="1989"/>
    </row>
    <row r="195" spans="1:31" s="1318" customFormat="1" ht="31.2">
      <c r="A195" s="1192"/>
      <c r="B195" s="1203"/>
      <c r="C195" s="1194" t="s">
        <v>1190</v>
      </c>
      <c r="D195" s="1195" t="s">
        <v>2252</v>
      </c>
      <c r="E195" s="1195" t="s">
        <v>2408</v>
      </c>
      <c r="F195" s="1194" t="s">
        <v>2409</v>
      </c>
      <c r="G195" s="1195">
        <v>9481273435</v>
      </c>
      <c r="H195" s="1196" t="s">
        <v>2410</v>
      </c>
      <c r="I195" s="2412" t="s">
        <v>2844</v>
      </c>
      <c r="J195" s="1197" t="s">
        <v>73</v>
      </c>
      <c r="K195" s="1197" t="s">
        <v>138</v>
      </c>
      <c r="L195" s="1198" t="s">
        <v>2411</v>
      </c>
      <c r="M195" s="1199">
        <v>45629</v>
      </c>
      <c r="N195" s="1189">
        <v>68898</v>
      </c>
      <c r="O195" s="1176" t="s">
        <v>7</v>
      </c>
      <c r="P195" s="1177" t="s">
        <v>37</v>
      </c>
      <c r="Q195" s="1200">
        <v>1</v>
      </c>
      <c r="R195" s="1201" t="s">
        <v>2412</v>
      </c>
      <c r="S195" s="1202" t="s">
        <v>2413</v>
      </c>
      <c r="T195" s="1189">
        <v>68898</v>
      </c>
      <c r="U195" s="1177" t="s">
        <v>34</v>
      </c>
      <c r="V195" s="2837">
        <f>Table6268934567910[[#This Row],[Offer Value]]-Table6268934567910[[#This Row],[PO Value]]</f>
        <v>0</v>
      </c>
      <c r="W195" s="1183"/>
      <c r="X195" s="1183"/>
      <c r="Y195" s="1190"/>
      <c r="Z195" s="1987" t="s">
        <v>208</v>
      </c>
      <c r="AA195" s="1988" t="s">
        <v>208</v>
      </c>
      <c r="AB195" s="1989"/>
    </row>
    <row r="196" spans="1:31" s="1318" customFormat="1" ht="31.2">
      <c r="A196" s="1192"/>
      <c r="B196" s="1203"/>
      <c r="C196" s="1204" t="s">
        <v>1190</v>
      </c>
      <c r="D196" s="1239" t="s">
        <v>2252</v>
      </c>
      <c r="E196" s="1153" t="s">
        <v>2408</v>
      </c>
      <c r="F196" s="1253" t="s">
        <v>2409</v>
      </c>
      <c r="G196" s="1153">
        <v>9481273435</v>
      </c>
      <c r="H196" s="2772" t="s">
        <v>2410</v>
      </c>
      <c r="I196" s="2874" t="s">
        <v>2845</v>
      </c>
      <c r="J196" s="2876" t="s">
        <v>73</v>
      </c>
      <c r="K196" s="1207" t="s">
        <v>138</v>
      </c>
      <c r="L196" s="1208" t="s">
        <v>2411</v>
      </c>
      <c r="M196" s="1209">
        <v>45629</v>
      </c>
      <c r="N196" s="1189">
        <v>68898</v>
      </c>
      <c r="O196" s="1176" t="s">
        <v>7</v>
      </c>
      <c r="P196" s="1177" t="s">
        <v>37</v>
      </c>
      <c r="Q196" s="1210">
        <v>1</v>
      </c>
      <c r="R196" s="1201" t="s">
        <v>2412</v>
      </c>
      <c r="S196" s="2831" t="s">
        <v>2413</v>
      </c>
      <c r="T196" s="1189">
        <v>68898</v>
      </c>
      <c r="U196" s="1211" t="s">
        <v>34</v>
      </c>
      <c r="V196" s="2837">
        <f>Table6268934567910[[#This Row],[Offer Value]]-Table6268934567910[[#This Row],[PO Value]]</f>
        <v>0</v>
      </c>
      <c r="W196" s="1183"/>
      <c r="X196" s="1184"/>
      <c r="Y196" s="1190"/>
      <c r="Z196" s="1987"/>
      <c r="AA196" s="1988"/>
      <c r="AB196" s="1542"/>
    </row>
    <row r="197" spans="1:31" s="1318" customFormat="1" ht="31.2">
      <c r="A197" s="1192"/>
      <c r="B197" s="1203"/>
      <c r="C197" s="1194" t="s">
        <v>1190</v>
      </c>
      <c r="D197" s="1236" t="s">
        <v>2252</v>
      </c>
      <c r="E197" s="1252" t="s">
        <v>2408</v>
      </c>
      <c r="F197" s="1247" t="s">
        <v>2409</v>
      </c>
      <c r="G197" s="1252">
        <v>9481273435</v>
      </c>
      <c r="H197" s="2770" t="s">
        <v>2410</v>
      </c>
      <c r="I197" s="2412" t="s">
        <v>2846</v>
      </c>
      <c r="J197" s="2904" t="s">
        <v>73</v>
      </c>
      <c r="K197" s="1197" t="s">
        <v>138</v>
      </c>
      <c r="L197" s="1198" t="s">
        <v>2411</v>
      </c>
      <c r="M197" s="1199">
        <v>45629</v>
      </c>
      <c r="N197" s="1189">
        <v>68898</v>
      </c>
      <c r="O197" s="1176" t="s">
        <v>7</v>
      </c>
      <c r="P197" s="1177" t="s">
        <v>37</v>
      </c>
      <c r="Q197" s="1200">
        <v>1</v>
      </c>
      <c r="R197" s="1201" t="s">
        <v>2412</v>
      </c>
      <c r="S197" s="2831" t="s">
        <v>2413</v>
      </c>
      <c r="T197" s="1189">
        <v>68898</v>
      </c>
      <c r="U197" s="1177" t="s">
        <v>34</v>
      </c>
      <c r="V197" s="2837">
        <f>Table6268934567910[[#This Row],[Offer Value]]-Table6268934567910[[#This Row],[PO Value]]</f>
        <v>0</v>
      </c>
      <c r="W197" s="1183"/>
      <c r="X197" s="1183"/>
      <c r="Y197" s="1184"/>
      <c r="Z197" s="1987"/>
      <c r="AA197" s="1988"/>
      <c r="AB197" s="1542"/>
      <c r="AC197" s="2252"/>
      <c r="AD197" s="2252"/>
      <c r="AE197" s="2252"/>
    </row>
    <row r="198" spans="1:31" s="1318" customFormat="1" ht="31.2">
      <c r="A198" s="1192"/>
      <c r="B198" s="1203"/>
      <c r="C198" s="1204" t="s">
        <v>1190</v>
      </c>
      <c r="D198" s="1239" t="s">
        <v>2252</v>
      </c>
      <c r="E198" s="1153" t="s">
        <v>2408</v>
      </c>
      <c r="F198" s="2888" t="s">
        <v>2409</v>
      </c>
      <c r="G198" s="2729">
        <v>9481273435</v>
      </c>
      <c r="H198" s="2777" t="s">
        <v>2410</v>
      </c>
      <c r="I198" s="2898" t="s">
        <v>2847</v>
      </c>
      <c r="J198" s="2876" t="s">
        <v>73</v>
      </c>
      <c r="K198" s="1207" t="s">
        <v>138</v>
      </c>
      <c r="L198" s="2808" t="s">
        <v>2411</v>
      </c>
      <c r="M198" s="1209">
        <v>45629</v>
      </c>
      <c r="N198" s="1189">
        <v>68898</v>
      </c>
      <c r="O198" s="1176" t="s">
        <v>7</v>
      </c>
      <c r="P198" s="1177" t="s">
        <v>37</v>
      </c>
      <c r="Q198" s="1210">
        <v>1</v>
      </c>
      <c r="R198" s="1201" t="s">
        <v>2412</v>
      </c>
      <c r="S198" s="2831" t="s">
        <v>2413</v>
      </c>
      <c r="T198" s="1189">
        <v>68898</v>
      </c>
      <c r="U198" s="1211" t="s">
        <v>34</v>
      </c>
      <c r="V198" s="2837">
        <f>Table6268934567910[[#This Row],[Offer Value]]-Table6268934567910[[#This Row],[PO Value]]</f>
        <v>0</v>
      </c>
      <c r="W198" s="1183"/>
      <c r="X198" s="1183"/>
      <c r="Y198" s="1184"/>
      <c r="AB198" s="1542"/>
    </row>
    <row r="199" spans="1:31" s="1318" customFormat="1" ht="31.2">
      <c r="A199" s="1192"/>
      <c r="B199" s="1203"/>
      <c r="C199" s="1194" t="s">
        <v>1190</v>
      </c>
      <c r="D199" s="1236" t="s">
        <v>2252</v>
      </c>
      <c r="E199" s="1252" t="s">
        <v>2408</v>
      </c>
      <c r="F199" s="1247" t="s">
        <v>2409</v>
      </c>
      <c r="G199" s="2763">
        <v>9481273435</v>
      </c>
      <c r="H199" s="2770" t="s">
        <v>2410</v>
      </c>
      <c r="I199" s="1247" t="s">
        <v>2848</v>
      </c>
      <c r="J199" s="2904" t="s">
        <v>73</v>
      </c>
      <c r="K199" s="1197" t="s">
        <v>138</v>
      </c>
      <c r="L199" s="2810" t="s">
        <v>2411</v>
      </c>
      <c r="M199" s="1199">
        <v>45629</v>
      </c>
      <c r="N199" s="1189">
        <v>68898</v>
      </c>
      <c r="O199" s="1176" t="s">
        <v>7</v>
      </c>
      <c r="P199" s="1177" t="s">
        <v>37</v>
      </c>
      <c r="Q199" s="1200">
        <v>1</v>
      </c>
      <c r="R199" s="1201" t="s">
        <v>2412</v>
      </c>
      <c r="S199" s="2831" t="s">
        <v>2413</v>
      </c>
      <c r="T199" s="1189">
        <v>68898</v>
      </c>
      <c r="U199" s="1177" t="s">
        <v>34</v>
      </c>
      <c r="V199" s="2837">
        <f>Table6268934567910[[#This Row],[Offer Value]]-Table6268934567910[[#This Row],[PO Value]]</f>
        <v>0</v>
      </c>
      <c r="W199" s="1183"/>
      <c r="X199" s="1183"/>
      <c r="Y199" s="1190"/>
      <c r="AB199" s="1542"/>
    </row>
    <row r="200" spans="1:31" ht="31.2">
      <c r="A200" s="1192"/>
      <c r="B200" s="1203"/>
      <c r="C200" s="1204" t="s">
        <v>1190</v>
      </c>
      <c r="D200" s="1239" t="s">
        <v>2252</v>
      </c>
      <c r="E200" s="1153" t="s">
        <v>2408</v>
      </c>
      <c r="F200" s="2725" t="s">
        <v>2409</v>
      </c>
      <c r="G200" s="2729">
        <v>9481273435</v>
      </c>
      <c r="H200" s="2777" t="s">
        <v>2410</v>
      </c>
      <c r="I200" s="2898" t="s">
        <v>2849</v>
      </c>
      <c r="J200" s="2876" t="s">
        <v>73</v>
      </c>
      <c r="K200" s="1207" t="s">
        <v>138</v>
      </c>
      <c r="L200" s="2808" t="s">
        <v>2411</v>
      </c>
      <c r="M200" s="1209">
        <v>45629</v>
      </c>
      <c r="N200" s="1189">
        <v>68898</v>
      </c>
      <c r="O200" s="1176" t="s">
        <v>7</v>
      </c>
      <c r="P200" s="1177" t="s">
        <v>37</v>
      </c>
      <c r="Q200" s="1210">
        <v>1</v>
      </c>
      <c r="R200" s="1201" t="s">
        <v>2412</v>
      </c>
      <c r="S200" s="2831" t="s">
        <v>2413</v>
      </c>
      <c r="T200" s="1189">
        <v>68898</v>
      </c>
      <c r="U200" s="1211" t="s">
        <v>34</v>
      </c>
      <c r="V200" s="2837">
        <f>Table6268934567910[[#This Row],[Offer Value]]-Table6268934567910[[#This Row],[PO Value]]</f>
        <v>0</v>
      </c>
      <c r="W200" s="1183"/>
      <c r="X200" s="1183"/>
      <c r="Y200" s="1190"/>
    </row>
    <row r="201" spans="1:31" ht="31.2">
      <c r="A201" s="1192"/>
      <c r="B201" s="1203"/>
      <c r="C201" s="1194" t="s">
        <v>1190</v>
      </c>
      <c r="D201" s="1236" t="s">
        <v>2252</v>
      </c>
      <c r="E201" s="1252" t="s">
        <v>2408</v>
      </c>
      <c r="F201" s="2412" t="s">
        <v>2409</v>
      </c>
      <c r="G201" s="2891">
        <v>9481273435</v>
      </c>
      <c r="H201" s="2773" t="s">
        <v>2410</v>
      </c>
      <c r="I201" s="2412" t="s">
        <v>2850</v>
      </c>
      <c r="J201" s="2904" t="s">
        <v>73</v>
      </c>
      <c r="K201" s="1197" t="s">
        <v>138</v>
      </c>
      <c r="L201" s="2810" t="s">
        <v>2411</v>
      </c>
      <c r="M201" s="1199">
        <v>45629</v>
      </c>
      <c r="N201" s="1189">
        <v>68898</v>
      </c>
      <c r="O201" s="1176" t="s">
        <v>7</v>
      </c>
      <c r="P201" s="1177" t="s">
        <v>37</v>
      </c>
      <c r="Q201" s="1200">
        <v>1</v>
      </c>
      <c r="R201" s="1201" t="s">
        <v>2412</v>
      </c>
      <c r="S201" s="2831" t="s">
        <v>2413</v>
      </c>
      <c r="T201" s="1189">
        <v>68898</v>
      </c>
      <c r="U201" s="1177" t="s">
        <v>34</v>
      </c>
      <c r="V201" s="2837">
        <f>Table6268934567910[[#This Row],[Offer Value]]-Table6268934567910[[#This Row],[PO Value]]</f>
        <v>0</v>
      </c>
      <c r="W201" s="1183"/>
      <c r="X201" s="1183"/>
      <c r="Y201" s="1184"/>
    </row>
    <row r="202" spans="1:31" ht="31.2">
      <c r="A202" s="1192"/>
      <c r="B202" s="1203"/>
      <c r="C202" s="1204" t="s">
        <v>1190</v>
      </c>
      <c r="D202" s="1239" t="s">
        <v>2252</v>
      </c>
      <c r="E202" s="1153" t="s">
        <v>2408</v>
      </c>
      <c r="F202" s="2725" t="s">
        <v>2409</v>
      </c>
      <c r="G202" s="2892">
        <v>9481273435</v>
      </c>
      <c r="H202" s="2777" t="s">
        <v>2410</v>
      </c>
      <c r="I202" s="2898" t="s">
        <v>2851</v>
      </c>
      <c r="J202" s="2876" t="s">
        <v>73</v>
      </c>
      <c r="K202" s="1207" t="s">
        <v>138</v>
      </c>
      <c r="L202" s="2808" t="s">
        <v>2411</v>
      </c>
      <c r="M202" s="1209">
        <v>45629</v>
      </c>
      <c r="N202" s="1189">
        <v>68898</v>
      </c>
      <c r="O202" s="1176" t="s">
        <v>7</v>
      </c>
      <c r="P202" s="1177" t="s">
        <v>37</v>
      </c>
      <c r="Q202" s="1210">
        <v>1</v>
      </c>
      <c r="R202" s="1201" t="s">
        <v>2412</v>
      </c>
      <c r="S202" s="2831" t="s">
        <v>2413</v>
      </c>
      <c r="T202" s="1189">
        <v>68898</v>
      </c>
      <c r="U202" s="1211" t="s">
        <v>34</v>
      </c>
      <c r="V202" s="2837">
        <f>Table6268934567910[[#This Row],[Offer Value]]-Table6268934567910[[#This Row],[PO Value]]</f>
        <v>0</v>
      </c>
      <c r="W202" s="1183"/>
      <c r="X202" s="1183"/>
      <c r="Y202" s="1190"/>
    </row>
    <row r="203" spans="1:31" ht="31.2">
      <c r="A203" s="1192"/>
      <c r="B203" s="1203"/>
      <c r="C203" s="1194" t="s">
        <v>1190</v>
      </c>
      <c r="D203" s="1236" t="s">
        <v>2252</v>
      </c>
      <c r="E203" s="1252" t="s">
        <v>2408</v>
      </c>
      <c r="F203" s="2412" t="s">
        <v>2409</v>
      </c>
      <c r="G203" s="2891">
        <v>9481273435</v>
      </c>
      <c r="H203" s="2773" t="s">
        <v>2410</v>
      </c>
      <c r="I203" s="2412" t="s">
        <v>2755</v>
      </c>
      <c r="J203" s="2904" t="s">
        <v>73</v>
      </c>
      <c r="K203" s="1197" t="s">
        <v>138</v>
      </c>
      <c r="L203" s="2810" t="s">
        <v>2411</v>
      </c>
      <c r="M203" s="1199">
        <v>45629</v>
      </c>
      <c r="N203" s="1189">
        <v>68898</v>
      </c>
      <c r="O203" s="1176" t="s">
        <v>7</v>
      </c>
      <c r="P203" s="1177" t="s">
        <v>37</v>
      </c>
      <c r="Q203" s="1200">
        <v>1</v>
      </c>
      <c r="R203" s="1201" t="s">
        <v>2412</v>
      </c>
      <c r="S203" s="2831" t="s">
        <v>2413</v>
      </c>
      <c r="T203" s="1189">
        <v>68898</v>
      </c>
      <c r="U203" s="1177" t="s">
        <v>34</v>
      </c>
      <c r="V203" s="2837">
        <f>Table6268934567910[[#This Row],[Offer Value]]-Table6268934567910[[#This Row],[PO Value]]</f>
        <v>0</v>
      </c>
      <c r="W203" s="1183"/>
      <c r="X203" s="1183"/>
      <c r="Y203" s="1184"/>
    </row>
    <row r="204" spans="1:31" ht="31.2">
      <c r="A204" s="1192"/>
      <c r="B204" s="1203"/>
      <c r="C204" s="1204" t="s">
        <v>1190</v>
      </c>
      <c r="D204" s="1239" t="s">
        <v>2252</v>
      </c>
      <c r="E204" s="1153" t="s">
        <v>2408</v>
      </c>
      <c r="F204" s="2725" t="s">
        <v>2409</v>
      </c>
      <c r="G204" s="2892">
        <v>9481273435</v>
      </c>
      <c r="H204" s="2777" t="s">
        <v>2410</v>
      </c>
      <c r="I204" s="2899" t="s">
        <v>2852</v>
      </c>
      <c r="J204" s="2876" t="s">
        <v>73</v>
      </c>
      <c r="K204" s="1207" t="s">
        <v>138</v>
      </c>
      <c r="L204" s="2808" t="s">
        <v>2411</v>
      </c>
      <c r="M204" s="1209">
        <v>45629</v>
      </c>
      <c r="N204" s="1189">
        <v>68898</v>
      </c>
      <c r="O204" s="1176" t="s">
        <v>7</v>
      </c>
      <c r="P204" s="1177" t="s">
        <v>37</v>
      </c>
      <c r="Q204" s="1210">
        <v>1</v>
      </c>
      <c r="R204" s="1201" t="s">
        <v>2412</v>
      </c>
      <c r="S204" s="2831" t="s">
        <v>2413</v>
      </c>
      <c r="T204" s="1189">
        <v>68898</v>
      </c>
      <c r="U204" s="1211" t="s">
        <v>34</v>
      </c>
      <c r="V204" s="2837">
        <f>Table6268934567910[[#This Row],[Offer Value]]-Table6268934567910[[#This Row],[PO Value]]</f>
        <v>0</v>
      </c>
      <c r="W204" s="1183"/>
      <c r="X204" s="1183"/>
      <c r="Y204" s="1184"/>
    </row>
    <row r="205" spans="1:31" ht="31.2">
      <c r="A205" s="1192"/>
      <c r="B205" s="1203"/>
      <c r="C205" s="1194" t="s">
        <v>1190</v>
      </c>
      <c r="D205" s="1236" t="s">
        <v>2252</v>
      </c>
      <c r="E205" s="1252" t="s">
        <v>2408</v>
      </c>
      <c r="F205" s="1247" t="s">
        <v>2409</v>
      </c>
      <c r="G205" s="2763">
        <v>9481273435</v>
      </c>
      <c r="H205" s="2773" t="s">
        <v>2410</v>
      </c>
      <c r="I205" s="2412" t="s">
        <v>2853</v>
      </c>
      <c r="J205" s="2904" t="s">
        <v>73</v>
      </c>
      <c r="K205" s="1197" t="s">
        <v>138</v>
      </c>
      <c r="L205" s="2810" t="s">
        <v>2411</v>
      </c>
      <c r="M205" s="1199">
        <v>45629</v>
      </c>
      <c r="N205" s="1189">
        <v>68898</v>
      </c>
      <c r="O205" s="1176" t="s">
        <v>7</v>
      </c>
      <c r="P205" s="1177" t="s">
        <v>37</v>
      </c>
      <c r="Q205" s="1200">
        <v>1</v>
      </c>
      <c r="R205" s="2826" t="s">
        <v>2412</v>
      </c>
      <c r="S205" s="2831" t="s">
        <v>2413</v>
      </c>
      <c r="T205" s="1189">
        <v>68898</v>
      </c>
      <c r="U205" s="1177" t="s">
        <v>34</v>
      </c>
      <c r="V205" s="2837">
        <f>Table6268934567910[[#This Row],[Offer Value]]-Table6268934567910[[#This Row],[PO Value]]</f>
        <v>0</v>
      </c>
      <c r="W205" s="1183"/>
      <c r="X205" s="1183"/>
      <c r="Y205" s="1184"/>
    </row>
    <row r="206" spans="1:31" ht="31.2">
      <c r="A206" s="1192"/>
      <c r="B206" s="1203"/>
      <c r="C206" s="1204" t="s">
        <v>1190</v>
      </c>
      <c r="D206" s="1239" t="s">
        <v>2252</v>
      </c>
      <c r="E206" s="1153" t="s">
        <v>2408</v>
      </c>
      <c r="F206" s="1253" t="s">
        <v>2409</v>
      </c>
      <c r="G206" s="2729">
        <v>9481273435</v>
      </c>
      <c r="H206" s="2777" t="s">
        <v>2410</v>
      </c>
      <c r="I206" s="2898" t="s">
        <v>2854</v>
      </c>
      <c r="J206" s="2876" t="s">
        <v>73</v>
      </c>
      <c r="K206" s="1207" t="s">
        <v>138</v>
      </c>
      <c r="L206" s="2808" t="s">
        <v>2411</v>
      </c>
      <c r="M206" s="1209">
        <v>45629</v>
      </c>
      <c r="N206" s="1189">
        <v>68898</v>
      </c>
      <c r="O206" s="1176" t="s">
        <v>7</v>
      </c>
      <c r="P206" s="1177" t="s">
        <v>37</v>
      </c>
      <c r="Q206" s="1210">
        <v>1</v>
      </c>
      <c r="R206" s="2826" t="s">
        <v>2412</v>
      </c>
      <c r="S206" s="2831" t="s">
        <v>2413</v>
      </c>
      <c r="T206" s="1189">
        <v>68898</v>
      </c>
      <c r="U206" s="1211" t="s">
        <v>34</v>
      </c>
      <c r="V206" s="2837">
        <f>Table6268934567910[[#This Row],[Offer Value]]-Table6268934567910[[#This Row],[PO Value]]</f>
        <v>0</v>
      </c>
      <c r="W206" s="1183"/>
      <c r="X206" s="1183"/>
      <c r="Y206" s="1184"/>
    </row>
    <row r="207" spans="1:31" ht="31.2">
      <c r="A207" s="1192"/>
      <c r="B207" s="1203"/>
      <c r="C207" s="1194" t="s">
        <v>1190</v>
      </c>
      <c r="D207" s="1236" t="s">
        <v>2252</v>
      </c>
      <c r="E207" s="1252" t="s">
        <v>2408</v>
      </c>
      <c r="F207" s="1247" t="s">
        <v>2409</v>
      </c>
      <c r="G207" s="2763">
        <v>9481273435</v>
      </c>
      <c r="H207" s="2773" t="s">
        <v>2410</v>
      </c>
      <c r="I207" s="2412" t="s">
        <v>2855</v>
      </c>
      <c r="J207" s="2904" t="s">
        <v>73</v>
      </c>
      <c r="K207" s="1197" t="s">
        <v>138</v>
      </c>
      <c r="L207" s="2810" t="s">
        <v>2411</v>
      </c>
      <c r="M207" s="1199">
        <v>45629</v>
      </c>
      <c r="N207" s="1189">
        <v>68898</v>
      </c>
      <c r="O207" s="1176" t="s">
        <v>7</v>
      </c>
      <c r="P207" s="1177" t="s">
        <v>37</v>
      </c>
      <c r="Q207" s="1200">
        <v>1</v>
      </c>
      <c r="R207" s="2826" t="s">
        <v>2412</v>
      </c>
      <c r="S207" s="2831" t="s">
        <v>2413</v>
      </c>
      <c r="T207" s="1189">
        <v>68898</v>
      </c>
      <c r="U207" s="1177" t="s">
        <v>34</v>
      </c>
      <c r="V207" s="2837">
        <f>Table6268934567910[[#This Row],[Offer Value]]-Table6268934567910[[#This Row],[PO Value]]</f>
        <v>0</v>
      </c>
      <c r="W207" s="1183"/>
      <c r="X207" s="1183"/>
      <c r="Y207" s="1184"/>
    </row>
    <row r="208" spans="1:31" ht="31.2">
      <c r="A208" s="1192"/>
      <c r="B208" s="1203"/>
      <c r="C208" s="1204" t="s">
        <v>1190</v>
      </c>
      <c r="D208" s="1239" t="s">
        <v>2252</v>
      </c>
      <c r="E208" s="1153" t="s">
        <v>2408</v>
      </c>
      <c r="F208" s="1253" t="s">
        <v>2409</v>
      </c>
      <c r="G208" s="2729">
        <v>9481273435</v>
      </c>
      <c r="H208" s="2777" t="s">
        <v>2410</v>
      </c>
      <c r="I208" s="2898" t="s">
        <v>2856</v>
      </c>
      <c r="J208" s="2876" t="s">
        <v>73</v>
      </c>
      <c r="K208" s="1207" t="s">
        <v>138</v>
      </c>
      <c r="L208" s="2808" t="s">
        <v>2411</v>
      </c>
      <c r="M208" s="1209">
        <v>45629</v>
      </c>
      <c r="N208" s="1189">
        <v>68898</v>
      </c>
      <c r="O208" s="1176" t="s">
        <v>7</v>
      </c>
      <c r="P208" s="1177" t="s">
        <v>37</v>
      </c>
      <c r="Q208" s="1210">
        <v>1</v>
      </c>
      <c r="R208" s="2826" t="s">
        <v>2412</v>
      </c>
      <c r="S208" s="2831" t="s">
        <v>2413</v>
      </c>
      <c r="T208" s="1189">
        <v>68898</v>
      </c>
      <c r="U208" s="1211" t="s">
        <v>34</v>
      </c>
      <c r="V208" s="2837">
        <f>Table6268934567910[[#This Row],[Offer Value]]-Table6268934567910[[#This Row],[PO Value]]</f>
        <v>0</v>
      </c>
      <c r="W208" s="1183"/>
      <c r="X208" s="1183"/>
      <c r="Y208" s="1184"/>
    </row>
    <row r="209" spans="1:28" ht="31.2">
      <c r="A209" s="1192"/>
      <c r="B209" s="1203"/>
      <c r="C209" s="1194" t="s">
        <v>1190</v>
      </c>
      <c r="D209" s="1236" t="s">
        <v>2252</v>
      </c>
      <c r="E209" s="1252" t="s">
        <v>2408</v>
      </c>
      <c r="F209" s="1247" t="s">
        <v>2409</v>
      </c>
      <c r="G209" s="2763">
        <v>9481273435</v>
      </c>
      <c r="H209" s="2773" t="s">
        <v>2410</v>
      </c>
      <c r="I209" s="2412" t="s">
        <v>2857</v>
      </c>
      <c r="J209" s="2904" t="s">
        <v>73</v>
      </c>
      <c r="K209" s="1197" t="s">
        <v>138</v>
      </c>
      <c r="L209" s="2810" t="s">
        <v>2411</v>
      </c>
      <c r="M209" s="1199">
        <v>45629</v>
      </c>
      <c r="N209" s="1189">
        <v>68898</v>
      </c>
      <c r="O209" s="1176" t="s">
        <v>7</v>
      </c>
      <c r="P209" s="1177" t="s">
        <v>37</v>
      </c>
      <c r="Q209" s="1200">
        <v>1</v>
      </c>
      <c r="R209" s="2826" t="s">
        <v>2412</v>
      </c>
      <c r="S209" s="2831" t="s">
        <v>2413</v>
      </c>
      <c r="T209" s="1189">
        <v>68898</v>
      </c>
      <c r="U209" s="1177" t="s">
        <v>34</v>
      </c>
      <c r="V209" s="2837">
        <f>Table6268934567910[[#This Row],[Offer Value]]-Table6268934567910[[#This Row],[PO Value]]</f>
        <v>0</v>
      </c>
      <c r="W209" s="1183"/>
      <c r="X209" s="1183"/>
      <c r="Y209" s="1184"/>
    </row>
    <row r="210" spans="1:28" ht="31.2">
      <c r="A210" s="1192"/>
      <c r="B210" s="1203"/>
      <c r="C210" s="1204" t="s">
        <v>1190</v>
      </c>
      <c r="D210" s="1239" t="s">
        <v>2252</v>
      </c>
      <c r="E210" s="1153" t="s">
        <v>2408</v>
      </c>
      <c r="F210" s="1253" t="s">
        <v>2409</v>
      </c>
      <c r="G210" s="2729">
        <v>9481273435</v>
      </c>
      <c r="H210" s="2777" t="s">
        <v>2410</v>
      </c>
      <c r="I210" s="2898" t="s">
        <v>2858</v>
      </c>
      <c r="J210" s="2876" t="s">
        <v>73</v>
      </c>
      <c r="K210" s="1207" t="s">
        <v>138</v>
      </c>
      <c r="L210" s="2808" t="s">
        <v>2411</v>
      </c>
      <c r="M210" s="1209">
        <v>45629</v>
      </c>
      <c r="N210" s="1189">
        <v>68898</v>
      </c>
      <c r="O210" s="1176" t="s">
        <v>7</v>
      </c>
      <c r="P210" s="1177" t="s">
        <v>37</v>
      </c>
      <c r="Q210" s="1210">
        <v>1</v>
      </c>
      <c r="R210" s="2826" t="s">
        <v>2412</v>
      </c>
      <c r="S210" s="2831" t="s">
        <v>2413</v>
      </c>
      <c r="T210" s="1189">
        <v>68898</v>
      </c>
      <c r="U210" s="1211" t="s">
        <v>34</v>
      </c>
      <c r="V210" s="2837">
        <f>Table6268934567910[[#This Row],[Offer Value]]-Table6268934567910[[#This Row],[PO Value]]</f>
        <v>0</v>
      </c>
      <c r="W210" s="1183"/>
      <c r="X210" s="1183"/>
      <c r="Y210" s="1184"/>
    </row>
    <row r="211" spans="1:28" ht="31.2">
      <c r="A211" s="1192"/>
      <c r="B211" s="1203"/>
      <c r="C211" s="1194" t="s">
        <v>1190</v>
      </c>
      <c r="D211" s="1236" t="s">
        <v>2252</v>
      </c>
      <c r="E211" s="1252" t="s">
        <v>2408</v>
      </c>
      <c r="F211" s="1247" t="s">
        <v>2409</v>
      </c>
      <c r="G211" s="2763">
        <v>9481273435</v>
      </c>
      <c r="H211" s="2773" t="s">
        <v>2410</v>
      </c>
      <c r="I211" s="2412" t="s">
        <v>2859</v>
      </c>
      <c r="J211" s="2904" t="s">
        <v>73</v>
      </c>
      <c r="K211" s="1197" t="s">
        <v>138</v>
      </c>
      <c r="L211" s="2810" t="s">
        <v>2411</v>
      </c>
      <c r="M211" s="1199">
        <v>45629</v>
      </c>
      <c r="N211" s="1189">
        <v>68898</v>
      </c>
      <c r="O211" s="1176" t="s">
        <v>7</v>
      </c>
      <c r="P211" s="1177" t="s">
        <v>37</v>
      </c>
      <c r="Q211" s="1200">
        <v>1</v>
      </c>
      <c r="R211" s="2826" t="s">
        <v>2412</v>
      </c>
      <c r="S211" s="2831" t="s">
        <v>2413</v>
      </c>
      <c r="T211" s="1189">
        <v>68898</v>
      </c>
      <c r="U211" s="1177" t="s">
        <v>34</v>
      </c>
      <c r="V211" s="2837">
        <f>Table6268934567910[[#This Row],[Offer Value]]-Table6268934567910[[#This Row],[PO Value]]</f>
        <v>0</v>
      </c>
      <c r="W211" s="1183"/>
      <c r="X211" s="1183"/>
      <c r="Y211" s="1184"/>
    </row>
    <row r="212" spans="1:28" ht="31.2">
      <c r="A212" s="1192"/>
      <c r="B212" s="1203"/>
      <c r="C212" s="1204" t="s">
        <v>1190</v>
      </c>
      <c r="D212" s="1239" t="s">
        <v>2252</v>
      </c>
      <c r="E212" s="1153" t="s">
        <v>2408</v>
      </c>
      <c r="F212" s="1253" t="s">
        <v>2409</v>
      </c>
      <c r="G212" s="2729">
        <v>9481273435</v>
      </c>
      <c r="H212" s="2777" t="s">
        <v>2410</v>
      </c>
      <c r="I212" s="2898" t="s">
        <v>2860</v>
      </c>
      <c r="J212" s="2876" t="s">
        <v>73</v>
      </c>
      <c r="K212" s="1207" t="s">
        <v>138</v>
      </c>
      <c r="L212" s="2808" t="s">
        <v>2411</v>
      </c>
      <c r="M212" s="1209">
        <v>45629</v>
      </c>
      <c r="N212" s="1189">
        <v>68898</v>
      </c>
      <c r="O212" s="1176" t="s">
        <v>7</v>
      </c>
      <c r="P212" s="1177" t="s">
        <v>37</v>
      </c>
      <c r="Q212" s="1210">
        <v>1</v>
      </c>
      <c r="R212" s="2826" t="s">
        <v>2412</v>
      </c>
      <c r="S212" s="2831" t="s">
        <v>2413</v>
      </c>
      <c r="T212" s="1189">
        <v>68898</v>
      </c>
      <c r="U212" s="1211" t="s">
        <v>34</v>
      </c>
      <c r="V212" s="2837">
        <f>Table6268934567910[[#This Row],[Offer Value]]-Table6268934567910[[#This Row],[PO Value]]</f>
        <v>0</v>
      </c>
      <c r="W212" s="1183"/>
      <c r="X212" s="1183"/>
      <c r="Y212" s="1184"/>
    </row>
    <row r="213" spans="1:28" ht="31.2">
      <c r="A213" s="1192"/>
      <c r="B213" s="1203"/>
      <c r="C213" s="1205" t="s">
        <v>2393</v>
      </c>
      <c r="D213" s="1239" t="s">
        <v>2445</v>
      </c>
      <c r="E213" s="1153" t="s">
        <v>620</v>
      </c>
      <c r="F213" s="1153" t="s">
        <v>2394</v>
      </c>
      <c r="G213" s="2729">
        <v>9590027444</v>
      </c>
      <c r="H213" s="2729" t="s">
        <v>2395</v>
      </c>
      <c r="I213" s="2791" t="s">
        <v>2861</v>
      </c>
      <c r="J213" s="2801" t="s">
        <v>73</v>
      </c>
      <c r="K213" s="1204" t="s">
        <v>138</v>
      </c>
      <c r="L213" s="2808" t="s">
        <v>2447</v>
      </c>
      <c r="M213" s="1204" t="s">
        <v>2425</v>
      </c>
      <c r="N213" s="1189">
        <v>72000</v>
      </c>
      <c r="O213" s="1211" t="s">
        <v>7</v>
      </c>
      <c r="P213" s="1211" t="s">
        <v>7</v>
      </c>
      <c r="Q213" s="1210">
        <v>1</v>
      </c>
      <c r="R213" s="2452">
        <v>115885</v>
      </c>
      <c r="S213" s="2831"/>
      <c r="T213" s="1189">
        <v>72000</v>
      </c>
      <c r="U213" s="1211" t="s">
        <v>7</v>
      </c>
      <c r="V213" s="2837">
        <f>Table6268934567910[[#This Row],[Offer Value]]-Table6268934567910[[#This Row],[PO Value]]</f>
        <v>0</v>
      </c>
      <c r="W213" s="1180" t="s">
        <v>2386</v>
      </c>
      <c r="X213" s="1183"/>
      <c r="Y213" s="1231" t="s">
        <v>2301</v>
      </c>
    </row>
    <row r="214" spans="1:28" ht="15.6">
      <c r="A214" s="1182"/>
      <c r="B214" s="1174"/>
      <c r="C214" s="1174" t="s">
        <v>2393</v>
      </c>
      <c r="D214" s="2740" t="s">
        <v>2252</v>
      </c>
      <c r="E214" s="2840" t="s">
        <v>2337</v>
      </c>
      <c r="F214" s="2840" t="s">
        <v>2394</v>
      </c>
      <c r="G214" s="2743">
        <v>9590027444</v>
      </c>
      <c r="H214" s="2743" t="s">
        <v>2395</v>
      </c>
      <c r="I214" s="2897" t="s">
        <v>2862</v>
      </c>
      <c r="J214" s="1191" t="s">
        <v>73</v>
      </c>
      <c r="K214" s="1180" t="s">
        <v>138</v>
      </c>
      <c r="L214" s="2743" t="s">
        <v>2397</v>
      </c>
      <c r="M214" s="1173">
        <v>45574</v>
      </c>
      <c r="N214" s="1174">
        <v>75000</v>
      </c>
      <c r="O214" s="1174" t="s">
        <v>7</v>
      </c>
      <c r="P214" s="2818" t="s">
        <v>18</v>
      </c>
      <c r="Q214" s="1175">
        <v>1</v>
      </c>
      <c r="R214" s="2760">
        <v>124919</v>
      </c>
      <c r="S214" s="2834" t="s">
        <v>1757</v>
      </c>
      <c r="T214" s="1189">
        <v>72000</v>
      </c>
      <c r="U214" s="1176" t="s">
        <v>7</v>
      </c>
      <c r="V214" s="2837">
        <v>0</v>
      </c>
      <c r="W214" s="1174"/>
      <c r="X214" s="1183"/>
      <c r="Y214" s="1184">
        <v>45840</v>
      </c>
    </row>
    <row r="215" spans="1:28" ht="15.6">
      <c r="A215" s="1182"/>
      <c r="B215" s="1174"/>
      <c r="C215" s="1185" t="s">
        <v>2393</v>
      </c>
      <c r="D215" s="2848" t="s">
        <v>2252</v>
      </c>
      <c r="E215" s="2855" t="s">
        <v>2337</v>
      </c>
      <c r="F215" s="2855" t="s">
        <v>2394</v>
      </c>
      <c r="G215" s="2751">
        <v>9590027444</v>
      </c>
      <c r="H215" s="2751" t="s">
        <v>2395</v>
      </c>
      <c r="I215" s="2900" t="s">
        <v>2863</v>
      </c>
      <c r="J215" s="1186" t="s">
        <v>73</v>
      </c>
      <c r="K215" s="1172" t="s">
        <v>138</v>
      </c>
      <c r="L215" s="2751" t="s">
        <v>2397</v>
      </c>
      <c r="M215" s="1187">
        <v>45574</v>
      </c>
      <c r="N215" s="1185">
        <v>75000</v>
      </c>
      <c r="O215" s="1185" t="s">
        <v>7</v>
      </c>
      <c r="P215" s="2818" t="s">
        <v>18</v>
      </c>
      <c r="Q215" s="1188">
        <v>1</v>
      </c>
      <c r="R215" s="2760">
        <v>124919</v>
      </c>
      <c r="S215" s="2834" t="s">
        <v>1757</v>
      </c>
      <c r="T215" s="1189">
        <v>72000</v>
      </c>
      <c r="U215" s="1176" t="s">
        <v>7</v>
      </c>
      <c r="V215" s="2837">
        <v>0</v>
      </c>
      <c r="W215" s="1174"/>
      <c r="X215" s="1183"/>
      <c r="Y215" s="1184">
        <v>45840</v>
      </c>
    </row>
    <row r="216" spans="1:28" ht="15.6">
      <c r="A216" s="1182"/>
      <c r="B216" s="1174"/>
      <c r="C216" s="1174" t="s">
        <v>2393</v>
      </c>
      <c r="D216" s="2740" t="s">
        <v>2252</v>
      </c>
      <c r="E216" s="2840" t="s">
        <v>2337</v>
      </c>
      <c r="F216" s="2840" t="s">
        <v>2394</v>
      </c>
      <c r="G216" s="2743">
        <v>9590027444</v>
      </c>
      <c r="H216" s="2743" t="s">
        <v>2395</v>
      </c>
      <c r="I216" s="2897">
        <v>500003581</v>
      </c>
      <c r="J216" s="1191" t="s">
        <v>73</v>
      </c>
      <c r="K216" s="1180" t="s">
        <v>138</v>
      </c>
      <c r="L216" s="2743" t="s">
        <v>2397</v>
      </c>
      <c r="M216" s="1173">
        <v>45574</v>
      </c>
      <c r="N216" s="1174">
        <v>75000</v>
      </c>
      <c r="O216" s="1174" t="s">
        <v>7</v>
      </c>
      <c r="P216" s="2818" t="s">
        <v>18</v>
      </c>
      <c r="Q216" s="1175">
        <v>1</v>
      </c>
      <c r="R216" s="2760">
        <v>124919</v>
      </c>
      <c r="S216" s="2834" t="s">
        <v>1757</v>
      </c>
      <c r="T216" s="1189">
        <v>72000</v>
      </c>
      <c r="U216" s="1176" t="s">
        <v>7</v>
      </c>
      <c r="V216" s="2837">
        <v>0</v>
      </c>
      <c r="W216" s="1174"/>
      <c r="X216" s="1183"/>
      <c r="Y216" s="1184">
        <v>45840</v>
      </c>
    </row>
    <row r="217" spans="1:28" s="1318" customFormat="1" ht="15.6">
      <c r="A217" s="1317"/>
      <c r="B217" s="1468"/>
      <c r="C217" s="1393" t="s">
        <v>2393</v>
      </c>
      <c r="D217" s="1555" t="s">
        <v>2252</v>
      </c>
      <c r="E217" s="1543" t="s">
        <v>2715</v>
      </c>
      <c r="F217" s="2922" t="s">
        <v>2394</v>
      </c>
      <c r="G217" s="2873">
        <v>9590027444</v>
      </c>
      <c r="H217" s="2852" t="s">
        <v>2395</v>
      </c>
      <c r="I217" s="2868" t="s">
        <v>2864</v>
      </c>
      <c r="J217" s="2244" t="s">
        <v>73</v>
      </c>
      <c r="K217" s="1497" t="s">
        <v>138</v>
      </c>
      <c r="L217" s="1962" t="s">
        <v>2716</v>
      </c>
      <c r="M217" s="2351">
        <v>45933</v>
      </c>
      <c r="N217" s="2241">
        <v>75000</v>
      </c>
      <c r="O217" s="2241" t="s">
        <v>47</v>
      </c>
      <c r="P217" s="2241" t="s">
        <v>49</v>
      </c>
      <c r="Q217" s="2247">
        <v>1</v>
      </c>
      <c r="R217" s="1315">
        <v>132964</v>
      </c>
      <c r="S217" s="2245">
        <v>45981</v>
      </c>
      <c r="T217" s="2241">
        <v>75000</v>
      </c>
      <c r="U217" s="1315" t="s">
        <v>62</v>
      </c>
      <c r="V217" s="1963">
        <f>Table6268934567910[[#This Row],[Offer Value]]-Table6268934567910[[#This Row],[PO Value]]</f>
        <v>0</v>
      </c>
      <c r="W217" s="1317"/>
      <c r="X217" s="1317"/>
      <c r="Y217" s="1468"/>
      <c r="AB217" s="1542"/>
    </row>
    <row r="218" spans="1:28" s="1318" customFormat="1" ht="15.6">
      <c r="A218" s="1317"/>
      <c r="B218" s="1468"/>
      <c r="C218" s="1393" t="s">
        <v>2393</v>
      </c>
      <c r="D218" s="1555" t="s">
        <v>2252</v>
      </c>
      <c r="E218" s="1543" t="s">
        <v>2715</v>
      </c>
      <c r="F218" s="2922" t="s">
        <v>2394</v>
      </c>
      <c r="G218" s="2873">
        <v>9590027444</v>
      </c>
      <c r="H218" s="2852" t="s">
        <v>2395</v>
      </c>
      <c r="I218" s="2868" t="s">
        <v>2862</v>
      </c>
      <c r="J218" s="2244" t="s">
        <v>73</v>
      </c>
      <c r="K218" s="1497" t="s">
        <v>138</v>
      </c>
      <c r="L218" s="1962" t="s">
        <v>2716</v>
      </c>
      <c r="M218" s="2351">
        <v>45933</v>
      </c>
      <c r="N218" s="2241">
        <v>75000</v>
      </c>
      <c r="O218" s="2241" t="s">
        <v>47</v>
      </c>
      <c r="P218" s="2241" t="s">
        <v>49</v>
      </c>
      <c r="Q218" s="2247">
        <v>1</v>
      </c>
      <c r="R218" s="1315">
        <v>132964</v>
      </c>
      <c r="S218" s="2245">
        <v>45981</v>
      </c>
      <c r="T218" s="2241">
        <v>75000</v>
      </c>
      <c r="U218" s="1315" t="s">
        <v>62</v>
      </c>
      <c r="V218" s="1963">
        <f>Table6268934567910[[#This Row],[Offer Value]]-Table6268934567910[[#This Row],[PO Value]]</f>
        <v>0</v>
      </c>
      <c r="W218" s="1317"/>
      <c r="X218" s="1317"/>
      <c r="Y218" s="1468"/>
      <c r="AB218" s="1542"/>
    </row>
    <row r="219" spans="1:28" s="1318" customFormat="1" ht="15.6">
      <c r="A219" s="1317"/>
      <c r="B219" s="1392"/>
      <c r="C219" s="1393" t="s">
        <v>2393</v>
      </c>
      <c r="D219" s="1555" t="s">
        <v>2252</v>
      </c>
      <c r="E219" s="1543" t="s">
        <v>2715</v>
      </c>
      <c r="F219" s="2922" t="s">
        <v>2394</v>
      </c>
      <c r="G219" s="2873">
        <v>9590027444</v>
      </c>
      <c r="H219" s="2852" t="s">
        <v>2395</v>
      </c>
      <c r="I219" s="2792" t="s">
        <v>2396</v>
      </c>
      <c r="J219" s="2244" t="s">
        <v>73</v>
      </c>
      <c r="K219" s="1497" t="s">
        <v>138</v>
      </c>
      <c r="L219" s="1962" t="s">
        <v>2716</v>
      </c>
      <c r="M219" s="2351">
        <v>45933</v>
      </c>
      <c r="N219" s="2241">
        <v>75000</v>
      </c>
      <c r="O219" s="2241" t="s">
        <v>47</v>
      </c>
      <c r="P219" s="2241" t="s">
        <v>49</v>
      </c>
      <c r="Q219" s="2247">
        <v>1</v>
      </c>
      <c r="R219" s="1315">
        <v>132964</v>
      </c>
      <c r="S219" s="2245">
        <v>45981</v>
      </c>
      <c r="T219" s="2241">
        <v>75000</v>
      </c>
      <c r="U219" s="1315" t="s">
        <v>62</v>
      </c>
      <c r="V219" s="1963">
        <f>Table6268934567910[[#This Row],[Offer Value]]-Table6268934567910[[#This Row],[PO Value]]</f>
        <v>0</v>
      </c>
      <c r="W219" s="1317"/>
      <c r="X219" s="1317"/>
      <c r="Y219" s="1468"/>
      <c r="AB219" s="1542"/>
    </row>
    <row r="220" spans="1:28" ht="18">
      <c r="A220" s="1317"/>
      <c r="B220" s="1393"/>
      <c r="C220" s="2730" t="s">
        <v>2648</v>
      </c>
      <c r="D220" s="1555" t="s">
        <v>2649</v>
      </c>
      <c r="E220" s="1543" t="s">
        <v>2650</v>
      </c>
      <c r="F220" s="2746" t="s">
        <v>2651</v>
      </c>
      <c r="G220" s="2854">
        <v>9442277228</v>
      </c>
      <c r="H220" s="1962" t="s">
        <v>2652</v>
      </c>
      <c r="I220" s="2873" t="s">
        <v>2865</v>
      </c>
      <c r="J220" s="2519" t="s">
        <v>73</v>
      </c>
      <c r="K220" s="1461" t="s">
        <v>138</v>
      </c>
      <c r="L220" s="2758" t="s">
        <v>2654</v>
      </c>
      <c r="M220" s="1634" t="s">
        <v>2647</v>
      </c>
      <c r="N220" s="1314">
        <v>76000</v>
      </c>
      <c r="O220" s="1315" t="s">
        <v>37</v>
      </c>
      <c r="P220" s="1315" t="s">
        <v>39</v>
      </c>
      <c r="Q220" s="1395">
        <v>1</v>
      </c>
      <c r="R220" s="2827">
        <v>401230026</v>
      </c>
      <c r="S220" s="1394">
        <v>45878</v>
      </c>
      <c r="T220" s="1314">
        <v>76000</v>
      </c>
      <c r="U220" s="697" t="s">
        <v>49</v>
      </c>
      <c r="V220" s="1963">
        <f>Table6268934567910[[#This Row],[Offer Value]]-Table6268934567910[[#This Row],[PO Value]]</f>
        <v>0</v>
      </c>
      <c r="W220" s="1393"/>
      <c r="X220" s="1393"/>
      <c r="Y220" s="1391"/>
    </row>
    <row r="221" spans="1:28" ht="18">
      <c r="A221" s="1317"/>
      <c r="B221" s="1393"/>
      <c r="C221" s="2730" t="s">
        <v>2648</v>
      </c>
      <c r="D221" s="1555" t="s">
        <v>2649</v>
      </c>
      <c r="E221" s="1543" t="s">
        <v>2650</v>
      </c>
      <c r="F221" s="2746" t="s">
        <v>2651</v>
      </c>
      <c r="G221" s="2854">
        <v>9442277228</v>
      </c>
      <c r="H221" s="1962" t="s">
        <v>2652</v>
      </c>
      <c r="I221" s="2852" t="s">
        <v>2866</v>
      </c>
      <c r="J221" s="2519" t="s">
        <v>73</v>
      </c>
      <c r="K221" s="1461" t="s">
        <v>138</v>
      </c>
      <c r="L221" s="2758" t="s">
        <v>2654</v>
      </c>
      <c r="M221" s="1634" t="s">
        <v>2647</v>
      </c>
      <c r="N221" s="1314">
        <v>76000</v>
      </c>
      <c r="O221" s="1315" t="s">
        <v>37</v>
      </c>
      <c r="P221" s="1315" t="s">
        <v>39</v>
      </c>
      <c r="Q221" s="1395">
        <v>1</v>
      </c>
      <c r="R221" s="2827">
        <v>401230026</v>
      </c>
      <c r="S221" s="1394">
        <v>45878</v>
      </c>
      <c r="T221" s="1314">
        <v>76000</v>
      </c>
      <c r="U221" s="697" t="s">
        <v>49</v>
      </c>
      <c r="V221" s="1963">
        <f>Table6268934567910[[#This Row],[Offer Value]]-Table6268934567910[[#This Row],[PO Value]]</f>
        <v>0</v>
      </c>
      <c r="W221" s="1393"/>
      <c r="X221" s="1393"/>
      <c r="Y221" s="1391"/>
    </row>
    <row r="222" spans="1:28" ht="18">
      <c r="A222" s="1317"/>
      <c r="B222" s="1393"/>
      <c r="C222" s="2730" t="s">
        <v>2648</v>
      </c>
      <c r="D222" s="1555" t="s">
        <v>2649</v>
      </c>
      <c r="E222" s="1543" t="s">
        <v>2650</v>
      </c>
      <c r="F222" s="2746" t="s">
        <v>2651</v>
      </c>
      <c r="G222" s="2854">
        <v>9442277228</v>
      </c>
      <c r="H222" s="1962" t="s">
        <v>2652</v>
      </c>
      <c r="I222" s="2852" t="s">
        <v>2691</v>
      </c>
      <c r="J222" s="2519" t="s">
        <v>73</v>
      </c>
      <c r="K222" s="1461" t="s">
        <v>138</v>
      </c>
      <c r="L222" s="2758" t="s">
        <v>2654</v>
      </c>
      <c r="M222" s="1634" t="s">
        <v>2647</v>
      </c>
      <c r="N222" s="1314">
        <v>76000</v>
      </c>
      <c r="O222" s="1315" t="s">
        <v>37</v>
      </c>
      <c r="P222" s="1315" t="s">
        <v>39</v>
      </c>
      <c r="Q222" s="1395">
        <v>1</v>
      </c>
      <c r="R222" s="2827">
        <v>401230026</v>
      </c>
      <c r="S222" s="1394">
        <v>45878</v>
      </c>
      <c r="T222" s="1314">
        <v>76000</v>
      </c>
      <c r="U222" s="697" t="s">
        <v>49</v>
      </c>
      <c r="V222" s="1963">
        <f>Table6268934567910[[#This Row],[Offer Value]]-Table6268934567910[[#This Row],[PO Value]]</f>
        <v>0</v>
      </c>
      <c r="W222" s="1393"/>
      <c r="X222" s="1393"/>
      <c r="Y222" s="1391"/>
    </row>
    <row r="223" spans="1:28" ht="18">
      <c r="A223" s="1317"/>
      <c r="B223" s="1393"/>
      <c r="C223" s="2730" t="s">
        <v>2648</v>
      </c>
      <c r="D223" s="1555" t="s">
        <v>2649</v>
      </c>
      <c r="E223" s="1543" t="s">
        <v>2650</v>
      </c>
      <c r="F223" s="2746" t="s">
        <v>2651</v>
      </c>
      <c r="G223" s="2854">
        <v>9442277228</v>
      </c>
      <c r="H223" s="1962" t="s">
        <v>2652</v>
      </c>
      <c r="I223" s="2873" t="s">
        <v>2867</v>
      </c>
      <c r="J223" s="2519" t="s">
        <v>73</v>
      </c>
      <c r="K223" s="1461" t="s">
        <v>157</v>
      </c>
      <c r="L223" s="2758" t="s">
        <v>2654</v>
      </c>
      <c r="M223" s="1634" t="s">
        <v>2647</v>
      </c>
      <c r="N223" s="1314">
        <v>76000</v>
      </c>
      <c r="O223" s="1315" t="s">
        <v>37</v>
      </c>
      <c r="P223" s="1315" t="s">
        <v>39</v>
      </c>
      <c r="Q223" s="1395">
        <v>1</v>
      </c>
      <c r="R223" s="2827">
        <v>401230026</v>
      </c>
      <c r="S223" s="1394">
        <v>45878</v>
      </c>
      <c r="T223" s="1314">
        <v>76000</v>
      </c>
      <c r="U223" s="697" t="s">
        <v>49</v>
      </c>
      <c r="V223" s="1963">
        <f>Table6268934567910[[#This Row],[Offer Value]]-Table6268934567910[[#This Row],[PO Value]]</f>
        <v>0</v>
      </c>
      <c r="W223" s="1393"/>
      <c r="X223" s="1393"/>
      <c r="Y223" s="1391"/>
    </row>
    <row r="224" spans="1:28" ht="15.6">
      <c r="A224" s="1391"/>
      <c r="B224" s="1393"/>
      <c r="C224" s="1393" t="s">
        <v>2323</v>
      </c>
      <c r="D224" s="1555" t="s">
        <v>2324</v>
      </c>
      <c r="E224" s="1543" t="s">
        <v>2497</v>
      </c>
      <c r="F224" s="1467" t="s">
        <v>2498</v>
      </c>
      <c r="G224" s="2758" t="s">
        <v>2499</v>
      </c>
      <c r="H224" s="2771" t="s">
        <v>2500</v>
      </c>
      <c r="I224" s="2758" t="s">
        <v>2868</v>
      </c>
      <c r="J224" s="2519" t="s">
        <v>73</v>
      </c>
      <c r="K224" s="1461" t="s">
        <v>138</v>
      </c>
      <c r="L224" s="2758" t="s">
        <v>2502</v>
      </c>
      <c r="M224" s="1394" t="s">
        <v>2503</v>
      </c>
      <c r="N224" s="1314">
        <v>82400</v>
      </c>
      <c r="O224" s="1315" t="s">
        <v>18</v>
      </c>
      <c r="P224" s="1315" t="s">
        <v>28</v>
      </c>
      <c r="Q224" s="1395">
        <v>0.8</v>
      </c>
      <c r="R224" s="1315">
        <v>101265544</v>
      </c>
      <c r="S224" s="1394">
        <v>45744</v>
      </c>
      <c r="T224" s="1314">
        <v>82400</v>
      </c>
      <c r="U224" s="1315" t="s">
        <v>28</v>
      </c>
      <c r="V224" s="2838">
        <f>Table6268934567910[[#This Row],[Offer Value]]-Table6268934567910[[#This Row],[PO Value]]</f>
        <v>0</v>
      </c>
      <c r="W224" s="1317"/>
      <c r="X224" s="1317"/>
      <c r="Y224" s="1468"/>
    </row>
    <row r="225" spans="1:25" ht="15.6">
      <c r="A225" s="1391"/>
      <c r="B225" s="1393"/>
      <c r="C225" s="1393" t="s">
        <v>2323</v>
      </c>
      <c r="D225" s="1555" t="s">
        <v>2324</v>
      </c>
      <c r="E225" s="1543" t="s">
        <v>2497</v>
      </c>
      <c r="F225" s="1467" t="s">
        <v>2498</v>
      </c>
      <c r="G225" s="2758" t="s">
        <v>2499</v>
      </c>
      <c r="H225" s="2771" t="s">
        <v>2500</v>
      </c>
      <c r="I225" s="2758" t="s">
        <v>2328</v>
      </c>
      <c r="J225" s="2519" t="s">
        <v>73</v>
      </c>
      <c r="K225" s="1461" t="s">
        <v>138</v>
      </c>
      <c r="L225" s="2758" t="s">
        <v>2502</v>
      </c>
      <c r="M225" s="1394" t="s">
        <v>2503</v>
      </c>
      <c r="N225" s="1314">
        <v>82400</v>
      </c>
      <c r="O225" s="1315" t="s">
        <v>18</v>
      </c>
      <c r="P225" s="1315" t="s">
        <v>28</v>
      </c>
      <c r="Q225" s="1395">
        <v>0.8</v>
      </c>
      <c r="R225" s="1315">
        <v>101265544</v>
      </c>
      <c r="S225" s="1394">
        <v>45744</v>
      </c>
      <c r="T225" s="1314">
        <v>82400</v>
      </c>
      <c r="U225" s="1315" t="s">
        <v>28</v>
      </c>
      <c r="V225" s="2838">
        <f>Table6268934567910[[#This Row],[Offer Value]]-Table6268934567910[[#This Row],[PO Value]]</f>
        <v>0</v>
      </c>
      <c r="W225" s="1317"/>
      <c r="X225" s="1317"/>
      <c r="Y225" s="1468"/>
    </row>
    <row r="226" spans="1:25" ht="15.6">
      <c r="A226" s="1391"/>
      <c r="B226" s="1393"/>
      <c r="C226" s="1393" t="s">
        <v>2323</v>
      </c>
      <c r="D226" s="1555" t="s">
        <v>2324</v>
      </c>
      <c r="E226" s="1543" t="s">
        <v>2497</v>
      </c>
      <c r="F226" s="1467" t="s">
        <v>2498</v>
      </c>
      <c r="G226" s="2758" t="s">
        <v>2499</v>
      </c>
      <c r="H226" s="2771" t="s">
        <v>2500</v>
      </c>
      <c r="I226" s="2758" t="s">
        <v>2869</v>
      </c>
      <c r="J226" s="2519" t="s">
        <v>73</v>
      </c>
      <c r="K226" s="1461" t="s">
        <v>157</v>
      </c>
      <c r="L226" s="2758" t="s">
        <v>2502</v>
      </c>
      <c r="M226" s="1394" t="s">
        <v>2503</v>
      </c>
      <c r="N226" s="1314">
        <v>82400</v>
      </c>
      <c r="O226" s="1315" t="s">
        <v>18</v>
      </c>
      <c r="P226" s="1315" t="s">
        <v>28</v>
      </c>
      <c r="Q226" s="1395">
        <v>0.8</v>
      </c>
      <c r="R226" s="1315">
        <v>101265544</v>
      </c>
      <c r="S226" s="1394">
        <v>45744</v>
      </c>
      <c r="T226" s="1314">
        <v>82400</v>
      </c>
      <c r="U226" s="1315" t="s">
        <v>28</v>
      </c>
      <c r="V226" s="2838">
        <f>Table6268934567910[[#This Row],[Offer Value]]-Table6268934567910[[#This Row],[PO Value]]</f>
        <v>0</v>
      </c>
      <c r="W226" s="1317"/>
      <c r="X226" s="1317"/>
      <c r="Y226" s="1468"/>
    </row>
    <row r="227" spans="1:25" ht="15.6">
      <c r="A227" s="1170"/>
      <c r="B227" s="1170"/>
      <c r="C227" s="1170" t="s">
        <v>2260</v>
      </c>
      <c r="D227" s="2735" t="s">
        <v>2261</v>
      </c>
      <c r="E227" s="1155" t="s">
        <v>2262</v>
      </c>
      <c r="F227" s="1155" t="s">
        <v>2263</v>
      </c>
      <c r="G227" s="2723" t="s">
        <v>2264</v>
      </c>
      <c r="H227" s="2723" t="s">
        <v>2265</v>
      </c>
      <c r="I227" s="2795" t="s">
        <v>2870</v>
      </c>
      <c r="J227" s="2800" t="s">
        <v>73</v>
      </c>
      <c r="K227" s="2803" t="s">
        <v>138</v>
      </c>
      <c r="L227" s="2723" t="s">
        <v>2267</v>
      </c>
      <c r="M227" s="1171">
        <v>45475</v>
      </c>
      <c r="N227" s="1170">
        <v>83200</v>
      </c>
      <c r="O227" s="2726" t="s">
        <v>7</v>
      </c>
      <c r="P227" s="1170" t="s">
        <v>7</v>
      </c>
      <c r="Q227" s="2819">
        <v>1</v>
      </c>
      <c r="R227" s="1170">
        <v>2800087085</v>
      </c>
      <c r="S227" s="1171">
        <v>45506</v>
      </c>
      <c r="T227" s="1176">
        <v>83200</v>
      </c>
      <c r="U227" s="1176" t="s">
        <v>7</v>
      </c>
      <c r="V227" s="2837">
        <f>Table6268934567910[[#This Row],[Offer Value]]-Table6268934567910[[#This Row],[PO Value]]</f>
        <v>0</v>
      </c>
      <c r="W227" s="2726"/>
      <c r="X227" s="1176"/>
      <c r="Y227" s="1178" t="s">
        <v>1359</v>
      </c>
    </row>
    <row r="228" spans="1:25" ht="15.6">
      <c r="A228" s="1192"/>
      <c r="B228" s="1203"/>
      <c r="C228" s="1218" t="s">
        <v>1190</v>
      </c>
      <c r="D228" s="2738" t="s">
        <v>2252</v>
      </c>
      <c r="E228" s="2742" t="s">
        <v>2414</v>
      </c>
      <c r="F228" s="2884" t="s">
        <v>2415</v>
      </c>
      <c r="G228" s="2884">
        <v>9972356437</v>
      </c>
      <c r="H228" s="2884" t="s">
        <v>2416</v>
      </c>
      <c r="I228" s="2791" t="s">
        <v>2871</v>
      </c>
      <c r="J228" s="2807" t="s">
        <v>73</v>
      </c>
      <c r="K228" s="1219" t="s">
        <v>138</v>
      </c>
      <c r="L228" s="2810" t="s">
        <v>2418</v>
      </c>
      <c r="M228" s="1194" t="s">
        <v>2419</v>
      </c>
      <c r="N228" s="2911">
        <v>85000</v>
      </c>
      <c r="O228" s="1211" t="s">
        <v>7</v>
      </c>
      <c r="P228" s="1221" t="s">
        <v>7</v>
      </c>
      <c r="Q228" s="1222">
        <v>1</v>
      </c>
      <c r="R228" s="2452">
        <v>16882358</v>
      </c>
      <c r="S228" s="2831" t="s">
        <v>2420</v>
      </c>
      <c r="T228" s="1189">
        <v>85000</v>
      </c>
      <c r="U228" s="1211" t="s">
        <v>7</v>
      </c>
      <c r="V228" s="2837">
        <f>Table6268934567910[[#This Row],[Offer Value]]-Table6268934567910[[#This Row],[PO Value]]</f>
        <v>0</v>
      </c>
      <c r="W228" s="1183"/>
      <c r="X228" s="1183"/>
      <c r="Y228" s="1184" t="s">
        <v>723</v>
      </c>
    </row>
    <row r="229" spans="1:25" ht="15.6">
      <c r="A229" s="1192"/>
      <c r="B229" s="1203"/>
      <c r="C229" s="1216" t="s">
        <v>1190</v>
      </c>
      <c r="D229" s="2849" t="s">
        <v>2252</v>
      </c>
      <c r="E229" s="1145" t="s">
        <v>2414</v>
      </c>
      <c r="F229" s="2769" t="s">
        <v>2415</v>
      </c>
      <c r="G229" s="2769">
        <v>9972356437</v>
      </c>
      <c r="H229" s="2769" t="s">
        <v>2416</v>
      </c>
      <c r="I229" s="2791" t="s">
        <v>2872</v>
      </c>
      <c r="J229" s="2801" t="s">
        <v>73</v>
      </c>
      <c r="K229" s="1204" t="s">
        <v>138</v>
      </c>
      <c r="L229" s="2808" t="s">
        <v>2418</v>
      </c>
      <c r="M229" s="1204" t="s">
        <v>2419</v>
      </c>
      <c r="N229" s="2913">
        <v>85000</v>
      </c>
      <c r="O229" s="1211" t="s">
        <v>7</v>
      </c>
      <c r="P229" s="1211" t="s">
        <v>7</v>
      </c>
      <c r="Q229" s="1210">
        <v>1</v>
      </c>
      <c r="R229" s="2452">
        <v>16882358</v>
      </c>
      <c r="S229" s="2831" t="s">
        <v>2420</v>
      </c>
      <c r="T229" s="1189">
        <v>85000</v>
      </c>
      <c r="U229" s="1211" t="s">
        <v>7</v>
      </c>
      <c r="V229" s="2837">
        <f>Table6268934567910[[#This Row],[Offer Value]]-Table6268934567910[[#This Row],[PO Value]]</f>
        <v>0</v>
      </c>
      <c r="W229" s="1183"/>
      <c r="X229" s="1183"/>
      <c r="Y229" s="1184" t="s">
        <v>723</v>
      </c>
    </row>
    <row r="230" spans="1:25" ht="15.6">
      <c r="A230" s="1192"/>
      <c r="B230" s="1203"/>
      <c r="C230" s="1218" t="s">
        <v>1190</v>
      </c>
      <c r="D230" s="2738" t="s">
        <v>2252</v>
      </c>
      <c r="E230" s="2742" t="s">
        <v>2414</v>
      </c>
      <c r="F230" s="2884" t="s">
        <v>2415</v>
      </c>
      <c r="G230" s="2884">
        <v>9972356437</v>
      </c>
      <c r="H230" s="2884" t="s">
        <v>2416</v>
      </c>
      <c r="I230" s="2791" t="s">
        <v>2873</v>
      </c>
      <c r="J230" s="2807" t="s">
        <v>73</v>
      </c>
      <c r="K230" s="1219" t="s">
        <v>138</v>
      </c>
      <c r="L230" s="2810" t="s">
        <v>2418</v>
      </c>
      <c r="M230" s="1194" t="s">
        <v>2419</v>
      </c>
      <c r="N230" s="2911">
        <v>85000</v>
      </c>
      <c r="O230" s="1211" t="s">
        <v>7</v>
      </c>
      <c r="P230" s="1221" t="s">
        <v>7</v>
      </c>
      <c r="Q230" s="1222">
        <v>1</v>
      </c>
      <c r="R230" s="2452">
        <v>16882358</v>
      </c>
      <c r="S230" s="2831" t="s">
        <v>2420</v>
      </c>
      <c r="T230" s="1189">
        <v>85000</v>
      </c>
      <c r="U230" s="1211" t="s">
        <v>7</v>
      </c>
      <c r="V230" s="2837">
        <f>Table6268934567910[[#This Row],[Offer Value]]-Table6268934567910[[#This Row],[PO Value]]</f>
        <v>0</v>
      </c>
      <c r="W230" s="1183"/>
      <c r="X230" s="1183"/>
      <c r="Y230" s="1184" t="s">
        <v>723</v>
      </c>
    </row>
    <row r="231" spans="1:25" ht="15.6">
      <c r="A231" s="1192"/>
      <c r="B231" s="1203"/>
      <c r="C231" s="1216" t="s">
        <v>1190</v>
      </c>
      <c r="D231" s="2849" t="s">
        <v>2252</v>
      </c>
      <c r="E231" s="1145" t="s">
        <v>2414</v>
      </c>
      <c r="F231" s="2769" t="s">
        <v>2415</v>
      </c>
      <c r="G231" s="2769">
        <v>9972356437</v>
      </c>
      <c r="H231" s="2769" t="s">
        <v>2416</v>
      </c>
      <c r="I231" s="2791" t="s">
        <v>2874</v>
      </c>
      <c r="J231" s="2801" t="s">
        <v>73</v>
      </c>
      <c r="K231" s="1204" t="s">
        <v>138</v>
      </c>
      <c r="L231" s="2808" t="s">
        <v>2418</v>
      </c>
      <c r="M231" s="1204" t="s">
        <v>2419</v>
      </c>
      <c r="N231" s="2913">
        <v>85000</v>
      </c>
      <c r="O231" s="1211" t="s">
        <v>7</v>
      </c>
      <c r="P231" s="1211" t="s">
        <v>7</v>
      </c>
      <c r="Q231" s="1210">
        <v>1</v>
      </c>
      <c r="R231" s="2452">
        <v>16882358</v>
      </c>
      <c r="S231" s="2831" t="s">
        <v>2420</v>
      </c>
      <c r="T231" s="1189">
        <v>85000</v>
      </c>
      <c r="U231" s="1211" t="s">
        <v>7</v>
      </c>
      <c r="V231" s="2837">
        <f>Table6268934567910[[#This Row],[Offer Value]]-Table6268934567910[[#This Row],[PO Value]]</f>
        <v>0</v>
      </c>
      <c r="W231" s="1183"/>
      <c r="X231" s="1183"/>
      <c r="Y231" s="1184" t="s">
        <v>723</v>
      </c>
    </row>
    <row r="232" spans="1:25" ht="15.6">
      <c r="A232" s="1192"/>
      <c r="B232" s="1203"/>
      <c r="C232" s="1218" t="s">
        <v>1190</v>
      </c>
      <c r="D232" s="2738" t="s">
        <v>2252</v>
      </c>
      <c r="E232" s="2742" t="s">
        <v>2414</v>
      </c>
      <c r="F232" s="2884" t="s">
        <v>2415</v>
      </c>
      <c r="G232" s="2884">
        <v>9972356437</v>
      </c>
      <c r="H232" s="2884" t="s">
        <v>2416</v>
      </c>
      <c r="I232" s="2791" t="s">
        <v>2875</v>
      </c>
      <c r="J232" s="2807" t="s">
        <v>73</v>
      </c>
      <c r="K232" s="1219" t="s">
        <v>138</v>
      </c>
      <c r="L232" s="2810" t="s">
        <v>2418</v>
      </c>
      <c r="M232" s="1194" t="s">
        <v>2419</v>
      </c>
      <c r="N232" s="2911">
        <v>85000</v>
      </c>
      <c r="O232" s="1211" t="s">
        <v>7</v>
      </c>
      <c r="P232" s="1221" t="s">
        <v>7</v>
      </c>
      <c r="Q232" s="1222">
        <v>1</v>
      </c>
      <c r="R232" s="2452">
        <v>16882358</v>
      </c>
      <c r="S232" s="2831" t="s">
        <v>2420</v>
      </c>
      <c r="T232" s="1189">
        <v>85000</v>
      </c>
      <c r="U232" s="1211" t="s">
        <v>7</v>
      </c>
      <c r="V232" s="2837">
        <f>Table6268934567910[[#This Row],[Offer Value]]-Table6268934567910[[#This Row],[PO Value]]</f>
        <v>0</v>
      </c>
      <c r="W232" s="1183"/>
      <c r="X232" s="1183"/>
      <c r="Y232" s="1184" t="s">
        <v>723</v>
      </c>
    </row>
    <row r="233" spans="1:25" s="363" customFormat="1" ht="15.6">
      <c r="A233" s="1192"/>
      <c r="B233" s="1203"/>
      <c r="C233" s="1216" t="s">
        <v>1190</v>
      </c>
      <c r="D233" s="2849" t="s">
        <v>2252</v>
      </c>
      <c r="E233" s="1145" t="s">
        <v>2414</v>
      </c>
      <c r="F233" s="2769" t="s">
        <v>2415</v>
      </c>
      <c r="G233" s="2769">
        <v>9972356437</v>
      </c>
      <c r="H233" s="2769" t="s">
        <v>2416</v>
      </c>
      <c r="I233" s="2791" t="s">
        <v>2876</v>
      </c>
      <c r="J233" s="2801" t="s">
        <v>73</v>
      </c>
      <c r="K233" s="1204" t="s">
        <v>138</v>
      </c>
      <c r="L233" s="2808" t="s">
        <v>2418</v>
      </c>
      <c r="M233" s="1204" t="s">
        <v>2419</v>
      </c>
      <c r="N233" s="2913">
        <v>85000</v>
      </c>
      <c r="O233" s="1211" t="s">
        <v>7</v>
      </c>
      <c r="P233" s="1211" t="s">
        <v>7</v>
      </c>
      <c r="Q233" s="1210">
        <v>1</v>
      </c>
      <c r="R233" s="2452">
        <v>16882358</v>
      </c>
      <c r="S233" s="2831" t="s">
        <v>2420</v>
      </c>
      <c r="T233" s="1189">
        <v>85000</v>
      </c>
      <c r="U233" s="1211" t="s">
        <v>7</v>
      </c>
      <c r="V233" s="2837">
        <f>Table6268934567910[[#This Row],[Offer Value]]-Table6268934567910[[#This Row],[PO Value]]</f>
        <v>0</v>
      </c>
      <c r="W233" s="1183"/>
      <c r="X233" s="1183"/>
      <c r="Y233" s="1184" t="s">
        <v>723</v>
      </c>
    </row>
    <row r="234" spans="1:25" ht="15.6">
      <c r="A234" s="1192"/>
      <c r="B234" s="1203"/>
      <c r="C234" s="1218" t="s">
        <v>1190</v>
      </c>
      <c r="D234" s="2738" t="s">
        <v>2252</v>
      </c>
      <c r="E234" s="2742" t="s">
        <v>2414</v>
      </c>
      <c r="F234" s="2884" t="s">
        <v>2415</v>
      </c>
      <c r="G234" s="2884">
        <v>9972356437</v>
      </c>
      <c r="H234" s="2884" t="s">
        <v>2416</v>
      </c>
      <c r="I234" s="2791" t="s">
        <v>2877</v>
      </c>
      <c r="J234" s="2807" t="s">
        <v>73</v>
      </c>
      <c r="K234" s="1219" t="s">
        <v>138</v>
      </c>
      <c r="L234" s="2810" t="s">
        <v>2418</v>
      </c>
      <c r="M234" s="1194" t="s">
        <v>2419</v>
      </c>
      <c r="N234" s="2911">
        <v>85000</v>
      </c>
      <c r="O234" s="1211" t="s">
        <v>7</v>
      </c>
      <c r="P234" s="1221" t="s">
        <v>7</v>
      </c>
      <c r="Q234" s="1222">
        <v>1</v>
      </c>
      <c r="R234" s="2452">
        <v>16882358</v>
      </c>
      <c r="S234" s="2831" t="s">
        <v>2420</v>
      </c>
      <c r="T234" s="1189">
        <v>85000</v>
      </c>
      <c r="U234" s="1211" t="s">
        <v>7</v>
      </c>
      <c r="V234" s="2837">
        <f>Table6268934567910[[#This Row],[Offer Value]]-Table6268934567910[[#This Row],[PO Value]]</f>
        <v>0</v>
      </c>
      <c r="W234" s="1183"/>
      <c r="X234" s="1183"/>
      <c r="Y234" s="1184" t="s">
        <v>723</v>
      </c>
    </row>
    <row r="235" spans="1:25" ht="17.399999999999999">
      <c r="A235" s="1317"/>
      <c r="B235" s="1392"/>
      <c r="C235" s="1393" t="s">
        <v>2737</v>
      </c>
      <c r="D235" s="1537" t="s">
        <v>2738</v>
      </c>
      <c r="E235" s="2251" t="s">
        <v>2337</v>
      </c>
      <c r="F235" s="2856" t="s">
        <v>2739</v>
      </c>
      <c r="G235" s="2858">
        <v>8824185860</v>
      </c>
      <c r="H235" s="2858" t="s">
        <v>2740</v>
      </c>
      <c r="I235" s="2520" t="s">
        <v>2870</v>
      </c>
      <c r="J235" s="2806" t="s">
        <v>73</v>
      </c>
      <c r="K235" s="1461" t="s">
        <v>138</v>
      </c>
      <c r="L235" s="1962" t="s">
        <v>2741</v>
      </c>
      <c r="M235" s="1634" t="s">
        <v>2742</v>
      </c>
      <c r="N235" s="2912">
        <v>88200</v>
      </c>
      <c r="O235" s="1315" t="s">
        <v>39</v>
      </c>
      <c r="P235" s="1315" t="s">
        <v>49</v>
      </c>
      <c r="Q235" s="1395">
        <v>1</v>
      </c>
      <c r="R235" s="1315">
        <v>2800095345</v>
      </c>
      <c r="S235" s="1634" t="s">
        <v>1637</v>
      </c>
      <c r="T235" s="2836">
        <v>86436</v>
      </c>
      <c r="U235" s="697" t="s">
        <v>49</v>
      </c>
      <c r="V235" s="1963">
        <v>0</v>
      </c>
      <c r="W235" s="1317"/>
      <c r="X235" s="1317"/>
      <c r="Y235" s="1317"/>
    </row>
    <row r="236" spans="1:25" ht="15.6">
      <c r="A236" s="1356"/>
      <c r="B236" s="1357"/>
      <c r="C236" s="2745" t="s">
        <v>2294</v>
      </c>
      <c r="D236" s="1358" t="s">
        <v>2295</v>
      </c>
      <c r="E236" s="1359" t="s">
        <v>2387</v>
      </c>
      <c r="F236" s="1359" t="s">
        <v>2388</v>
      </c>
      <c r="G236" s="2745">
        <v>9289053639</v>
      </c>
      <c r="H236" s="1556" t="s">
        <v>2389</v>
      </c>
      <c r="I236" s="1359" t="s">
        <v>2458</v>
      </c>
      <c r="J236" s="1362" t="s">
        <v>73</v>
      </c>
      <c r="K236" s="1363" t="s">
        <v>138</v>
      </c>
      <c r="L236" s="2745" t="s">
        <v>2391</v>
      </c>
      <c r="M236" s="1357" t="s">
        <v>1204</v>
      </c>
      <c r="N236" s="1357">
        <v>89000</v>
      </c>
      <c r="O236" s="1357" t="s">
        <v>7</v>
      </c>
      <c r="P236" s="1315" t="s">
        <v>30</v>
      </c>
      <c r="Q236" s="1364">
        <v>1</v>
      </c>
      <c r="R236" s="2880" t="s">
        <v>2392</v>
      </c>
      <c r="S236" s="2881" t="s">
        <v>1929</v>
      </c>
      <c r="T236" s="1314">
        <v>89000</v>
      </c>
      <c r="U236" s="1315" t="s">
        <v>30</v>
      </c>
      <c r="V236" s="2838">
        <f>Table6268934567910[[#This Row],[Offer Value]]-Table6268934567910[[#This Row],[PO Value]]</f>
        <v>0</v>
      </c>
      <c r="W236" s="1357" t="s">
        <v>2386</v>
      </c>
      <c r="X236" s="1497"/>
      <c r="Y236" s="1365"/>
    </row>
    <row r="237" spans="1:25" s="363" customFormat="1" ht="15.6">
      <c r="A237" s="1391"/>
      <c r="B237" s="1393"/>
      <c r="C237" s="2758" t="s">
        <v>2294</v>
      </c>
      <c r="D237" s="1555" t="s">
        <v>2295</v>
      </c>
      <c r="E237" s="1543" t="s">
        <v>2504</v>
      </c>
      <c r="F237" s="2747" t="s">
        <v>2505</v>
      </c>
      <c r="G237" s="1393">
        <v>9108482032</v>
      </c>
      <c r="H237" s="974" t="s">
        <v>2506</v>
      </c>
      <c r="I237" s="2758" t="s">
        <v>2878</v>
      </c>
      <c r="J237" s="2519" t="s">
        <v>73</v>
      </c>
      <c r="K237" s="1461" t="s">
        <v>138</v>
      </c>
      <c r="L237" s="2758" t="s">
        <v>2508</v>
      </c>
      <c r="M237" s="1394" t="s">
        <v>1899</v>
      </c>
      <c r="N237" s="1314">
        <v>89000</v>
      </c>
      <c r="O237" s="1315" t="s">
        <v>18</v>
      </c>
      <c r="P237" s="1315" t="s">
        <v>30</v>
      </c>
      <c r="Q237" s="1395">
        <v>1</v>
      </c>
      <c r="R237" s="2827" t="s">
        <v>2509</v>
      </c>
      <c r="S237" s="1394" t="s">
        <v>2510</v>
      </c>
      <c r="T237" s="1314">
        <v>89000</v>
      </c>
      <c r="U237" s="1315" t="s">
        <v>30</v>
      </c>
      <c r="V237" s="2838">
        <f>Table6268934567910[[#This Row],[Offer Value]]-Table6268934567910[[#This Row],[PO Value]]</f>
        <v>0</v>
      </c>
      <c r="W237" s="1317"/>
      <c r="X237" s="1317"/>
      <c r="Y237" s="1317"/>
    </row>
    <row r="238" spans="1:25" ht="15.6">
      <c r="A238" s="1391"/>
      <c r="B238" s="1393"/>
      <c r="C238" s="2745" t="s">
        <v>2294</v>
      </c>
      <c r="D238" s="1358" t="s">
        <v>2295</v>
      </c>
      <c r="E238" s="1359" t="s">
        <v>2387</v>
      </c>
      <c r="F238" s="1358" t="s">
        <v>2388</v>
      </c>
      <c r="G238" s="1357">
        <v>9289053639</v>
      </c>
      <c r="H238" s="2780" t="s">
        <v>2389</v>
      </c>
      <c r="I238" s="2745" t="s">
        <v>2879</v>
      </c>
      <c r="J238" s="2519" t="s">
        <v>73</v>
      </c>
      <c r="K238" s="1461" t="s">
        <v>138</v>
      </c>
      <c r="L238" s="2758" t="s">
        <v>2580</v>
      </c>
      <c r="M238" s="1394">
        <v>45329</v>
      </c>
      <c r="N238" s="1314">
        <v>89000</v>
      </c>
      <c r="O238" s="1315" t="s">
        <v>7</v>
      </c>
      <c r="P238" s="1315" t="s">
        <v>30</v>
      </c>
      <c r="Q238" s="1395">
        <v>1</v>
      </c>
      <c r="R238" s="2827" t="s">
        <v>2581</v>
      </c>
      <c r="S238" s="1394" t="s">
        <v>2582</v>
      </c>
      <c r="T238" s="1314">
        <v>89000</v>
      </c>
      <c r="U238" s="1315" t="s">
        <v>30</v>
      </c>
      <c r="V238" s="2838">
        <f>Table6268934567910[[#This Row],[Offer Value]]-Table6268934567910[[#This Row],[PO Value]]</f>
        <v>0</v>
      </c>
      <c r="W238" s="1399" t="s">
        <v>2355</v>
      </c>
      <c r="X238" s="1393"/>
      <c r="Y238" s="1636"/>
    </row>
    <row r="239" spans="1:25" s="363" customFormat="1" ht="15.6">
      <c r="A239" s="1391"/>
      <c r="B239" s="1392"/>
      <c r="C239" s="2758" t="s">
        <v>2294</v>
      </c>
      <c r="D239" s="1537" t="s">
        <v>2295</v>
      </c>
      <c r="E239" s="2724" t="s">
        <v>2611</v>
      </c>
      <c r="F239" s="2850" t="s">
        <v>2456</v>
      </c>
      <c r="G239" s="1461">
        <v>9902311047</v>
      </c>
      <c r="H239" s="1961" t="s">
        <v>2457</v>
      </c>
      <c r="I239" s="1400" t="s">
        <v>2880</v>
      </c>
      <c r="J239" s="2519" t="s">
        <v>73</v>
      </c>
      <c r="K239" s="1461" t="s">
        <v>138</v>
      </c>
      <c r="L239" s="2758" t="s">
        <v>2613</v>
      </c>
      <c r="M239" s="1394">
        <v>45325</v>
      </c>
      <c r="N239" s="1315">
        <v>89000</v>
      </c>
      <c r="O239" s="1315" t="s">
        <v>7</v>
      </c>
      <c r="P239" s="1315" t="s">
        <v>34</v>
      </c>
      <c r="Q239" s="1395">
        <v>0.9</v>
      </c>
      <c r="R239" s="1315" t="s">
        <v>2614</v>
      </c>
      <c r="S239" s="1394" t="s">
        <v>2496</v>
      </c>
      <c r="T239" s="1315">
        <v>89000</v>
      </c>
      <c r="U239" s="697" t="s">
        <v>49</v>
      </c>
      <c r="V239" s="2838">
        <f>Table6268934567910[[#This Row],[Offer Value]]-Table6268934567910[[#This Row],[PO Value]]</f>
        <v>0</v>
      </c>
      <c r="W239" s="1399" t="s">
        <v>2355</v>
      </c>
      <c r="X239" s="1393"/>
      <c r="Y239" s="1636"/>
    </row>
    <row r="240" spans="1:25" ht="15.6">
      <c r="A240" s="1317"/>
      <c r="B240" s="1393"/>
      <c r="C240" s="2758" t="s">
        <v>2294</v>
      </c>
      <c r="D240" s="1537" t="s">
        <v>2295</v>
      </c>
      <c r="E240" s="2724" t="s">
        <v>2611</v>
      </c>
      <c r="F240" s="2850" t="s">
        <v>2456</v>
      </c>
      <c r="G240" s="1461">
        <v>9902311047</v>
      </c>
      <c r="H240" s="1961" t="s">
        <v>2457</v>
      </c>
      <c r="I240" s="1400" t="s">
        <v>2881</v>
      </c>
      <c r="J240" s="2519" t="s">
        <v>73</v>
      </c>
      <c r="K240" s="1461" t="s">
        <v>138</v>
      </c>
      <c r="L240" s="2758" t="s">
        <v>2679</v>
      </c>
      <c r="M240" s="1634"/>
      <c r="N240" s="1314">
        <v>89000</v>
      </c>
      <c r="O240" s="1315" t="s">
        <v>39</v>
      </c>
      <c r="P240" s="1315" t="s">
        <v>39</v>
      </c>
      <c r="Q240" s="1395">
        <v>1</v>
      </c>
      <c r="R240" s="2827" t="s">
        <v>2680</v>
      </c>
      <c r="S240" s="1394">
        <v>45873</v>
      </c>
      <c r="T240" s="1314">
        <v>89000</v>
      </c>
      <c r="U240" s="697" t="s">
        <v>49</v>
      </c>
      <c r="V240" s="1963">
        <f>Table6268934567910[[#This Row],[Offer Value]]-Table6268934567910[[#This Row],[PO Value]]</f>
        <v>0</v>
      </c>
      <c r="W240" s="1393"/>
      <c r="X240" s="1393"/>
      <c r="Y240" s="1391"/>
    </row>
    <row r="241" spans="1:28" ht="15.6">
      <c r="A241" s="1170"/>
      <c r="B241" s="1170"/>
      <c r="C241" s="2723" t="s">
        <v>2285</v>
      </c>
      <c r="D241" s="2735" t="s">
        <v>2286</v>
      </c>
      <c r="E241" s="1155" t="s">
        <v>2262</v>
      </c>
      <c r="F241" s="2735" t="s">
        <v>2287</v>
      </c>
      <c r="G241" s="2760" t="s">
        <v>2288</v>
      </c>
      <c r="H241" s="2774" t="s">
        <v>2289</v>
      </c>
      <c r="I241" s="2723" t="s">
        <v>2882</v>
      </c>
      <c r="J241" s="2800" t="s">
        <v>73</v>
      </c>
      <c r="K241" s="2803" t="s">
        <v>157</v>
      </c>
      <c r="L241" s="2723" t="s">
        <v>2291</v>
      </c>
      <c r="M241" s="1170" t="s">
        <v>2292</v>
      </c>
      <c r="N241" s="2817">
        <v>94500</v>
      </c>
      <c r="O241" s="2726" t="s">
        <v>7</v>
      </c>
      <c r="P241" s="1170" t="s">
        <v>7</v>
      </c>
      <c r="Q241" s="2819">
        <v>0.9</v>
      </c>
      <c r="R241" s="2760" t="s">
        <v>2293</v>
      </c>
      <c r="S241" s="2834">
        <v>45664</v>
      </c>
      <c r="T241" s="1181">
        <v>94500</v>
      </c>
      <c r="U241" s="1176" t="s">
        <v>7</v>
      </c>
      <c r="V241" s="2837">
        <f>Table6268934567910[[#This Row],[Offer Value]]-Table6268934567910[[#This Row],[PO Value]]</f>
        <v>0</v>
      </c>
      <c r="W241" s="2726"/>
      <c r="X241" s="2841"/>
      <c r="Y241" s="1178"/>
    </row>
    <row r="242" spans="1:28" s="363" customFormat="1" ht="15.6">
      <c r="A242" s="1170"/>
      <c r="B242" s="1170"/>
      <c r="C242" s="2728" t="s">
        <v>2285</v>
      </c>
      <c r="D242" s="2736" t="s">
        <v>2286</v>
      </c>
      <c r="E242" s="1156" t="s">
        <v>2262</v>
      </c>
      <c r="F242" s="2736" t="s">
        <v>2287</v>
      </c>
      <c r="G242" s="2767" t="s">
        <v>2288</v>
      </c>
      <c r="H242" s="2784" t="s">
        <v>2289</v>
      </c>
      <c r="I242" s="2728" t="s">
        <v>2883</v>
      </c>
      <c r="J242" s="2805" t="s">
        <v>73</v>
      </c>
      <c r="K242" s="2734" t="s">
        <v>157</v>
      </c>
      <c r="L242" s="2728" t="s">
        <v>2291</v>
      </c>
      <c r="M242" s="2726" t="s">
        <v>2292</v>
      </c>
      <c r="N242" s="2817">
        <v>94500</v>
      </c>
      <c r="O242" s="2726" t="s">
        <v>7</v>
      </c>
      <c r="P242" s="2726" t="s">
        <v>7</v>
      </c>
      <c r="Q242" s="2822">
        <v>0.9</v>
      </c>
      <c r="R242" s="2760" t="s">
        <v>2293</v>
      </c>
      <c r="S242" s="2834">
        <v>45664</v>
      </c>
      <c r="T242" s="1181">
        <v>94500</v>
      </c>
      <c r="U242" s="2835" t="s">
        <v>7</v>
      </c>
      <c r="V242" s="2837">
        <f>Table6268934567910[[#This Row],[Offer Value]]-Table6268934567910[[#This Row],[PO Value]]</f>
        <v>0</v>
      </c>
      <c r="W242" s="2726"/>
      <c r="X242" s="1176"/>
      <c r="Y242" s="1178"/>
    </row>
    <row r="243" spans="1:28" ht="15.6">
      <c r="A243" s="1170"/>
      <c r="B243" s="1170"/>
      <c r="C243" s="2723" t="s">
        <v>2285</v>
      </c>
      <c r="D243" s="2735" t="s">
        <v>2286</v>
      </c>
      <c r="E243" s="1155" t="s">
        <v>2262</v>
      </c>
      <c r="F243" s="2735" t="s">
        <v>2287</v>
      </c>
      <c r="G243" s="2760" t="s">
        <v>2288</v>
      </c>
      <c r="H243" s="2774" t="s">
        <v>2289</v>
      </c>
      <c r="I243" s="2723" t="s">
        <v>2884</v>
      </c>
      <c r="J243" s="2800" t="s">
        <v>73</v>
      </c>
      <c r="K243" s="2803" t="s">
        <v>157</v>
      </c>
      <c r="L243" s="2723" t="s">
        <v>2291</v>
      </c>
      <c r="M243" s="1170" t="s">
        <v>2292</v>
      </c>
      <c r="N243" s="1170">
        <v>94500</v>
      </c>
      <c r="O243" s="2726" t="s">
        <v>7</v>
      </c>
      <c r="P243" s="1170" t="s">
        <v>7</v>
      </c>
      <c r="Q243" s="2819">
        <v>0.9</v>
      </c>
      <c r="R243" s="2803" t="s">
        <v>2293</v>
      </c>
      <c r="S243" s="2834">
        <v>45664</v>
      </c>
      <c r="T243" s="1176">
        <v>94500</v>
      </c>
      <c r="U243" s="1176" t="s">
        <v>7</v>
      </c>
      <c r="V243" s="2837">
        <f>Table6268934567910[[#This Row],[Offer Value]]-Table6268934567910[[#This Row],[PO Value]]</f>
        <v>0</v>
      </c>
      <c r="W243" s="2726"/>
      <c r="X243" s="1176"/>
      <c r="Y243" s="1178"/>
    </row>
    <row r="244" spans="1:28" ht="31.2">
      <c r="A244" s="1192"/>
      <c r="B244" s="1203"/>
      <c r="C244" s="2725" t="s">
        <v>2439</v>
      </c>
      <c r="D244" s="1239" t="s">
        <v>2324</v>
      </c>
      <c r="E244" s="1153" t="s">
        <v>2440</v>
      </c>
      <c r="F244" s="2885" t="s">
        <v>2441</v>
      </c>
      <c r="G244" s="1240">
        <v>9597085079</v>
      </c>
      <c r="H244" s="1240" t="s">
        <v>2442</v>
      </c>
      <c r="I244" s="2791" t="s">
        <v>2885</v>
      </c>
      <c r="J244" s="2801" t="s">
        <v>73</v>
      </c>
      <c r="K244" s="1204" t="s">
        <v>138</v>
      </c>
      <c r="L244" s="2808" t="s">
        <v>2444</v>
      </c>
      <c r="M244" s="1227">
        <v>45325</v>
      </c>
      <c r="N244" s="1189">
        <v>95001</v>
      </c>
      <c r="O244" s="1176" t="s">
        <v>7</v>
      </c>
      <c r="P244" s="1315" t="s">
        <v>30</v>
      </c>
      <c r="Q244" s="1210">
        <v>1</v>
      </c>
      <c r="R244" s="2452">
        <v>401186595</v>
      </c>
      <c r="S244" s="1224">
        <v>45446</v>
      </c>
      <c r="T244" s="1189">
        <v>95001</v>
      </c>
      <c r="U244" s="1211" t="s">
        <v>30</v>
      </c>
      <c r="V244" s="2837">
        <f>Table6268934567910[[#This Row],[Offer Value]]-Table6268934567910[[#This Row],[PO Value]]</f>
        <v>0</v>
      </c>
      <c r="W244" s="1183"/>
      <c r="X244" s="1183"/>
      <c r="Y244" s="1231"/>
    </row>
    <row r="245" spans="1:28" ht="15.6">
      <c r="A245" s="706"/>
      <c r="B245" s="703"/>
      <c r="C245" s="718" t="s">
        <v>1190</v>
      </c>
      <c r="D245" s="712" t="s">
        <v>2252</v>
      </c>
      <c r="E245" s="726" t="s">
        <v>2414</v>
      </c>
      <c r="F245" s="2883" t="s">
        <v>2415</v>
      </c>
      <c r="G245" s="2625">
        <v>9972356437</v>
      </c>
      <c r="H245" s="2625" t="s">
        <v>2416</v>
      </c>
      <c r="I245" s="2353" t="s">
        <v>2871</v>
      </c>
      <c r="J245" s="730" t="s">
        <v>73</v>
      </c>
      <c r="K245" s="705" t="s">
        <v>138</v>
      </c>
      <c r="L245" s="2797" t="s">
        <v>2722</v>
      </c>
      <c r="M245" s="2350">
        <v>45933</v>
      </c>
      <c r="N245" s="2634">
        <v>95500</v>
      </c>
      <c r="O245" s="723" t="s">
        <v>47</v>
      </c>
      <c r="P245" s="697" t="s">
        <v>62</v>
      </c>
      <c r="Q245" s="707">
        <v>0.9</v>
      </c>
      <c r="R245" s="697"/>
      <c r="S245" s="713"/>
      <c r="T245" s="697"/>
      <c r="U245" s="697" t="s">
        <v>49</v>
      </c>
      <c r="V245" s="710">
        <f>Table6268934567910[[#This Row],[Offer Value]]-Table6268934567910[[#This Row],[PO Value]]</f>
        <v>95500</v>
      </c>
      <c r="W245" s="706"/>
      <c r="X245" s="706"/>
      <c r="Y245" s="709"/>
    </row>
    <row r="246" spans="1:28" ht="15.6">
      <c r="A246" s="706"/>
      <c r="B246" s="717"/>
      <c r="C246" s="718" t="s">
        <v>1190</v>
      </c>
      <c r="D246" s="712" t="s">
        <v>2252</v>
      </c>
      <c r="E246" s="726" t="s">
        <v>2414</v>
      </c>
      <c r="F246" s="2883" t="s">
        <v>2415</v>
      </c>
      <c r="G246" s="2625">
        <v>9972356437</v>
      </c>
      <c r="H246" s="2625" t="s">
        <v>2416</v>
      </c>
      <c r="I246" s="2354" t="s">
        <v>2872</v>
      </c>
      <c r="J246" s="730" t="s">
        <v>73</v>
      </c>
      <c r="K246" s="705" t="s">
        <v>138</v>
      </c>
      <c r="L246" s="2797" t="s">
        <v>2722</v>
      </c>
      <c r="M246" s="2350">
        <v>45933</v>
      </c>
      <c r="N246" s="2634">
        <v>95500</v>
      </c>
      <c r="O246" s="723" t="s">
        <v>47</v>
      </c>
      <c r="P246" s="697" t="s">
        <v>62</v>
      </c>
      <c r="Q246" s="707">
        <v>0.9</v>
      </c>
      <c r="R246" s="697"/>
      <c r="S246" s="713"/>
      <c r="T246" s="697"/>
      <c r="U246" s="697" t="s">
        <v>49</v>
      </c>
      <c r="V246" s="710">
        <f>Table6268934567910[[#This Row],[Offer Value]]-Table6268934567910[[#This Row],[PO Value]]</f>
        <v>95500</v>
      </c>
      <c r="W246" s="706"/>
      <c r="X246" s="706"/>
      <c r="Y246" s="709"/>
    </row>
    <row r="247" spans="1:28" ht="15.6">
      <c r="A247" s="706"/>
      <c r="B247" s="703"/>
      <c r="C247" s="718" t="s">
        <v>1190</v>
      </c>
      <c r="D247" s="712" t="s">
        <v>2252</v>
      </c>
      <c r="E247" s="726" t="s">
        <v>2414</v>
      </c>
      <c r="F247" s="2883" t="s">
        <v>2415</v>
      </c>
      <c r="G247" s="2625">
        <v>9972356437</v>
      </c>
      <c r="H247" s="2625" t="s">
        <v>2416</v>
      </c>
      <c r="I247" s="2799" t="s">
        <v>2873</v>
      </c>
      <c r="J247" s="730" t="s">
        <v>73</v>
      </c>
      <c r="K247" s="705" t="s">
        <v>138</v>
      </c>
      <c r="L247" s="2797" t="s">
        <v>2722</v>
      </c>
      <c r="M247" s="2350">
        <v>45933</v>
      </c>
      <c r="N247" s="2634">
        <v>95500</v>
      </c>
      <c r="O247" s="723" t="s">
        <v>47</v>
      </c>
      <c r="P247" s="697" t="s">
        <v>62</v>
      </c>
      <c r="Q247" s="707">
        <v>0.9</v>
      </c>
      <c r="R247" s="697"/>
      <c r="S247" s="713"/>
      <c r="T247" s="697"/>
      <c r="U247" s="697" t="s">
        <v>49</v>
      </c>
      <c r="V247" s="710">
        <f>Table6268934567910[[#This Row],[Offer Value]]-Table6268934567910[[#This Row],[PO Value]]</f>
        <v>95500</v>
      </c>
      <c r="W247" s="706"/>
      <c r="X247" s="706"/>
      <c r="Y247" s="706"/>
    </row>
    <row r="248" spans="1:28" ht="15.6">
      <c r="A248" s="706"/>
      <c r="B248" s="703"/>
      <c r="C248" s="703" t="s">
        <v>1190</v>
      </c>
      <c r="D248" s="712" t="s">
        <v>2252</v>
      </c>
      <c r="E248" s="726" t="s">
        <v>2414</v>
      </c>
      <c r="F248" s="1553" t="s">
        <v>2415</v>
      </c>
      <c r="G248" s="1553">
        <v>9972356437</v>
      </c>
      <c r="H248" s="2628" t="s">
        <v>2416</v>
      </c>
      <c r="I248" s="2354" t="s">
        <v>2874</v>
      </c>
      <c r="J248" s="730" t="s">
        <v>73</v>
      </c>
      <c r="K248" s="705" t="s">
        <v>138</v>
      </c>
      <c r="L248" s="2797" t="s">
        <v>2722</v>
      </c>
      <c r="M248" s="2350">
        <v>45933</v>
      </c>
      <c r="N248" s="2634">
        <v>95500</v>
      </c>
      <c r="O248" s="723" t="s">
        <v>47</v>
      </c>
      <c r="P248" s="697" t="s">
        <v>62</v>
      </c>
      <c r="Q248" s="707">
        <v>0.9</v>
      </c>
      <c r="R248" s="697"/>
      <c r="S248" s="713"/>
      <c r="T248" s="697"/>
      <c r="U248" s="697" t="s">
        <v>49</v>
      </c>
      <c r="V248" s="710">
        <f>Table6268934567910[[#This Row],[Offer Value]]-Table6268934567910[[#This Row],[PO Value]]</f>
        <v>95500</v>
      </c>
      <c r="W248" s="706"/>
      <c r="X248" s="706"/>
      <c r="Y248" s="709"/>
    </row>
    <row r="249" spans="1:28" ht="15.6">
      <c r="A249" s="706"/>
      <c r="B249" s="703"/>
      <c r="C249" s="703" t="s">
        <v>1190</v>
      </c>
      <c r="D249" s="712" t="s">
        <v>2252</v>
      </c>
      <c r="E249" s="726" t="s">
        <v>2414</v>
      </c>
      <c r="F249" s="1553" t="s">
        <v>2415</v>
      </c>
      <c r="G249" s="1553">
        <v>9972356437</v>
      </c>
      <c r="H249" s="2628" t="s">
        <v>2416</v>
      </c>
      <c r="I249" s="2353" t="s">
        <v>2875</v>
      </c>
      <c r="J249" s="730" t="s">
        <v>73</v>
      </c>
      <c r="K249" s="705" t="s">
        <v>138</v>
      </c>
      <c r="L249" s="2797" t="s">
        <v>2722</v>
      </c>
      <c r="M249" s="2350">
        <v>45933</v>
      </c>
      <c r="N249" s="2634">
        <v>95500</v>
      </c>
      <c r="O249" s="723" t="s">
        <v>47</v>
      </c>
      <c r="P249" s="697" t="s">
        <v>62</v>
      </c>
      <c r="Q249" s="707">
        <v>0.9</v>
      </c>
      <c r="R249" s="697"/>
      <c r="S249" s="713"/>
      <c r="T249" s="735"/>
      <c r="U249" s="697" t="s">
        <v>49</v>
      </c>
      <c r="V249" s="710">
        <f>Table6268934567910[[#This Row],[Offer Value]]-Table6268934567910[[#This Row],[PO Value]]</f>
        <v>95500</v>
      </c>
      <c r="W249" s="706"/>
      <c r="X249" s="706"/>
      <c r="Y249" s="706"/>
    </row>
    <row r="250" spans="1:28" ht="15.6">
      <c r="A250" s="706"/>
      <c r="B250" s="717"/>
      <c r="C250" s="703" t="s">
        <v>1190</v>
      </c>
      <c r="D250" s="712" t="s">
        <v>2252</v>
      </c>
      <c r="E250" s="726" t="s">
        <v>2414</v>
      </c>
      <c r="F250" s="1553" t="s">
        <v>2415</v>
      </c>
      <c r="G250" s="1553">
        <v>9972356437</v>
      </c>
      <c r="H250" s="2628" t="s">
        <v>2416</v>
      </c>
      <c r="I250" s="2354" t="s">
        <v>2876</v>
      </c>
      <c r="J250" s="730" t="s">
        <v>73</v>
      </c>
      <c r="K250" s="705" t="s">
        <v>138</v>
      </c>
      <c r="L250" s="2797" t="s">
        <v>2722</v>
      </c>
      <c r="M250" s="2350">
        <v>45933</v>
      </c>
      <c r="N250" s="2634">
        <v>95500</v>
      </c>
      <c r="O250" s="723" t="s">
        <v>47</v>
      </c>
      <c r="P250" s="697" t="s">
        <v>62</v>
      </c>
      <c r="Q250" s="707">
        <v>0.9</v>
      </c>
      <c r="R250" s="697"/>
      <c r="S250" s="713"/>
      <c r="T250" s="697"/>
      <c r="U250" s="697" t="s">
        <v>49</v>
      </c>
      <c r="V250" s="710">
        <f>Table6268934567910[[#This Row],[Offer Value]]-Table6268934567910[[#This Row],[PO Value]]</f>
        <v>95500</v>
      </c>
      <c r="W250" s="706"/>
      <c r="X250" s="706"/>
      <c r="Y250" s="709"/>
    </row>
    <row r="251" spans="1:28" s="1318" customFormat="1" ht="15.6">
      <c r="A251" s="706"/>
      <c r="B251" s="703"/>
      <c r="C251" s="718" t="s">
        <v>1190</v>
      </c>
      <c r="D251" s="712" t="s">
        <v>2252</v>
      </c>
      <c r="E251" s="726" t="s">
        <v>2414</v>
      </c>
      <c r="F251" s="1553" t="s">
        <v>2415</v>
      </c>
      <c r="G251" s="1553">
        <v>9972356437</v>
      </c>
      <c r="H251" s="1553" t="s">
        <v>2416</v>
      </c>
      <c r="I251" s="2352" t="s">
        <v>2877</v>
      </c>
      <c r="J251" s="2906" t="s">
        <v>73</v>
      </c>
      <c r="K251" s="734" t="s">
        <v>138</v>
      </c>
      <c r="L251" s="2797" t="s">
        <v>2722</v>
      </c>
      <c r="M251" s="2350">
        <v>45933</v>
      </c>
      <c r="N251" s="2794">
        <v>95500</v>
      </c>
      <c r="O251" s="723" t="s">
        <v>47</v>
      </c>
      <c r="P251" s="697" t="s">
        <v>62</v>
      </c>
      <c r="Q251" s="707">
        <v>0.9</v>
      </c>
      <c r="R251" s="697"/>
      <c r="S251" s="713"/>
      <c r="T251" s="690"/>
      <c r="U251" s="697" t="s">
        <v>49</v>
      </c>
      <c r="V251" s="710">
        <f>Table6268934567910[[#This Row],[Offer Value]]-Table6268934567910[[#This Row],[PO Value]]</f>
        <v>95500</v>
      </c>
      <c r="W251" s="706"/>
      <c r="X251" s="706"/>
      <c r="Y251" s="706"/>
      <c r="AB251" s="1542"/>
    </row>
    <row r="252" spans="1:28" s="1318" customFormat="1" ht="15.6">
      <c r="A252" s="1356"/>
      <c r="B252" s="1357"/>
      <c r="C252" s="2745" t="s">
        <v>2377</v>
      </c>
      <c r="D252" s="1358" t="s">
        <v>2378</v>
      </c>
      <c r="E252" s="1359" t="s">
        <v>1166</v>
      </c>
      <c r="F252" s="2745" t="s">
        <v>2379</v>
      </c>
      <c r="G252" s="2764" t="s">
        <v>2380</v>
      </c>
      <c r="H252" s="2775" t="s">
        <v>2381</v>
      </c>
      <c r="I252" s="2902" t="s">
        <v>2542</v>
      </c>
      <c r="J252" s="2907" t="s">
        <v>73</v>
      </c>
      <c r="K252" s="1362" t="s">
        <v>138</v>
      </c>
      <c r="L252" s="2745" t="s">
        <v>2383</v>
      </c>
      <c r="M252" s="1357" t="s">
        <v>2384</v>
      </c>
      <c r="N252" s="2745">
        <v>99500</v>
      </c>
      <c r="O252" s="1357" t="s">
        <v>7</v>
      </c>
      <c r="P252" s="1399" t="s">
        <v>2385</v>
      </c>
      <c r="Q252" s="1364">
        <v>1</v>
      </c>
      <c r="R252" s="2761">
        <v>4500262958</v>
      </c>
      <c r="S252" s="2881">
        <v>45964</v>
      </c>
      <c r="T252" s="2816">
        <v>99500</v>
      </c>
      <c r="U252" s="1315" t="s">
        <v>25</v>
      </c>
      <c r="V252" s="2838">
        <f>Table6268934567910[[#This Row],[Offer Value]]-Table6268934567910[[#This Row],[PO Value]]</f>
        <v>0</v>
      </c>
      <c r="W252" s="1357" t="s">
        <v>2386</v>
      </c>
      <c r="X252" s="1317"/>
      <c r="Y252" s="1365"/>
      <c r="AB252" s="1542"/>
    </row>
    <row r="253" spans="1:28" s="1318" customFormat="1" ht="31.2">
      <c r="A253" s="1317"/>
      <c r="B253" s="1392"/>
      <c r="C253" s="1461" t="s">
        <v>2731</v>
      </c>
      <c r="D253" s="1555" t="s">
        <v>2252</v>
      </c>
      <c r="E253" s="1543" t="s">
        <v>954</v>
      </c>
      <c r="F253" s="2856" t="s">
        <v>2732</v>
      </c>
      <c r="G253" s="2852" t="s">
        <v>2733</v>
      </c>
      <c r="H253" s="2873" t="s">
        <v>2734</v>
      </c>
      <c r="I253" s="2852" t="s">
        <v>2886</v>
      </c>
      <c r="J253" s="2518" t="s">
        <v>73</v>
      </c>
      <c r="K253" s="2519" t="s">
        <v>157</v>
      </c>
      <c r="L253" s="1962" t="s">
        <v>2736</v>
      </c>
      <c r="M253" s="1634">
        <v>45901</v>
      </c>
      <c r="N253" s="2754">
        <v>100000</v>
      </c>
      <c r="O253" s="1315" t="s">
        <v>44</v>
      </c>
      <c r="P253" s="1315" t="s">
        <v>49</v>
      </c>
      <c r="Q253" s="1395">
        <v>1</v>
      </c>
      <c r="R253" s="1315">
        <v>4400000465</v>
      </c>
      <c r="S253" s="1634" t="s">
        <v>1636</v>
      </c>
      <c r="T253" s="1315">
        <v>100000</v>
      </c>
      <c r="U253" s="1315" t="s">
        <v>49</v>
      </c>
      <c r="V253" s="1963">
        <f>Table6268934567910[[#This Row],[Offer Value]]-Table6268934567910[[#This Row],[PO Value]]</f>
        <v>0</v>
      </c>
      <c r="W253" s="1317"/>
      <c r="X253" s="1317"/>
      <c r="Y253" s="1317"/>
      <c r="AB253" s="1542"/>
    </row>
    <row r="254" spans="1:28" s="1318" customFormat="1" ht="31.2">
      <c r="A254" s="1317"/>
      <c r="B254" s="1392"/>
      <c r="C254" s="1461" t="s">
        <v>2731</v>
      </c>
      <c r="D254" s="1555" t="s">
        <v>2252</v>
      </c>
      <c r="E254" s="1543" t="s">
        <v>954</v>
      </c>
      <c r="F254" s="2856" t="s">
        <v>2732</v>
      </c>
      <c r="G254" s="2852" t="s">
        <v>2733</v>
      </c>
      <c r="H254" s="2873" t="s">
        <v>2734</v>
      </c>
      <c r="I254" s="2852" t="s">
        <v>2887</v>
      </c>
      <c r="J254" s="2518" t="s">
        <v>73</v>
      </c>
      <c r="K254" s="2519" t="s">
        <v>157</v>
      </c>
      <c r="L254" s="1962" t="s">
        <v>2736</v>
      </c>
      <c r="M254" s="1634">
        <v>45901</v>
      </c>
      <c r="N254" s="1315">
        <v>100000</v>
      </c>
      <c r="O254" s="1315" t="s">
        <v>44</v>
      </c>
      <c r="P254" s="1315" t="s">
        <v>49</v>
      </c>
      <c r="Q254" s="1395">
        <v>1</v>
      </c>
      <c r="R254" s="1315">
        <v>4400000465</v>
      </c>
      <c r="S254" s="1634" t="s">
        <v>1636</v>
      </c>
      <c r="T254" s="1315">
        <v>100000</v>
      </c>
      <c r="U254" s="1315" t="s">
        <v>49</v>
      </c>
      <c r="V254" s="1963">
        <f>Table6268934567910[[#This Row],[Offer Value]]-Table6268934567910[[#This Row],[PO Value]]</f>
        <v>0</v>
      </c>
      <c r="W254" s="1317"/>
      <c r="X254" s="1317"/>
      <c r="Y254" s="1468"/>
      <c r="AB254" s="1542"/>
    </row>
    <row r="255" spans="1:28" ht="62.4">
      <c r="A255" s="1317"/>
      <c r="B255" s="1393"/>
      <c r="C255" s="1461" t="s">
        <v>2625</v>
      </c>
      <c r="D255" s="1555" t="s">
        <v>2445</v>
      </c>
      <c r="E255" s="1543" t="s">
        <v>954</v>
      </c>
      <c r="F255" s="2852" t="s">
        <v>2626</v>
      </c>
      <c r="G255" s="2852">
        <v>9060133171</v>
      </c>
      <c r="H255" s="2852" t="s">
        <v>2627</v>
      </c>
      <c r="I255" s="2868" t="s">
        <v>2638</v>
      </c>
      <c r="J255" s="2804" t="s">
        <v>73</v>
      </c>
      <c r="K255" s="2519" t="s">
        <v>138</v>
      </c>
      <c r="L255" s="2758" t="s">
        <v>2629</v>
      </c>
      <c r="M255" s="1634">
        <v>45819</v>
      </c>
      <c r="N255" s="2816">
        <v>102563.91</v>
      </c>
      <c r="O255" s="1315" t="s">
        <v>37</v>
      </c>
      <c r="P255" s="1315" t="s">
        <v>37</v>
      </c>
      <c r="Q255" s="1489">
        <v>1</v>
      </c>
      <c r="R255" s="2827">
        <v>5891136624</v>
      </c>
      <c r="S255" s="1397">
        <v>45856</v>
      </c>
      <c r="T255" s="1314">
        <v>102563.91</v>
      </c>
      <c r="U255" s="697" t="s">
        <v>49</v>
      </c>
      <c r="V255" s="1963">
        <f>Table6268934567910[[#This Row],[Offer Value]]-Table6268934567910[[#This Row],[PO Value]]</f>
        <v>0</v>
      </c>
      <c r="W255" s="1393"/>
      <c r="X255" s="1393"/>
      <c r="Y255" s="1391"/>
    </row>
    <row r="256" spans="1:28" ht="62.4">
      <c r="A256" s="1317"/>
      <c r="B256" s="1393"/>
      <c r="C256" s="1461" t="s">
        <v>2625</v>
      </c>
      <c r="D256" s="1555" t="s">
        <v>2445</v>
      </c>
      <c r="E256" s="1543" t="s">
        <v>954</v>
      </c>
      <c r="F256" s="2852" t="s">
        <v>2626</v>
      </c>
      <c r="G256" s="2852">
        <v>9060133171</v>
      </c>
      <c r="H256" s="2852" t="s">
        <v>2627</v>
      </c>
      <c r="I256" s="2792" t="s">
        <v>2888</v>
      </c>
      <c r="J256" s="2804" t="s">
        <v>73</v>
      </c>
      <c r="K256" s="2519" t="s">
        <v>138</v>
      </c>
      <c r="L256" s="2758" t="s">
        <v>2629</v>
      </c>
      <c r="M256" s="1634">
        <v>45819</v>
      </c>
      <c r="N256" s="2816">
        <v>102563.91</v>
      </c>
      <c r="O256" s="1315" t="s">
        <v>37</v>
      </c>
      <c r="P256" s="1315" t="s">
        <v>37</v>
      </c>
      <c r="Q256" s="1489">
        <v>1</v>
      </c>
      <c r="R256" s="2827">
        <v>5891136624</v>
      </c>
      <c r="S256" s="1397">
        <v>45856</v>
      </c>
      <c r="T256" s="1314">
        <v>102563.91</v>
      </c>
      <c r="U256" s="697" t="s">
        <v>49</v>
      </c>
      <c r="V256" s="1963">
        <f>Table6268934567910[[#This Row],[Offer Value]]-Table6268934567910[[#This Row],[PO Value]]</f>
        <v>0</v>
      </c>
      <c r="W256" s="1393"/>
      <c r="X256" s="1393"/>
      <c r="Y256" s="1391"/>
    </row>
    <row r="257" spans="1:28" ht="15.6">
      <c r="A257" s="1315"/>
      <c r="B257" s="1315"/>
      <c r="C257" s="1315" t="s">
        <v>1064</v>
      </c>
      <c r="D257" s="2747" t="s">
        <v>2252</v>
      </c>
      <c r="E257" s="1467" t="s">
        <v>2337</v>
      </c>
      <c r="F257" s="2754" t="s">
        <v>2338</v>
      </c>
      <c r="G257" s="2754">
        <v>9980137131</v>
      </c>
      <c r="H257" s="2862" t="s">
        <v>2339</v>
      </c>
      <c r="I257" s="2754" t="s">
        <v>2463</v>
      </c>
      <c r="J257" s="2518" t="s">
        <v>73</v>
      </c>
      <c r="K257" s="2806" t="s">
        <v>138</v>
      </c>
      <c r="L257" s="2754" t="s">
        <v>2341</v>
      </c>
      <c r="M257" s="1394">
        <v>45809</v>
      </c>
      <c r="N257" s="2816">
        <v>104500</v>
      </c>
      <c r="O257" s="1315" t="s">
        <v>7</v>
      </c>
      <c r="P257" s="1315" t="s">
        <v>28</v>
      </c>
      <c r="Q257" s="2363">
        <v>0.9</v>
      </c>
      <c r="R257" s="1960">
        <v>1240065413</v>
      </c>
      <c r="S257" s="1397" t="s">
        <v>1975</v>
      </c>
      <c r="T257" s="1315">
        <v>102499.98</v>
      </c>
      <c r="U257" s="1315" t="s">
        <v>28</v>
      </c>
      <c r="V257" s="2838">
        <v>0</v>
      </c>
      <c r="W257" s="1315"/>
      <c r="X257" s="1315"/>
      <c r="Y257" s="1471"/>
    </row>
    <row r="258" spans="1:28" ht="15.6">
      <c r="A258" s="1170"/>
      <c r="B258" s="1170"/>
      <c r="C258" s="1180" t="s">
        <v>2356</v>
      </c>
      <c r="D258" s="2845" t="s">
        <v>2252</v>
      </c>
      <c r="E258" s="2847" t="s">
        <v>2357</v>
      </c>
      <c r="F258" s="2886" t="s">
        <v>2358</v>
      </c>
      <c r="G258" s="2860">
        <v>9845203244</v>
      </c>
      <c r="H258" s="2867" t="s">
        <v>2359</v>
      </c>
      <c r="I258" s="2871" t="s">
        <v>2889</v>
      </c>
      <c r="J258" s="2905" t="s">
        <v>73</v>
      </c>
      <c r="K258" s="1191" t="s">
        <v>138</v>
      </c>
      <c r="L258" s="2743" t="s">
        <v>2361</v>
      </c>
      <c r="M258" s="1173">
        <v>45638</v>
      </c>
      <c r="N258" s="2743">
        <v>111000</v>
      </c>
      <c r="O258" s="1174" t="s">
        <v>7</v>
      </c>
      <c r="P258" s="2818" t="s">
        <v>18</v>
      </c>
      <c r="Q258" s="2916">
        <v>0.8</v>
      </c>
      <c r="R258" s="2879" t="s">
        <v>2362</v>
      </c>
      <c r="S258" s="2833" t="s">
        <v>2363</v>
      </c>
      <c r="T258" s="1181">
        <v>111000</v>
      </c>
      <c r="U258" s="1176" t="s">
        <v>18</v>
      </c>
      <c r="V258" s="2837">
        <f>Table6268934567910[[#This Row],[Offer Value]]-Table6268934567910[[#This Row],[PO Value]]</f>
        <v>0</v>
      </c>
      <c r="W258" s="1177" t="s">
        <v>2355</v>
      </c>
      <c r="X258" s="1176"/>
      <c r="Y258" s="1179"/>
    </row>
    <row r="259" spans="1:28" ht="18.75" customHeight="1">
      <c r="A259" s="1182"/>
      <c r="B259" s="1174"/>
      <c r="C259" s="1172" t="s">
        <v>2356</v>
      </c>
      <c r="D259" s="2844" t="s">
        <v>2252</v>
      </c>
      <c r="E259" s="2846" t="s">
        <v>2357</v>
      </c>
      <c r="F259" s="2853" t="s">
        <v>2358</v>
      </c>
      <c r="G259" s="2859">
        <v>9845203244</v>
      </c>
      <c r="H259" s="2866" t="s">
        <v>2359</v>
      </c>
      <c r="I259" s="2790" t="s">
        <v>2531</v>
      </c>
      <c r="J259" s="2908" t="s">
        <v>73</v>
      </c>
      <c r="K259" s="1186" t="s">
        <v>138</v>
      </c>
      <c r="L259" s="2877" t="s">
        <v>2361</v>
      </c>
      <c r="M259" s="1173">
        <v>45638</v>
      </c>
      <c r="N259" s="2743">
        <v>111000</v>
      </c>
      <c r="O259" s="1174" t="s">
        <v>7</v>
      </c>
      <c r="P259" s="2818" t="s">
        <v>18</v>
      </c>
      <c r="Q259" s="2916">
        <v>0.8</v>
      </c>
      <c r="R259" s="2879" t="s">
        <v>2362</v>
      </c>
      <c r="S259" s="2833" t="s">
        <v>2363</v>
      </c>
      <c r="T259" s="1176">
        <v>111000</v>
      </c>
      <c r="U259" s="1176" t="s">
        <v>18</v>
      </c>
      <c r="V259" s="2837">
        <f>Table6268934567910[[#This Row],[Offer Value]]-Table6268934567910[[#This Row],[PO Value]]</f>
        <v>0</v>
      </c>
      <c r="W259" s="1177" t="s">
        <v>2355</v>
      </c>
      <c r="X259" s="1183"/>
      <c r="Y259" s="1184"/>
    </row>
    <row r="260" spans="1:28" s="1318" customFormat="1" ht="46.8">
      <c r="A260" s="1317"/>
      <c r="B260" s="1393"/>
      <c r="C260" s="1461" t="s">
        <v>2309</v>
      </c>
      <c r="D260" s="1555" t="s">
        <v>2252</v>
      </c>
      <c r="E260" s="1543" t="s">
        <v>620</v>
      </c>
      <c r="F260" s="2857" t="s">
        <v>2633</v>
      </c>
      <c r="G260" s="2861">
        <v>9742019678</v>
      </c>
      <c r="H260" s="2858" t="s">
        <v>2634</v>
      </c>
      <c r="I260" s="2872" t="s">
        <v>2312</v>
      </c>
      <c r="J260" s="2804" t="s">
        <v>73</v>
      </c>
      <c r="K260" s="2519" t="s">
        <v>138</v>
      </c>
      <c r="L260" s="2758" t="s">
        <v>2636</v>
      </c>
      <c r="M260" s="1634">
        <v>45819</v>
      </c>
      <c r="N260" s="1314">
        <v>120000</v>
      </c>
      <c r="O260" s="1315" t="s">
        <v>34</v>
      </c>
      <c r="P260" s="1315" t="s">
        <v>37</v>
      </c>
      <c r="Q260" s="1489">
        <v>1</v>
      </c>
      <c r="R260" s="2827" t="s">
        <v>2637</v>
      </c>
      <c r="S260" s="1397">
        <v>45854</v>
      </c>
      <c r="T260" s="1314">
        <v>120000</v>
      </c>
      <c r="U260" s="697" t="s">
        <v>49</v>
      </c>
      <c r="V260" s="1963">
        <f>Table6268934567910[[#This Row],[Offer Value]]-Table6268934567910[[#This Row],[PO Value]]</f>
        <v>0</v>
      </c>
      <c r="W260" s="1393"/>
      <c r="X260" s="1393"/>
      <c r="Y260" s="1391"/>
      <c r="AB260" s="1542"/>
    </row>
    <row r="261" spans="1:28" s="1318" customFormat="1" ht="15.6">
      <c r="A261" s="1391"/>
      <c r="B261" s="1392"/>
      <c r="C261" s="1461" t="s">
        <v>2377</v>
      </c>
      <c r="D261" s="1555" t="s">
        <v>2252</v>
      </c>
      <c r="E261" s="1359" t="s">
        <v>954</v>
      </c>
      <c r="F261" s="2745" t="s">
        <v>2379</v>
      </c>
      <c r="G261" s="2764" t="s">
        <v>2380</v>
      </c>
      <c r="H261" s="2775" t="s">
        <v>2381</v>
      </c>
      <c r="I261" s="2727" t="s">
        <v>2542</v>
      </c>
      <c r="J261" s="2804" t="s">
        <v>77</v>
      </c>
      <c r="K261" s="2519" t="s">
        <v>138</v>
      </c>
      <c r="L261" s="2758" t="s">
        <v>2596</v>
      </c>
      <c r="M261" s="2600">
        <v>45937</v>
      </c>
      <c r="N261" s="1314">
        <v>250000</v>
      </c>
      <c r="O261" s="1315" t="s">
        <v>47</v>
      </c>
      <c r="P261" s="1315" t="s">
        <v>47</v>
      </c>
      <c r="Q261" s="1489">
        <v>1</v>
      </c>
      <c r="R261" s="1315">
        <v>4500277024</v>
      </c>
      <c r="S261" s="1397" t="s">
        <v>1637</v>
      </c>
      <c r="T261" s="1315">
        <v>250000</v>
      </c>
      <c r="U261" s="1315" t="s">
        <v>47</v>
      </c>
      <c r="V261" s="2838">
        <f>Table6268934567910[[#This Row],[Offer Value]]-Table6268934567910[[#This Row],[PO Value]]</f>
        <v>0</v>
      </c>
      <c r="W261" s="1393"/>
      <c r="X261" s="1393"/>
      <c r="Y261" s="1391"/>
      <c r="AB261" s="1542"/>
    </row>
    <row r="262" spans="1:28" s="1318" customFormat="1" ht="31.2">
      <c r="A262" s="2355"/>
      <c r="B262" s="2356"/>
      <c r="C262" s="1461" t="s">
        <v>2377</v>
      </c>
      <c r="D262" s="1555" t="s">
        <v>2252</v>
      </c>
      <c r="E262" s="1359" t="s">
        <v>954</v>
      </c>
      <c r="F262" s="2745" t="s">
        <v>2379</v>
      </c>
      <c r="G262" s="2764" t="s">
        <v>2380</v>
      </c>
      <c r="H262" s="2775" t="s">
        <v>2381</v>
      </c>
      <c r="I262" s="2727" t="s">
        <v>2382</v>
      </c>
      <c r="J262" s="2804" t="s">
        <v>83</v>
      </c>
      <c r="K262" s="2519" t="s">
        <v>157</v>
      </c>
      <c r="L262" s="2758" t="s">
        <v>2589</v>
      </c>
      <c r="M262" s="1394" t="s">
        <v>2590</v>
      </c>
      <c r="N262" s="1643">
        <v>298933.18</v>
      </c>
      <c r="O262" s="1315" t="s">
        <v>30</v>
      </c>
      <c r="P262" s="1315" t="s">
        <v>39</v>
      </c>
      <c r="Q262" s="1489">
        <v>0.6</v>
      </c>
      <c r="R262" s="1315">
        <v>4500273565</v>
      </c>
      <c r="S262" s="2830" t="s">
        <v>2591</v>
      </c>
      <c r="T262" s="1643">
        <v>298933.18</v>
      </c>
      <c r="U262" s="2357" t="s">
        <v>39</v>
      </c>
      <c r="V262" s="2358">
        <f>Table6268934567910[[#This Row],[Offer Value]]-Table6268934567910[[#This Row],[PO Value]]</f>
        <v>0</v>
      </c>
      <c r="W262" s="2356"/>
      <c r="X262" s="2356"/>
      <c r="Y262" s="1635"/>
      <c r="AB262" s="1542"/>
    </row>
    <row r="263" spans="1:28" ht="31.2">
      <c r="A263" s="2355"/>
      <c r="B263" s="2356"/>
      <c r="C263" s="1461" t="s">
        <v>2377</v>
      </c>
      <c r="D263" s="1393" t="s">
        <v>2252</v>
      </c>
      <c r="E263" s="1357" t="s">
        <v>954</v>
      </c>
      <c r="F263" s="2745" t="s">
        <v>2379</v>
      </c>
      <c r="G263" s="2764" t="s">
        <v>2380</v>
      </c>
      <c r="H263" s="2775" t="s">
        <v>2381</v>
      </c>
      <c r="I263" s="2727" t="s">
        <v>2382</v>
      </c>
      <c r="J263" s="1368" t="s">
        <v>83</v>
      </c>
      <c r="K263" s="1368" t="s">
        <v>157</v>
      </c>
      <c r="L263" s="1393" t="s">
        <v>2589</v>
      </c>
      <c r="M263" s="1394" t="s">
        <v>2590</v>
      </c>
      <c r="N263" s="1643">
        <v>361441.99</v>
      </c>
      <c r="O263" s="1315" t="s">
        <v>30</v>
      </c>
      <c r="P263" s="1315" t="s">
        <v>39</v>
      </c>
      <c r="Q263" s="1489">
        <v>0.6</v>
      </c>
      <c r="R263" s="1315">
        <v>4500273567</v>
      </c>
      <c r="S263" s="2830" t="s">
        <v>2591</v>
      </c>
      <c r="T263" s="1643">
        <v>361441.99</v>
      </c>
      <c r="U263" s="2357" t="s">
        <v>39</v>
      </c>
      <c r="V263" s="2358">
        <f>Table6268934567910[[#This Row],[Offer Value]]-Table6268934567910[[#This Row],[PO Value]]</f>
        <v>0</v>
      </c>
      <c r="W263" s="2356"/>
      <c r="X263" s="2356"/>
      <c r="Y263" s="1635"/>
    </row>
    <row r="264" spans="1:28" ht="15.6">
      <c r="A264" s="1317"/>
      <c r="B264" s="1468"/>
      <c r="C264" s="1393" t="s">
        <v>2364</v>
      </c>
      <c r="D264" s="2242" t="s">
        <v>2365</v>
      </c>
      <c r="E264" s="2243" t="s">
        <v>2337</v>
      </c>
      <c r="F264" s="2750" t="s">
        <v>2757</v>
      </c>
      <c r="G264" s="1768">
        <v>9900636398</v>
      </c>
      <c r="H264" s="1768" t="s">
        <v>2758</v>
      </c>
      <c r="I264" s="2776" t="s">
        <v>2405</v>
      </c>
      <c r="J264" s="2521" t="s">
        <v>77</v>
      </c>
      <c r="K264" s="2522" t="s">
        <v>138</v>
      </c>
      <c r="L264" s="2781" t="s">
        <v>2766</v>
      </c>
      <c r="M264" s="1634">
        <v>45874</v>
      </c>
      <c r="N264" s="2246">
        <v>403750</v>
      </c>
      <c r="O264" s="1315" t="s">
        <v>39</v>
      </c>
      <c r="P264" s="2241" t="s">
        <v>49</v>
      </c>
      <c r="Q264" s="2607">
        <v>1</v>
      </c>
      <c r="R264" s="1315">
        <v>8000000589</v>
      </c>
      <c r="S264" s="2608" t="s">
        <v>2669</v>
      </c>
      <c r="T264" s="2246">
        <v>403750</v>
      </c>
      <c r="U264" s="697" t="s">
        <v>49</v>
      </c>
      <c r="V264" s="1963">
        <f>Table6268934567910[[#This Row],[Offer Value]]-Table6268934567910[[#This Row],[PO Value]]</f>
        <v>0</v>
      </c>
      <c r="W264" s="1317"/>
      <c r="X264" s="1317"/>
      <c r="Y264" s="1468"/>
    </row>
    <row r="265" spans="1:28" ht="15.6">
      <c r="A265" s="1391"/>
      <c r="B265" s="1393"/>
      <c r="C265" s="1393" t="s">
        <v>2377</v>
      </c>
      <c r="D265" s="1555" t="s">
        <v>2252</v>
      </c>
      <c r="E265" s="1359" t="s">
        <v>954</v>
      </c>
      <c r="F265" s="1359" t="s">
        <v>2379</v>
      </c>
      <c r="G265" s="1360" t="s">
        <v>2380</v>
      </c>
      <c r="H265" s="1361" t="s">
        <v>2381</v>
      </c>
      <c r="I265" s="2724" t="s">
        <v>2493</v>
      </c>
      <c r="J265" s="2804" t="s">
        <v>80</v>
      </c>
      <c r="K265" s="2519" t="s">
        <v>157</v>
      </c>
      <c r="L265" s="1393" t="s">
        <v>2890</v>
      </c>
      <c r="M265" s="2600">
        <v>45937</v>
      </c>
      <c r="N265" s="1314">
        <v>3300000</v>
      </c>
      <c r="O265" s="1315" t="s">
        <v>47</v>
      </c>
      <c r="P265" s="1315" t="s">
        <v>47</v>
      </c>
      <c r="Q265" s="1489">
        <v>1</v>
      </c>
      <c r="R265" s="1315">
        <v>4500277010</v>
      </c>
      <c r="S265" s="1397" t="s">
        <v>1637</v>
      </c>
      <c r="T265" s="1315">
        <v>3300000</v>
      </c>
      <c r="U265" s="1315" t="s">
        <v>47</v>
      </c>
      <c r="V265" s="2838">
        <f>Table6268934567910[[#This Row],[Offer Value]]-Table6268934567910[[#This Row],[PO Value]]</f>
        <v>0</v>
      </c>
      <c r="W265" s="1393"/>
      <c r="X265" s="1393"/>
      <c r="Y265" s="1391"/>
    </row>
    <row r="266" spans="1:28" s="1318" customFormat="1" ht="15.6">
      <c r="A266" s="1317"/>
      <c r="B266" s="1468">
        <v>45912</v>
      </c>
      <c r="C266" s="1393" t="s">
        <v>2364</v>
      </c>
      <c r="D266" s="2242" t="s">
        <v>2365</v>
      </c>
      <c r="E266" s="2243" t="s">
        <v>2337</v>
      </c>
      <c r="F266" s="3117" t="s">
        <v>2757</v>
      </c>
      <c r="G266" s="3118">
        <v>9900636398</v>
      </c>
      <c r="H266" s="3118" t="s">
        <v>2758</v>
      </c>
      <c r="I266" s="3119" t="s">
        <v>2765</v>
      </c>
      <c r="J266" s="2521" t="s">
        <v>75</v>
      </c>
      <c r="K266" s="2522" t="s">
        <v>157</v>
      </c>
      <c r="L266" s="1393" t="s">
        <v>2891</v>
      </c>
      <c r="M266" s="1634" t="s">
        <v>1636</v>
      </c>
      <c r="N266" s="1314">
        <v>87128</v>
      </c>
      <c r="O266" s="1315" t="s">
        <v>49</v>
      </c>
      <c r="P266" s="2241" t="s">
        <v>62</v>
      </c>
      <c r="Q266" s="2607">
        <v>1</v>
      </c>
      <c r="R266" s="1315">
        <v>9000000083</v>
      </c>
      <c r="S266" s="2608" t="s">
        <v>2892</v>
      </c>
      <c r="T266" s="3015">
        <v>87128</v>
      </c>
      <c r="U266" s="1315" t="s">
        <v>62</v>
      </c>
      <c r="V266" s="1963">
        <f>Table6268934567910[[#This Row],[Offer Value]]-Table6268934567910[[#This Row],[PO Value]]</f>
        <v>0</v>
      </c>
      <c r="W266" s="1317"/>
      <c r="X266" s="1317"/>
      <c r="Y266" s="1468"/>
      <c r="AB266" s="1542"/>
    </row>
    <row r="267" spans="1:28" ht="31.2">
      <c r="A267" s="706"/>
      <c r="B267" s="709" t="s">
        <v>2893</v>
      </c>
      <c r="C267" s="703" t="s">
        <v>2294</v>
      </c>
      <c r="D267" s="724" t="s">
        <v>2295</v>
      </c>
      <c r="E267" s="725" t="s">
        <v>2894</v>
      </c>
      <c r="F267" s="693" t="s">
        <v>2895</v>
      </c>
      <c r="G267" s="726">
        <v>9008573495</v>
      </c>
      <c r="H267" s="884" t="s">
        <v>2896</v>
      </c>
      <c r="I267" s="726" t="s">
        <v>2897</v>
      </c>
      <c r="J267" s="737" t="s">
        <v>73</v>
      </c>
      <c r="K267" s="738" t="s">
        <v>138</v>
      </c>
      <c r="L267" s="703" t="s">
        <v>2257</v>
      </c>
      <c r="M267" s="713"/>
      <c r="N267" s="697"/>
      <c r="O267" s="697" t="s">
        <v>49</v>
      </c>
      <c r="P267" s="723" t="s">
        <v>62</v>
      </c>
      <c r="Q267" s="739">
        <v>1</v>
      </c>
      <c r="R267" s="697" t="s">
        <v>2898</v>
      </c>
      <c r="S267" s="740">
        <v>45973</v>
      </c>
      <c r="T267" s="723">
        <v>89000</v>
      </c>
      <c r="U267" s="697" t="s">
        <v>62</v>
      </c>
      <c r="V267" s="710">
        <f>Table6268934567910[[#This Row],[Offer Value]]-Table6268934567910[[#This Row],[PO Value]]</f>
        <v>-89000</v>
      </c>
      <c r="W267" s="706"/>
      <c r="X267" s="706"/>
      <c r="Y267" s="709"/>
    </row>
    <row r="268" spans="1:28" ht="31.2">
      <c r="A268" s="706"/>
      <c r="B268" s="709"/>
      <c r="C268" s="703" t="s">
        <v>2294</v>
      </c>
      <c r="D268" s="724" t="s">
        <v>2295</v>
      </c>
      <c r="E268" s="725" t="s">
        <v>2894</v>
      </c>
      <c r="F268" s="693" t="s">
        <v>2895</v>
      </c>
      <c r="G268" s="726">
        <v>9008573495</v>
      </c>
      <c r="H268" s="884" t="s">
        <v>2896</v>
      </c>
      <c r="I268" s="726" t="s">
        <v>2899</v>
      </c>
      <c r="J268" s="737" t="s">
        <v>73</v>
      </c>
      <c r="K268" s="738" t="s">
        <v>138</v>
      </c>
      <c r="L268" s="703" t="s">
        <v>2257</v>
      </c>
      <c r="M268" s="713"/>
      <c r="N268" s="697"/>
      <c r="O268" s="697" t="s">
        <v>49</v>
      </c>
      <c r="P268" s="723" t="s">
        <v>62</v>
      </c>
      <c r="Q268" s="739">
        <v>1</v>
      </c>
      <c r="R268" s="697" t="s">
        <v>2898</v>
      </c>
      <c r="S268" s="740">
        <v>45973</v>
      </c>
      <c r="T268" s="723">
        <v>89000</v>
      </c>
      <c r="U268" s="697" t="s">
        <v>62</v>
      </c>
      <c r="V268" s="710">
        <f>Table6268934567910[[#This Row],[Offer Value]]-Table6268934567910[[#This Row],[PO Value]]</f>
        <v>-89000</v>
      </c>
      <c r="W268" s="706"/>
      <c r="X268" s="706"/>
      <c r="Y268" s="709"/>
    </row>
    <row r="269" spans="1:28" ht="15.6">
      <c r="A269" s="706"/>
      <c r="B269" s="709"/>
      <c r="C269" s="703"/>
      <c r="D269" s="724"/>
      <c r="E269" s="725"/>
      <c r="F269" s="691"/>
      <c r="G269" s="726"/>
      <c r="H269" s="726"/>
      <c r="I269" s="726"/>
      <c r="J269" s="737"/>
      <c r="K269" s="738"/>
      <c r="L269" s="703"/>
      <c r="M269" s="713"/>
      <c r="N269" s="697"/>
      <c r="O269" s="697"/>
      <c r="P269" s="723"/>
      <c r="Q269" s="739"/>
      <c r="R269" s="697"/>
      <c r="S269" s="740"/>
      <c r="T269" s="723"/>
      <c r="U269" s="697" t="s">
        <v>49</v>
      </c>
      <c r="V269" s="710">
        <f>Table6268934567910[[#This Row],[Offer Value]]-Table6268934567910[[#This Row],[PO Value]]</f>
        <v>0</v>
      </c>
      <c r="W269" s="706"/>
      <c r="X269" s="706"/>
      <c r="Y269" s="709"/>
    </row>
    <row r="270" spans="1:28" ht="15.6">
      <c r="A270" s="706"/>
      <c r="B270" s="709"/>
      <c r="C270" s="703"/>
      <c r="D270" s="724"/>
      <c r="E270" s="725"/>
      <c r="F270" s="691"/>
      <c r="G270" s="726"/>
      <c r="H270" s="726"/>
      <c r="I270" s="726"/>
      <c r="J270" s="737"/>
      <c r="K270" s="738"/>
      <c r="L270" s="703"/>
      <c r="M270" s="713"/>
      <c r="N270" s="697"/>
      <c r="O270" s="697"/>
      <c r="P270" s="723"/>
      <c r="Q270" s="739"/>
      <c r="R270" s="697"/>
      <c r="S270" s="740"/>
      <c r="T270" s="723"/>
      <c r="U270" s="697" t="s">
        <v>49</v>
      </c>
      <c r="V270" s="710">
        <f>Table6268934567910[[#This Row],[Offer Value]]-Table6268934567910[[#This Row],[PO Value]]</f>
        <v>0</v>
      </c>
      <c r="W270" s="706"/>
      <c r="X270" s="706"/>
      <c r="Y270" s="709"/>
    </row>
    <row r="271" spans="1:28" ht="15.6">
      <c r="A271" s="706"/>
      <c r="B271" s="709"/>
      <c r="C271" s="703"/>
      <c r="D271" s="724"/>
      <c r="E271" s="725"/>
      <c r="F271" s="691"/>
      <c r="G271" s="726"/>
      <c r="H271" s="726"/>
      <c r="I271" s="726"/>
      <c r="J271" s="737"/>
      <c r="K271" s="738"/>
      <c r="L271" s="703"/>
      <c r="M271" s="713"/>
      <c r="N271" s="697"/>
      <c r="O271" s="697"/>
      <c r="P271" s="723"/>
      <c r="Q271" s="739"/>
      <c r="R271" s="697"/>
      <c r="S271" s="740"/>
      <c r="T271" s="723"/>
      <c r="U271" s="697" t="s">
        <v>49</v>
      </c>
      <c r="V271" s="710">
        <f>Table6268934567910[[#This Row],[Offer Value]]-Table6268934567910[[#This Row],[PO Value]]</f>
        <v>0</v>
      </c>
      <c r="W271" s="706"/>
      <c r="X271" s="706"/>
      <c r="Y271" s="709"/>
    </row>
    <row r="272" spans="1:28" ht="15.6">
      <c r="A272" s="706"/>
      <c r="B272" s="709"/>
      <c r="C272" s="703"/>
      <c r="D272" s="724"/>
      <c r="E272" s="725"/>
      <c r="F272" s="691"/>
      <c r="G272" s="726"/>
      <c r="H272" s="726"/>
      <c r="I272" s="726"/>
      <c r="J272" s="737"/>
      <c r="K272" s="738"/>
      <c r="L272" s="703"/>
      <c r="M272" s="713"/>
      <c r="N272" s="697"/>
      <c r="O272" s="697"/>
      <c r="P272" s="723"/>
      <c r="Q272" s="739"/>
      <c r="R272" s="697"/>
      <c r="S272" s="740"/>
      <c r="T272" s="723"/>
      <c r="U272" s="697" t="s">
        <v>49</v>
      </c>
      <c r="V272" s="710">
        <f>Table6268934567910[[#This Row],[Offer Value]]-Table6268934567910[[#This Row],[PO Value]]</f>
        <v>0</v>
      </c>
      <c r="W272" s="706"/>
      <c r="X272" s="706"/>
      <c r="Y272" s="709"/>
    </row>
    <row r="273" spans="1:25" ht="15.6">
      <c r="A273" s="706"/>
      <c r="B273" s="709"/>
      <c r="C273" s="703"/>
      <c r="D273" s="724"/>
      <c r="E273" s="725"/>
      <c r="F273" s="691"/>
      <c r="G273" s="726"/>
      <c r="H273" s="726"/>
      <c r="I273" s="726"/>
      <c r="J273" s="737"/>
      <c r="K273" s="738"/>
      <c r="L273" s="703"/>
      <c r="M273" s="713"/>
      <c r="N273" s="697"/>
      <c r="O273" s="697"/>
      <c r="P273" s="723"/>
      <c r="Q273" s="739"/>
      <c r="R273" s="697"/>
      <c r="S273" s="740"/>
      <c r="T273" s="723"/>
      <c r="U273" s="697" t="s">
        <v>49</v>
      </c>
      <c r="V273" s="710">
        <f>Table6268934567910[[#This Row],[Offer Value]]-Table6268934567910[[#This Row],[PO Value]]</f>
        <v>0</v>
      </c>
      <c r="W273" s="706"/>
      <c r="X273" s="706"/>
      <c r="Y273" s="709"/>
    </row>
    <row r="274" spans="1:25" ht="15.6">
      <c r="A274" s="706"/>
      <c r="B274" s="706"/>
      <c r="C274" s="703"/>
      <c r="D274" s="724"/>
      <c r="E274" s="725"/>
      <c r="F274" s="691"/>
      <c r="G274" s="726"/>
      <c r="H274" s="726"/>
      <c r="I274" s="726"/>
      <c r="J274" s="737"/>
      <c r="K274" s="738"/>
      <c r="L274" s="703"/>
      <c r="M274" s="713"/>
      <c r="N274" s="697"/>
      <c r="O274" s="697"/>
      <c r="P274" s="723"/>
      <c r="Q274" s="739"/>
      <c r="R274" s="697"/>
      <c r="S274" s="740"/>
      <c r="T274" s="723"/>
      <c r="U274" s="697" t="s">
        <v>49</v>
      </c>
      <c r="V274" s="710">
        <f>Table6268934567910[[#This Row],[Offer Value]]-Table6268934567910[[#This Row],[PO Value]]</f>
        <v>0</v>
      </c>
      <c r="W274" s="706"/>
      <c r="X274" s="706"/>
      <c r="Y274" s="709"/>
    </row>
    <row r="275" spans="1:25" ht="15.6">
      <c r="A275" s="706"/>
      <c r="B275" s="706"/>
      <c r="C275" s="703"/>
      <c r="D275" s="724"/>
      <c r="E275" s="725"/>
      <c r="F275" s="691"/>
      <c r="G275" s="726"/>
      <c r="H275" s="726"/>
      <c r="I275" s="726"/>
      <c r="J275" s="737"/>
      <c r="K275" s="738"/>
      <c r="L275" s="703"/>
      <c r="M275" s="713"/>
      <c r="N275" s="697"/>
      <c r="O275" s="697"/>
      <c r="P275" s="723"/>
      <c r="Q275" s="739"/>
      <c r="R275" s="697"/>
      <c r="S275" s="740"/>
      <c r="T275" s="723"/>
      <c r="U275" s="697" t="s">
        <v>49</v>
      </c>
      <c r="V275" s="710">
        <f>Table6268934567910[[#This Row],[Offer Value]]-Table6268934567910[[#This Row],[PO Value]]</f>
        <v>0</v>
      </c>
      <c r="W275" s="706"/>
      <c r="X275" s="706"/>
      <c r="Y275" s="709"/>
    </row>
    <row r="276" spans="1:25" ht="15.6">
      <c r="A276" s="706"/>
      <c r="B276" s="706"/>
      <c r="C276" s="703"/>
      <c r="D276" s="724"/>
      <c r="E276" s="725"/>
      <c r="F276" s="691"/>
      <c r="G276" s="726"/>
      <c r="H276" s="726"/>
      <c r="I276" s="731"/>
      <c r="J276" s="741"/>
      <c r="K276" s="708"/>
      <c r="L276" s="703"/>
      <c r="M276" s="713"/>
      <c r="N276" s="697"/>
      <c r="O276" s="697"/>
      <c r="P276" s="723"/>
      <c r="Q276" s="739"/>
      <c r="R276" s="697"/>
      <c r="S276" s="740"/>
      <c r="T276" s="723"/>
      <c r="U276" s="697" t="s">
        <v>49</v>
      </c>
      <c r="V276" s="710">
        <f>Table6268934567910[[#This Row],[Offer Value]]-Table6268934567910[[#This Row],[PO Value]]</f>
        <v>0</v>
      </c>
      <c r="W276" s="706"/>
      <c r="X276" s="706"/>
      <c r="Y276" s="709"/>
    </row>
    <row r="277" spans="1:25" ht="15.6">
      <c r="A277" s="706"/>
      <c r="B277" s="709"/>
      <c r="C277" s="703"/>
      <c r="D277" s="724"/>
      <c r="E277" s="725"/>
      <c r="F277" s="691"/>
      <c r="G277" s="726"/>
      <c r="H277" s="726"/>
      <c r="I277" s="731"/>
      <c r="J277" s="741"/>
      <c r="K277" s="708"/>
      <c r="L277" s="703"/>
      <c r="M277" s="713"/>
      <c r="N277" s="697"/>
      <c r="O277" s="697"/>
      <c r="P277" s="723"/>
      <c r="Q277" s="739"/>
      <c r="R277" s="697"/>
      <c r="S277" s="740"/>
      <c r="T277" s="723"/>
      <c r="U277" s="697" t="s">
        <v>49</v>
      </c>
      <c r="V277" s="710">
        <f>Table6268934567910[[#This Row],[Offer Value]]-Table6268934567910[[#This Row],[PO Value]]</f>
        <v>0</v>
      </c>
      <c r="W277" s="706"/>
      <c r="X277" s="706"/>
      <c r="Y277" s="709"/>
    </row>
    <row r="278" spans="1:25" ht="15.6">
      <c r="A278" s="706"/>
      <c r="B278" s="709"/>
      <c r="C278" s="703"/>
      <c r="D278" s="712"/>
      <c r="E278" s="726"/>
      <c r="F278" s="691"/>
      <c r="G278" s="726"/>
      <c r="H278" s="726"/>
      <c r="I278" s="733"/>
      <c r="J278" s="734"/>
      <c r="K278" s="705"/>
      <c r="L278" s="703"/>
      <c r="M278" s="713"/>
      <c r="N278" s="723"/>
      <c r="O278" s="723"/>
      <c r="P278" s="723"/>
      <c r="Q278" s="739"/>
      <c r="R278" s="697"/>
      <c r="S278" s="740"/>
      <c r="T278" s="723"/>
      <c r="U278" s="697" t="s">
        <v>49</v>
      </c>
      <c r="V278" s="706">
        <f>Table6268934567910[[#This Row],[Offer Value]]-Table6268934567910[[#This Row],[PO Value]]</f>
        <v>0</v>
      </c>
      <c r="W278" s="706"/>
      <c r="X278" s="706"/>
      <c r="Y278" s="709"/>
    </row>
    <row r="279" spans="1:25" ht="15.6">
      <c r="A279" s="706"/>
      <c r="B279" s="709"/>
      <c r="C279" s="697"/>
      <c r="D279" s="712"/>
      <c r="E279" s="691"/>
      <c r="F279" s="691"/>
      <c r="G279" s="691"/>
      <c r="H279" s="695"/>
      <c r="I279" s="742"/>
      <c r="J279" s="730"/>
      <c r="K279" s="705"/>
      <c r="L279" s="703"/>
      <c r="M279" s="728"/>
      <c r="N279" s="697"/>
      <c r="O279" s="723"/>
      <c r="P279" s="723"/>
      <c r="Q279" s="739"/>
      <c r="R279" s="697"/>
      <c r="S279" s="740"/>
      <c r="T279" s="723"/>
      <c r="U279" s="697" t="s">
        <v>49</v>
      </c>
      <c r="V279" s="706">
        <f>Table6268934567910[[#This Row],[Offer Value]]-Table6268934567910[[#This Row],[PO Value]]</f>
        <v>0</v>
      </c>
      <c r="W279" s="706"/>
      <c r="X279" s="706"/>
      <c r="Y279" s="706"/>
    </row>
    <row r="280" spans="1:25" ht="15.6">
      <c r="A280" s="706"/>
      <c r="B280" s="706"/>
      <c r="C280" s="705"/>
      <c r="D280" s="703"/>
      <c r="E280" s="712"/>
      <c r="F280" s="697"/>
      <c r="G280" s="703"/>
      <c r="H280" s="743"/>
      <c r="I280" s="705"/>
      <c r="J280" s="727"/>
      <c r="K280" s="708"/>
      <c r="L280" s="703"/>
      <c r="M280" s="728"/>
      <c r="N280" s="723"/>
      <c r="O280" s="723"/>
      <c r="P280" s="723"/>
      <c r="Q280" s="729"/>
      <c r="R280" s="697"/>
      <c r="S280" s="728"/>
      <c r="T280" s="723"/>
      <c r="U280" s="697" t="s">
        <v>49</v>
      </c>
      <c r="V280" s="706">
        <f>Table6268934567910[[#This Row],[Offer Value]]-Table6268934567910[[#This Row],[PO Value]]</f>
        <v>0</v>
      </c>
      <c r="W280" s="706"/>
      <c r="X280" s="706"/>
      <c r="Y280" s="709"/>
    </row>
    <row r="281" spans="1:25" ht="15.6">
      <c r="A281" s="706"/>
      <c r="B281" s="706"/>
      <c r="C281" s="705"/>
      <c r="D281" s="703"/>
      <c r="E281" s="712"/>
      <c r="F281" s="697"/>
      <c r="G281" s="703"/>
      <c r="H281" s="743"/>
      <c r="I281" s="705"/>
      <c r="J281" s="727"/>
      <c r="K281" s="708"/>
      <c r="L281" s="703"/>
      <c r="M281" s="728"/>
      <c r="N281" s="723"/>
      <c r="O281" s="723"/>
      <c r="P281" s="723"/>
      <c r="Q281" s="729"/>
      <c r="R281" s="697"/>
      <c r="S281" s="728"/>
      <c r="T281" s="723"/>
      <c r="U281" s="697" t="s">
        <v>49</v>
      </c>
      <c r="V281" s="706">
        <f>Table6268934567910[[#This Row],[Offer Value]]-Table6268934567910[[#This Row],[PO Value]]</f>
        <v>0</v>
      </c>
      <c r="W281" s="706"/>
      <c r="X281" s="706"/>
      <c r="Y281" s="709"/>
    </row>
    <row r="282" spans="1:25" ht="15.6">
      <c r="A282" s="706"/>
      <c r="B282" s="706"/>
      <c r="C282" s="718"/>
      <c r="D282" s="719"/>
      <c r="E282" s="693"/>
      <c r="F282" s="691"/>
      <c r="G282" s="693"/>
      <c r="H282" s="736"/>
      <c r="I282" s="726"/>
      <c r="J282" s="727"/>
      <c r="K282" s="708"/>
      <c r="L282" s="703"/>
      <c r="M282" s="728"/>
      <c r="N282" s="723"/>
      <c r="O282" s="723"/>
      <c r="P282" s="723"/>
      <c r="Q282" s="729"/>
      <c r="R282" s="697"/>
      <c r="S282" s="728"/>
      <c r="T282" s="723"/>
      <c r="U282" s="697" t="s">
        <v>49</v>
      </c>
      <c r="V282" s="706">
        <f>Table6268934567910[[#This Row],[Offer Value]]-Table6268934567910[[#This Row],[PO Value]]</f>
        <v>0</v>
      </c>
      <c r="W282" s="706"/>
      <c r="X282" s="706"/>
      <c r="Y282" s="706"/>
    </row>
    <row r="283" spans="1:25" ht="15.6">
      <c r="A283" s="744"/>
      <c r="B283" s="745"/>
      <c r="C283" s="746"/>
      <c r="D283" s="747"/>
      <c r="E283" s="725"/>
      <c r="F283" s="690"/>
      <c r="G283" s="725"/>
      <c r="H283" s="718"/>
      <c r="I283" s="718"/>
      <c r="J283" s="741"/>
      <c r="K283" s="748"/>
      <c r="L283" s="703"/>
      <c r="M283" s="749"/>
      <c r="N283" s="746"/>
      <c r="O283" s="746"/>
      <c r="P283" s="746"/>
      <c r="Q283" s="750"/>
      <c r="R283" s="697"/>
      <c r="S283" s="749"/>
      <c r="T283" s="746"/>
      <c r="U283" s="697" t="s">
        <v>49</v>
      </c>
      <c r="V283" s="706">
        <f>Table6268934567910[[#This Row],[Offer Value]]-Table6268934567910[[#This Row],[PO Value]]</f>
        <v>0</v>
      </c>
      <c r="W283" s="744"/>
      <c r="X283" s="744"/>
      <c r="Y283" s="744"/>
    </row>
    <row r="284" spans="1:25" ht="15.6">
      <c r="A284" s="706"/>
      <c r="B284" s="706"/>
      <c r="C284" s="746"/>
      <c r="D284" s="747"/>
      <c r="E284" s="725"/>
      <c r="F284" s="690"/>
      <c r="G284" s="725"/>
      <c r="H284" s="718"/>
      <c r="I284" s="718"/>
      <c r="J284" s="741"/>
      <c r="K284" s="748"/>
      <c r="L284" s="703"/>
      <c r="M284" s="749"/>
      <c r="N284" s="746"/>
      <c r="O284" s="746"/>
      <c r="P284" s="746"/>
      <c r="Q284" s="750"/>
      <c r="R284" s="697"/>
      <c r="S284" s="728"/>
      <c r="T284" s="723"/>
      <c r="U284" s="697" t="s">
        <v>49</v>
      </c>
      <c r="V284" s="706">
        <f>Table6268934567910[[#This Row],[Offer Value]]-Table6268934567910[[#This Row],[PO Value]]</f>
        <v>0</v>
      </c>
      <c r="W284" s="706"/>
      <c r="X284" s="706"/>
      <c r="Y284" s="706"/>
    </row>
    <row r="285" spans="1:25" ht="15.6">
      <c r="A285" s="706"/>
      <c r="B285" s="706"/>
      <c r="C285" s="746"/>
      <c r="D285" s="747"/>
      <c r="E285" s="725"/>
      <c r="F285" s="690"/>
      <c r="G285" s="725"/>
      <c r="H285" s="718"/>
      <c r="I285" s="718"/>
      <c r="J285" s="741"/>
      <c r="K285" s="748"/>
      <c r="L285" s="703"/>
      <c r="M285" s="749"/>
      <c r="N285" s="746"/>
      <c r="O285" s="746"/>
      <c r="P285" s="746"/>
      <c r="Q285" s="750"/>
      <c r="R285" s="697"/>
      <c r="S285" s="728"/>
      <c r="T285" s="723"/>
      <c r="U285" s="697" t="s">
        <v>49</v>
      </c>
      <c r="V285" s="706">
        <f>Table6268934567910[[#This Row],[Offer Value]]-Table6268934567910[[#This Row],[PO Value]]</f>
        <v>0</v>
      </c>
      <c r="W285" s="706"/>
      <c r="X285" s="706"/>
      <c r="Y285" s="706"/>
    </row>
    <row r="286" spans="1:25" ht="15.6">
      <c r="A286" s="706"/>
      <c r="B286" s="709"/>
      <c r="C286" s="718"/>
      <c r="D286" s="724"/>
      <c r="E286" s="725"/>
      <c r="F286" s="751"/>
      <c r="G286" s="718"/>
      <c r="H286" s="718"/>
      <c r="I286" s="718"/>
      <c r="J286" s="727"/>
      <c r="K286" s="708"/>
      <c r="L286" s="703"/>
      <c r="M286" s="728"/>
      <c r="N286" s="723"/>
      <c r="O286" s="723"/>
      <c r="P286" s="723"/>
      <c r="Q286" s="729"/>
      <c r="R286" s="697"/>
      <c r="S286" s="728"/>
      <c r="T286" s="723"/>
      <c r="U286" s="697" t="s">
        <v>49</v>
      </c>
      <c r="V286" s="706">
        <f>Table6268934567910[[#This Row],[Offer Value]]-Table6268934567910[[#This Row],[PO Value]]</f>
        <v>0</v>
      </c>
      <c r="W286" s="706"/>
      <c r="X286" s="706"/>
      <c r="Y286" s="706"/>
    </row>
    <row r="287" spans="1:25" ht="15.6">
      <c r="A287" s="706"/>
      <c r="B287" s="709"/>
      <c r="C287" s="705"/>
      <c r="D287" s="703"/>
      <c r="E287" s="712"/>
      <c r="F287" s="697"/>
      <c r="G287" s="703"/>
      <c r="H287" s="743"/>
      <c r="I287" s="705"/>
      <c r="J287" s="727"/>
      <c r="K287" s="708"/>
      <c r="L287" s="703"/>
      <c r="M287" s="728"/>
      <c r="N287" s="723"/>
      <c r="O287" s="723"/>
      <c r="P287" s="723"/>
      <c r="Q287" s="729"/>
      <c r="R287" s="697"/>
      <c r="S287" s="728"/>
      <c r="T287" s="723"/>
      <c r="U287" s="697" t="s">
        <v>49</v>
      </c>
      <c r="V287" s="706">
        <f>Table6268934567910[[#This Row],[Offer Value]]-Table6268934567910[[#This Row],[PO Value]]</f>
        <v>0</v>
      </c>
      <c r="W287" s="706"/>
      <c r="X287" s="706"/>
      <c r="Y287" s="706"/>
    </row>
    <row r="288" spans="1:25" ht="15.6">
      <c r="A288" s="706"/>
      <c r="B288" s="709"/>
      <c r="C288" s="703"/>
      <c r="D288" s="703"/>
      <c r="E288" s="703"/>
      <c r="F288" s="697"/>
      <c r="G288" s="703"/>
      <c r="H288" s="703"/>
      <c r="I288" s="718"/>
      <c r="J288" s="705"/>
      <c r="K288" s="708"/>
      <c r="L288" s="703"/>
      <c r="M288" s="728"/>
      <c r="N288" s="690"/>
      <c r="O288" s="723"/>
      <c r="P288" s="723"/>
      <c r="Q288" s="729"/>
      <c r="R288" s="697"/>
      <c r="S288" s="728"/>
      <c r="T288" s="723"/>
      <c r="U288" s="697" t="s">
        <v>49</v>
      </c>
      <c r="V288" s="706">
        <f>Table6268934567910[[#This Row],[Offer Value]]-Table6268934567910[[#This Row],[PO Value]]</f>
        <v>0</v>
      </c>
      <c r="W288" s="706"/>
      <c r="X288" s="706"/>
      <c r="Y288" s="706"/>
    </row>
    <row r="289" spans="1:25" ht="15.6">
      <c r="A289" s="706"/>
      <c r="B289" s="706"/>
      <c r="C289" s="703"/>
      <c r="D289" s="703"/>
      <c r="E289" s="703"/>
      <c r="F289" s="697"/>
      <c r="G289" s="703"/>
      <c r="H289" s="703"/>
      <c r="I289" s="718"/>
      <c r="J289" s="705"/>
      <c r="K289" s="708"/>
      <c r="L289" s="703"/>
      <c r="M289" s="728"/>
      <c r="N289" s="690"/>
      <c r="O289" s="723"/>
      <c r="P289" s="723"/>
      <c r="Q289" s="729"/>
      <c r="R289" s="697"/>
      <c r="S289" s="728"/>
      <c r="T289" s="723"/>
      <c r="U289" s="697" t="s">
        <v>49</v>
      </c>
      <c r="V289" s="706">
        <f>Table6268934567910[[#This Row],[Offer Value]]-Table6268934567910[[#This Row],[PO Value]]</f>
        <v>0</v>
      </c>
      <c r="W289" s="706"/>
      <c r="X289" s="706"/>
      <c r="Y289" s="706"/>
    </row>
    <row r="290" spans="1:25" ht="15.6">
      <c r="A290" s="706"/>
      <c r="B290" s="709"/>
      <c r="C290" s="703"/>
      <c r="D290" s="703"/>
      <c r="E290" s="703"/>
      <c r="F290" s="697"/>
      <c r="G290" s="703"/>
      <c r="H290" s="703"/>
      <c r="I290" s="752"/>
      <c r="J290" s="727"/>
      <c r="K290" s="708"/>
      <c r="L290" s="703"/>
      <c r="M290" s="728"/>
      <c r="N290" s="723"/>
      <c r="O290" s="723"/>
      <c r="P290" s="723"/>
      <c r="Q290" s="729"/>
      <c r="R290" s="697"/>
      <c r="S290" s="728"/>
      <c r="T290" s="723"/>
      <c r="U290" s="697" t="s">
        <v>49</v>
      </c>
      <c r="V290" s="706">
        <f>Table6268934567910[[#This Row],[Offer Value]]-Table6268934567910[[#This Row],[PO Value]]</f>
        <v>0</v>
      </c>
      <c r="W290" s="706"/>
      <c r="X290" s="706"/>
      <c r="Y290" s="706"/>
    </row>
    <row r="291" spans="1:25" ht="15.6">
      <c r="A291" s="706"/>
      <c r="B291" s="706"/>
      <c r="C291" s="703"/>
      <c r="D291" s="703"/>
      <c r="E291" s="703"/>
      <c r="F291" s="697"/>
      <c r="G291" s="703"/>
      <c r="H291" s="703"/>
      <c r="I291" s="752"/>
      <c r="J291" s="727"/>
      <c r="K291" s="708"/>
      <c r="L291" s="703"/>
      <c r="M291" s="728"/>
      <c r="N291" s="723"/>
      <c r="O291" s="723"/>
      <c r="P291" s="723"/>
      <c r="Q291" s="729"/>
      <c r="R291" s="697"/>
      <c r="S291" s="728"/>
      <c r="T291" s="723"/>
      <c r="U291" s="697" t="s">
        <v>49</v>
      </c>
      <c r="V291" s="706">
        <f>Table6268934567910[[#This Row],[Offer Value]]-Table6268934567910[[#This Row],[PO Value]]</f>
        <v>0</v>
      </c>
      <c r="W291" s="706"/>
      <c r="X291" s="706"/>
      <c r="Y291" s="706"/>
    </row>
    <row r="292" spans="1:25" ht="15.6">
      <c r="A292" s="706"/>
      <c r="B292" s="706"/>
      <c r="C292" s="703"/>
      <c r="D292" s="703"/>
      <c r="E292" s="703"/>
      <c r="F292" s="697"/>
      <c r="G292" s="703"/>
      <c r="H292" s="703"/>
      <c r="I292" s="752"/>
      <c r="J292" s="727"/>
      <c r="K292" s="708"/>
      <c r="L292" s="703"/>
      <c r="M292" s="728"/>
      <c r="N292" s="723"/>
      <c r="O292" s="723"/>
      <c r="P292" s="723"/>
      <c r="Q292" s="729"/>
      <c r="R292" s="697"/>
      <c r="S292" s="728"/>
      <c r="T292" s="723"/>
      <c r="U292" s="697" t="s">
        <v>49</v>
      </c>
      <c r="V292" s="706">
        <f>Table6268934567910[[#This Row],[Offer Value]]-Table6268934567910[[#This Row],[PO Value]]</f>
        <v>0</v>
      </c>
      <c r="W292" s="706"/>
      <c r="X292" s="706"/>
      <c r="Y292" s="706"/>
    </row>
    <row r="293" spans="1:25" ht="15.6">
      <c r="A293" s="706"/>
      <c r="B293" s="706"/>
      <c r="C293" s="703"/>
      <c r="D293" s="703"/>
      <c r="E293" s="703"/>
      <c r="F293" s="697"/>
      <c r="G293" s="703"/>
      <c r="H293" s="703"/>
      <c r="I293" s="752"/>
      <c r="J293" s="727"/>
      <c r="K293" s="708"/>
      <c r="L293" s="703"/>
      <c r="M293" s="728"/>
      <c r="N293" s="723"/>
      <c r="O293" s="723"/>
      <c r="P293" s="723"/>
      <c r="Q293" s="729"/>
      <c r="R293" s="697"/>
      <c r="S293" s="728"/>
      <c r="T293" s="723"/>
      <c r="U293" s="697" t="s">
        <v>49</v>
      </c>
      <c r="V293" s="706">
        <f>Table6268934567910[[#This Row],[Offer Value]]-Table6268934567910[[#This Row],[PO Value]]</f>
        <v>0</v>
      </c>
      <c r="W293" s="706"/>
      <c r="X293" s="706"/>
      <c r="Y293" s="709"/>
    </row>
    <row r="294" spans="1:25" ht="15.6">
      <c r="A294" s="706"/>
      <c r="B294" s="709"/>
      <c r="C294" s="723"/>
      <c r="D294" s="724"/>
      <c r="E294" s="725"/>
      <c r="F294" s="725"/>
      <c r="G294" s="725"/>
      <c r="H294" s="753"/>
      <c r="I294" s="754"/>
      <c r="J294" s="727"/>
      <c r="K294" s="708"/>
      <c r="L294" s="703"/>
      <c r="M294" s="728"/>
      <c r="N294" s="723"/>
      <c r="O294" s="723"/>
      <c r="P294" s="723"/>
      <c r="Q294" s="729"/>
      <c r="R294" s="697"/>
      <c r="S294" s="728"/>
      <c r="T294" s="723"/>
      <c r="U294" s="697" t="s">
        <v>49</v>
      </c>
      <c r="V294" s="706">
        <f>Table6268934567910[[#This Row],[Offer Value]]-Table6268934567910[[#This Row],[PO Value]]</f>
        <v>0</v>
      </c>
      <c r="W294" s="706"/>
      <c r="X294" s="706"/>
      <c r="Y294" s="706"/>
    </row>
    <row r="295" spans="1:25" ht="15.6">
      <c r="A295" s="706"/>
      <c r="B295" s="709"/>
      <c r="C295" s="723"/>
      <c r="D295" s="724"/>
      <c r="E295" s="725"/>
      <c r="F295" s="725"/>
      <c r="G295" s="725"/>
      <c r="H295" s="753"/>
      <c r="I295" s="754"/>
      <c r="J295" s="727"/>
      <c r="K295" s="708"/>
      <c r="L295" s="703"/>
      <c r="M295" s="728"/>
      <c r="N295" s="723"/>
      <c r="O295" s="723"/>
      <c r="P295" s="723"/>
      <c r="Q295" s="729"/>
      <c r="R295" s="697"/>
      <c r="S295" s="728"/>
      <c r="T295" s="723"/>
      <c r="U295" s="697" t="s">
        <v>49</v>
      </c>
      <c r="V295" s="706">
        <f>Table6268934567910[[#This Row],[Offer Value]]-Table6268934567910[[#This Row],[PO Value]]</f>
        <v>0</v>
      </c>
      <c r="W295" s="706"/>
      <c r="X295" s="706"/>
      <c r="Y295" s="709"/>
    </row>
    <row r="296" spans="1:25" ht="15.6">
      <c r="A296" s="706"/>
      <c r="B296" s="709"/>
      <c r="C296" s="723"/>
      <c r="D296" s="724"/>
      <c r="E296" s="725"/>
      <c r="F296" s="725"/>
      <c r="G296" s="725"/>
      <c r="H296" s="753"/>
      <c r="I296" s="754"/>
      <c r="J296" s="727"/>
      <c r="K296" s="708"/>
      <c r="L296" s="703"/>
      <c r="M296" s="728"/>
      <c r="N296" s="723"/>
      <c r="O296" s="723"/>
      <c r="P296" s="723"/>
      <c r="Q296" s="729"/>
      <c r="R296" s="697"/>
      <c r="S296" s="728"/>
      <c r="T296" s="723"/>
      <c r="U296" s="697" t="s">
        <v>49</v>
      </c>
      <c r="V296" s="706">
        <f>Table6268934567910[[#This Row],[Offer Value]]-Table6268934567910[[#This Row],[PO Value]]</f>
        <v>0</v>
      </c>
      <c r="W296" s="706"/>
      <c r="X296" s="706"/>
      <c r="Y296" s="706"/>
    </row>
    <row r="297" spans="1:25" ht="15.6">
      <c r="A297" s="706"/>
      <c r="B297" s="709"/>
      <c r="C297" s="723"/>
      <c r="D297" s="724"/>
      <c r="E297" s="725"/>
      <c r="F297" s="725"/>
      <c r="G297" s="725"/>
      <c r="H297" s="753"/>
      <c r="I297" s="754"/>
      <c r="J297" s="727"/>
      <c r="K297" s="708"/>
      <c r="L297" s="703"/>
      <c r="M297" s="728"/>
      <c r="N297" s="723"/>
      <c r="O297" s="723"/>
      <c r="P297" s="723"/>
      <c r="Q297" s="729"/>
      <c r="R297" s="697"/>
      <c r="S297" s="728"/>
      <c r="T297" s="723"/>
      <c r="U297" s="697" t="s">
        <v>49</v>
      </c>
      <c r="V297" s="706">
        <f>Table6268934567910[[#This Row],[Offer Value]]-Table6268934567910[[#This Row],[PO Value]]</f>
        <v>0</v>
      </c>
      <c r="W297" s="706"/>
      <c r="X297" s="706"/>
      <c r="Y297" s="706"/>
    </row>
    <row r="298" spans="1:25" ht="15.6">
      <c r="A298" s="706"/>
      <c r="B298" s="709"/>
      <c r="C298" s="723"/>
      <c r="D298" s="724"/>
      <c r="E298" s="725"/>
      <c r="F298" s="697"/>
      <c r="G298" s="703"/>
      <c r="H298" s="703"/>
      <c r="I298" s="718"/>
      <c r="J298" s="727"/>
      <c r="K298" s="708"/>
      <c r="L298" s="703"/>
      <c r="M298" s="728"/>
      <c r="N298" s="723"/>
      <c r="O298" s="723"/>
      <c r="P298" s="723"/>
      <c r="Q298" s="729"/>
      <c r="R298" s="697"/>
      <c r="S298" s="728"/>
      <c r="T298" s="723"/>
      <c r="U298" s="697" t="s">
        <v>49</v>
      </c>
      <c r="V298" s="706">
        <f>Table6268934567910[[#This Row],[Offer Value]]-Table6268934567910[[#This Row],[PO Value]]</f>
        <v>0</v>
      </c>
      <c r="W298" s="706"/>
      <c r="X298" s="706"/>
      <c r="Y298" s="706"/>
    </row>
    <row r="299" spans="1:25" ht="15.6">
      <c r="A299" s="706"/>
      <c r="B299" s="706"/>
      <c r="C299" s="723"/>
      <c r="D299" s="724"/>
      <c r="E299" s="725"/>
      <c r="F299" s="697"/>
      <c r="G299" s="703"/>
      <c r="H299" s="703"/>
      <c r="I299" s="718"/>
      <c r="J299" s="727"/>
      <c r="K299" s="708"/>
      <c r="L299" s="703"/>
      <c r="M299" s="728"/>
      <c r="N299" s="723"/>
      <c r="O299" s="723"/>
      <c r="P299" s="723"/>
      <c r="Q299" s="729"/>
      <c r="R299" s="697"/>
      <c r="S299" s="728"/>
      <c r="T299" s="723"/>
      <c r="U299" s="697" t="s">
        <v>49</v>
      </c>
      <c r="V299" s="706">
        <f>Table6268934567910[[#This Row],[Offer Value]]-Table6268934567910[[#This Row],[PO Value]]</f>
        <v>0</v>
      </c>
      <c r="W299" s="706"/>
      <c r="X299" s="706"/>
      <c r="Y299" s="706"/>
    </row>
    <row r="300" spans="1:25" ht="15.6">
      <c r="A300" s="706"/>
      <c r="B300" s="706"/>
      <c r="C300" s="723"/>
      <c r="D300" s="724"/>
      <c r="E300" s="725"/>
      <c r="F300" s="697"/>
      <c r="G300" s="703"/>
      <c r="H300" s="703"/>
      <c r="I300" s="718"/>
      <c r="J300" s="727"/>
      <c r="K300" s="708"/>
      <c r="L300" s="703"/>
      <c r="M300" s="728"/>
      <c r="N300" s="723"/>
      <c r="O300" s="723"/>
      <c r="P300" s="723"/>
      <c r="Q300" s="729"/>
      <c r="R300" s="697"/>
      <c r="S300" s="728"/>
      <c r="T300" s="723"/>
      <c r="U300" s="697" t="s">
        <v>49</v>
      </c>
      <c r="V300" s="706">
        <f>Table6268934567910[[#This Row],[Offer Value]]-Table6268934567910[[#This Row],[PO Value]]</f>
        <v>0</v>
      </c>
      <c r="W300" s="706"/>
      <c r="X300" s="706"/>
      <c r="Y300" s="706"/>
    </row>
    <row r="301" spans="1:25" ht="15.6">
      <c r="A301" s="706"/>
      <c r="B301" s="706"/>
      <c r="C301" s="723"/>
      <c r="D301" s="724"/>
      <c r="E301" s="725"/>
      <c r="F301" s="697"/>
      <c r="G301" s="703"/>
      <c r="H301" s="703"/>
      <c r="I301" s="718"/>
      <c r="J301" s="727"/>
      <c r="K301" s="708"/>
      <c r="L301" s="703"/>
      <c r="M301" s="728"/>
      <c r="N301" s="723"/>
      <c r="O301" s="723"/>
      <c r="P301" s="723"/>
      <c r="Q301" s="729"/>
      <c r="R301" s="697"/>
      <c r="S301" s="728"/>
      <c r="T301" s="723"/>
      <c r="U301" s="697" t="s">
        <v>49</v>
      </c>
      <c r="V301" s="706">
        <f>Table6268934567910[[#This Row],[Offer Value]]-Table6268934567910[[#This Row],[PO Value]]</f>
        <v>0</v>
      </c>
      <c r="W301" s="706"/>
      <c r="X301" s="706"/>
      <c r="Y301" s="709"/>
    </row>
    <row r="302" spans="1:25" ht="15.6">
      <c r="A302" s="706"/>
      <c r="B302" s="706"/>
      <c r="C302" s="723"/>
      <c r="D302" s="724"/>
      <c r="E302" s="725"/>
      <c r="F302" s="725"/>
      <c r="G302" s="725"/>
      <c r="H302" s="753"/>
      <c r="I302" s="718"/>
      <c r="J302" s="727"/>
      <c r="K302" s="708"/>
      <c r="L302" s="703"/>
      <c r="M302" s="728"/>
      <c r="N302" s="723"/>
      <c r="O302" s="723"/>
      <c r="P302" s="723"/>
      <c r="Q302" s="729"/>
      <c r="R302" s="697"/>
      <c r="S302" s="728"/>
      <c r="T302" s="723"/>
      <c r="U302" s="697" t="s">
        <v>49</v>
      </c>
      <c r="V302" s="706">
        <f>Table6268934567910[[#This Row],[Offer Value]]-Table6268934567910[[#This Row],[PO Value]]</f>
        <v>0</v>
      </c>
      <c r="W302" s="706"/>
      <c r="X302" s="706"/>
      <c r="Y302" s="706"/>
    </row>
    <row r="303" spans="1:25" ht="15.6">
      <c r="A303" s="706"/>
      <c r="B303" s="706"/>
      <c r="C303" s="723"/>
      <c r="D303" s="724"/>
      <c r="E303" s="725"/>
      <c r="F303" s="725"/>
      <c r="G303" s="725"/>
      <c r="H303" s="753"/>
      <c r="I303" s="718"/>
      <c r="J303" s="727"/>
      <c r="K303" s="708"/>
      <c r="L303" s="703"/>
      <c r="M303" s="728"/>
      <c r="N303" s="723"/>
      <c r="O303" s="723"/>
      <c r="P303" s="723"/>
      <c r="Q303" s="729"/>
      <c r="R303" s="697"/>
      <c r="S303" s="728"/>
      <c r="T303" s="723"/>
      <c r="U303" s="697" t="s">
        <v>49</v>
      </c>
      <c r="V303" s="706">
        <f>Table6268934567910[[#This Row],[Offer Value]]-Table6268934567910[[#This Row],[PO Value]]</f>
        <v>0</v>
      </c>
      <c r="W303" s="706"/>
      <c r="X303" s="706"/>
      <c r="Y303" s="706"/>
    </row>
    <row r="304" spans="1:25" ht="15.6">
      <c r="A304" s="706"/>
      <c r="B304" s="706"/>
      <c r="C304" s="723"/>
      <c r="D304" s="724"/>
      <c r="E304" s="725"/>
      <c r="F304" s="725"/>
      <c r="G304" s="725"/>
      <c r="H304" s="753"/>
      <c r="I304" s="754"/>
      <c r="J304" s="727"/>
      <c r="K304" s="708"/>
      <c r="L304" s="703"/>
      <c r="M304" s="728"/>
      <c r="N304" s="723"/>
      <c r="O304" s="723"/>
      <c r="P304" s="723"/>
      <c r="Q304" s="729"/>
      <c r="R304" s="697"/>
      <c r="S304" s="728"/>
      <c r="T304" s="723"/>
      <c r="U304" s="697" t="s">
        <v>49</v>
      </c>
      <c r="V304" s="706">
        <f>Table6268934567910[[#This Row],[Offer Value]]-Table6268934567910[[#This Row],[PO Value]]</f>
        <v>0</v>
      </c>
      <c r="W304" s="706"/>
      <c r="X304" s="706"/>
      <c r="Y304" s="706"/>
    </row>
    <row r="305" spans="1:25" ht="15.6">
      <c r="A305" s="706"/>
      <c r="B305" s="706"/>
      <c r="C305" s="723"/>
      <c r="D305" s="724"/>
      <c r="E305" s="725"/>
      <c r="F305" s="725"/>
      <c r="G305" s="725"/>
      <c r="H305" s="753"/>
      <c r="I305" s="754"/>
      <c r="J305" s="727"/>
      <c r="K305" s="708"/>
      <c r="L305" s="703"/>
      <c r="M305" s="728"/>
      <c r="N305" s="723"/>
      <c r="O305" s="723"/>
      <c r="P305" s="723"/>
      <c r="Q305" s="729"/>
      <c r="R305" s="697"/>
      <c r="S305" s="728"/>
      <c r="T305" s="723"/>
      <c r="U305" s="697" t="s">
        <v>49</v>
      </c>
      <c r="V305" s="706">
        <f>Table6268934567910[[#This Row],[Offer Value]]-Table6268934567910[[#This Row],[PO Value]]</f>
        <v>0</v>
      </c>
      <c r="W305" s="706"/>
      <c r="X305" s="706"/>
      <c r="Y305" s="706"/>
    </row>
    <row r="306" spans="1:25" ht="15.6">
      <c r="A306" s="706"/>
      <c r="B306" s="706"/>
      <c r="C306" s="723"/>
      <c r="D306" s="724"/>
      <c r="E306" s="725"/>
      <c r="F306" s="725"/>
      <c r="G306" s="725"/>
      <c r="H306" s="753"/>
      <c r="I306" s="754"/>
      <c r="J306" s="727"/>
      <c r="K306" s="708"/>
      <c r="L306" s="703"/>
      <c r="M306" s="728"/>
      <c r="N306" s="723"/>
      <c r="O306" s="723"/>
      <c r="P306" s="723"/>
      <c r="Q306" s="729"/>
      <c r="R306" s="697"/>
      <c r="S306" s="755"/>
      <c r="T306" s="725"/>
      <c r="U306" s="697" t="s">
        <v>49</v>
      </c>
      <c r="V306" s="706">
        <f>Table6268934567910[[#This Row],[Offer Value]]-Table6268934567910[[#This Row],[PO Value]]</f>
        <v>0</v>
      </c>
      <c r="W306" s="754"/>
      <c r="X306" s="727"/>
      <c r="Y306" s="708"/>
    </row>
    <row r="307" spans="1:25" ht="15.6">
      <c r="A307" s="706"/>
      <c r="B307" s="706"/>
      <c r="C307" s="723"/>
      <c r="D307" s="724"/>
      <c r="E307" s="725"/>
      <c r="F307" s="725"/>
      <c r="G307" s="725"/>
      <c r="H307" s="753"/>
      <c r="I307" s="754"/>
      <c r="J307" s="727"/>
      <c r="K307" s="708"/>
      <c r="L307" s="703"/>
      <c r="M307" s="728"/>
      <c r="N307" s="723"/>
      <c r="O307" s="723"/>
      <c r="P307" s="723"/>
      <c r="Q307" s="729"/>
      <c r="R307" s="697"/>
      <c r="S307" s="728"/>
      <c r="T307" s="723"/>
      <c r="U307" s="697" t="s">
        <v>49</v>
      </c>
      <c r="V307" s="706">
        <f>Table6268934567910[[#This Row],[Offer Value]]-Table6268934567910[[#This Row],[PO Value]]</f>
        <v>0</v>
      </c>
      <c r="W307" s="706"/>
      <c r="X307" s="706"/>
      <c r="Y307" s="706"/>
    </row>
    <row r="308" spans="1:25" ht="15.6">
      <c r="A308" s="706"/>
      <c r="B308" s="706"/>
      <c r="C308" s="723"/>
      <c r="D308" s="724"/>
      <c r="E308" s="725"/>
      <c r="F308" s="725"/>
      <c r="G308" s="725"/>
      <c r="H308" s="753"/>
      <c r="I308" s="754"/>
      <c r="J308" s="727"/>
      <c r="K308" s="708"/>
      <c r="L308" s="703"/>
      <c r="M308" s="728"/>
      <c r="N308" s="723"/>
      <c r="O308" s="723"/>
      <c r="P308" s="723"/>
      <c r="Q308" s="729"/>
      <c r="R308" s="697"/>
      <c r="S308" s="728"/>
      <c r="T308" s="723"/>
      <c r="U308" s="697" t="s">
        <v>49</v>
      </c>
      <c r="V308" s="706">
        <f>Table6268934567910[[#This Row],[Offer Value]]-Table6268934567910[[#This Row],[PO Value]]</f>
        <v>0</v>
      </c>
      <c r="W308" s="706"/>
      <c r="X308" s="706"/>
      <c r="Y308" s="706"/>
    </row>
    <row r="309" spans="1:25" ht="15.6">
      <c r="A309" s="706"/>
      <c r="B309" s="706"/>
      <c r="C309" s="723"/>
      <c r="D309" s="724"/>
      <c r="E309" s="725"/>
      <c r="F309" s="725"/>
      <c r="G309" s="703"/>
      <c r="H309" s="753"/>
      <c r="I309" s="754"/>
      <c r="J309" s="727"/>
      <c r="K309" s="708"/>
      <c r="L309" s="703"/>
      <c r="M309" s="728"/>
      <c r="N309" s="723"/>
      <c r="O309" s="723"/>
      <c r="P309" s="723"/>
      <c r="Q309" s="729"/>
      <c r="R309" s="697"/>
      <c r="S309" s="728"/>
      <c r="T309" s="723"/>
      <c r="U309" s="697" t="s">
        <v>49</v>
      </c>
      <c r="V309" s="706">
        <f>Table6268934567910[[#This Row],[Offer Value]]-Table6268934567910[[#This Row],[PO Value]]</f>
        <v>0</v>
      </c>
      <c r="W309" s="706"/>
      <c r="X309" s="706"/>
      <c r="Y309" s="706"/>
    </row>
    <row r="310" spans="1:25" ht="15.6">
      <c r="A310" s="706"/>
      <c r="B310" s="706"/>
      <c r="C310" s="723"/>
      <c r="D310" s="724"/>
      <c r="E310" s="725"/>
      <c r="F310" s="725"/>
      <c r="G310" s="725"/>
      <c r="H310" s="753"/>
      <c r="I310" s="754"/>
      <c r="J310" s="727"/>
      <c r="K310" s="708"/>
      <c r="L310" s="703"/>
      <c r="M310" s="728"/>
      <c r="N310" s="723"/>
      <c r="O310" s="723"/>
      <c r="P310" s="723"/>
      <c r="Q310" s="729"/>
      <c r="R310" s="697"/>
      <c r="S310" s="728"/>
      <c r="T310" s="723"/>
      <c r="U310" s="697" t="s">
        <v>49</v>
      </c>
      <c r="V310" s="706">
        <f>Table6268934567910[[#This Row],[Offer Value]]-Table6268934567910[[#This Row],[PO Value]]</f>
        <v>0</v>
      </c>
      <c r="W310" s="706"/>
      <c r="X310" s="706"/>
      <c r="Y310" s="706"/>
    </row>
    <row r="311" spans="1:25" ht="15.6">
      <c r="A311" s="706"/>
      <c r="B311" s="706"/>
      <c r="C311" s="723"/>
      <c r="D311" s="724"/>
      <c r="E311" s="725"/>
      <c r="F311" s="725"/>
      <c r="G311" s="725"/>
      <c r="H311" s="753"/>
      <c r="I311" s="754"/>
      <c r="J311" s="727"/>
      <c r="K311" s="708"/>
      <c r="L311" s="703"/>
      <c r="M311" s="728"/>
      <c r="N311" s="723"/>
      <c r="O311" s="723"/>
      <c r="P311" s="723"/>
      <c r="Q311" s="729"/>
      <c r="R311" s="697"/>
      <c r="S311" s="728"/>
      <c r="T311" s="723"/>
      <c r="U311" s="697" t="s">
        <v>49</v>
      </c>
      <c r="V311" s="706">
        <f>Table6268934567910[[#This Row],[Offer Value]]-Table6268934567910[[#This Row],[PO Value]]</f>
        <v>0</v>
      </c>
      <c r="W311" s="706"/>
      <c r="X311" s="706"/>
      <c r="Y311" s="706"/>
    </row>
    <row r="312" spans="1:25" ht="15.6">
      <c r="A312" s="706"/>
      <c r="B312" s="706"/>
      <c r="C312" s="723"/>
      <c r="D312" s="724"/>
      <c r="E312" s="725"/>
      <c r="F312" s="725"/>
      <c r="G312" s="725"/>
      <c r="H312" s="753"/>
      <c r="I312" s="754"/>
      <c r="J312" s="727"/>
      <c r="K312" s="708"/>
      <c r="L312" s="703"/>
      <c r="M312" s="728"/>
      <c r="N312" s="723"/>
      <c r="O312" s="723"/>
      <c r="P312" s="723"/>
      <c r="Q312" s="729"/>
      <c r="R312" s="697"/>
      <c r="S312" s="728"/>
      <c r="T312" s="723"/>
      <c r="U312" s="697" t="s">
        <v>49</v>
      </c>
      <c r="V312" s="706">
        <f>Table6268934567910[[#This Row],[Offer Value]]-Table6268934567910[[#This Row],[PO Value]]</f>
        <v>0</v>
      </c>
      <c r="W312" s="706"/>
      <c r="X312" s="706"/>
      <c r="Y312" s="706"/>
    </row>
    <row r="313" spans="1:25" ht="15.6">
      <c r="A313" s="706"/>
      <c r="B313" s="706"/>
      <c r="C313" s="723"/>
      <c r="D313" s="724"/>
      <c r="E313" s="725"/>
      <c r="F313" s="725"/>
      <c r="G313" s="725"/>
      <c r="H313" s="753"/>
      <c r="I313" s="754"/>
      <c r="J313" s="727"/>
      <c r="K313" s="708"/>
      <c r="L313" s="703"/>
      <c r="M313" s="728"/>
      <c r="N313" s="723"/>
      <c r="O313" s="723"/>
      <c r="P313" s="723"/>
      <c r="Q313" s="729"/>
      <c r="R313" s="697"/>
      <c r="S313" s="728"/>
      <c r="T313" s="723"/>
      <c r="U313" s="697" t="s">
        <v>49</v>
      </c>
      <c r="V313" s="706">
        <f>Table6268934567910[[#This Row],[Offer Value]]-Table6268934567910[[#This Row],[PO Value]]</f>
        <v>0</v>
      </c>
      <c r="W313" s="706"/>
      <c r="X313" s="706"/>
      <c r="Y313" s="706"/>
    </row>
    <row r="314" spans="1:25" ht="15.6">
      <c r="A314" s="706"/>
      <c r="B314" s="706"/>
      <c r="C314" s="723"/>
      <c r="D314" s="724"/>
      <c r="E314" s="725"/>
      <c r="F314" s="725"/>
      <c r="G314" s="725"/>
      <c r="H314" s="725"/>
      <c r="I314" s="754"/>
      <c r="J314" s="727"/>
      <c r="K314" s="708"/>
      <c r="L314" s="703"/>
      <c r="M314" s="728"/>
      <c r="N314" s="723"/>
      <c r="O314" s="723"/>
      <c r="P314" s="723"/>
      <c r="Q314" s="729"/>
      <c r="R314" s="697"/>
      <c r="S314" s="728"/>
      <c r="T314" s="723"/>
      <c r="U314" s="697" t="s">
        <v>49</v>
      </c>
      <c r="V314" s="706">
        <f>Table6268934567910[[#This Row],[Offer Value]]-Table6268934567910[[#This Row],[PO Value]]</f>
        <v>0</v>
      </c>
      <c r="W314" s="706"/>
      <c r="X314" s="706"/>
      <c r="Y314" s="706"/>
    </row>
    <row r="315" spans="1:25" ht="15.6">
      <c r="A315" s="706"/>
      <c r="B315" s="706"/>
      <c r="C315" s="723"/>
      <c r="D315" s="705"/>
      <c r="E315" s="703"/>
      <c r="F315" s="697"/>
      <c r="G315" s="705"/>
      <c r="H315" s="743"/>
      <c r="I315" s="705"/>
      <c r="J315" s="727"/>
      <c r="K315" s="708"/>
      <c r="L315" s="703"/>
      <c r="M315" s="728"/>
      <c r="N315" s="723"/>
      <c r="O315" s="723"/>
      <c r="P315" s="723"/>
      <c r="Q315" s="729"/>
      <c r="R315" s="697"/>
      <c r="S315" s="728"/>
      <c r="T315" s="723"/>
      <c r="U315" s="697" t="s">
        <v>49</v>
      </c>
      <c r="V315" s="706">
        <f>Table6268934567910[[#This Row],[Offer Value]]-Table6268934567910[[#This Row],[PO Value]]</f>
        <v>0</v>
      </c>
      <c r="W315" s="706"/>
      <c r="X315" s="706"/>
      <c r="Y315" s="706"/>
    </row>
    <row r="316" spans="1:25" ht="15.6">
      <c r="A316" s="706"/>
      <c r="B316" s="706"/>
      <c r="C316" s="723"/>
      <c r="D316" s="724"/>
      <c r="E316" s="725"/>
      <c r="F316" s="725"/>
      <c r="G316" s="725"/>
      <c r="H316" s="756"/>
      <c r="I316" s="754"/>
      <c r="J316" s="727"/>
      <c r="K316" s="708"/>
      <c r="L316" s="703"/>
      <c r="M316" s="728"/>
      <c r="N316" s="723"/>
      <c r="O316" s="723"/>
      <c r="P316" s="723"/>
      <c r="Q316" s="729"/>
      <c r="R316" s="697"/>
      <c r="S316" s="728"/>
      <c r="T316" s="723"/>
      <c r="U316" s="697" t="s">
        <v>49</v>
      </c>
      <c r="V316" s="706">
        <f>Table6268934567910[[#This Row],[Offer Value]]-Table6268934567910[[#This Row],[PO Value]]</f>
        <v>0</v>
      </c>
      <c r="W316" s="706"/>
      <c r="X316" s="706"/>
      <c r="Y316" s="706"/>
    </row>
    <row r="317" spans="1:25" ht="15.6">
      <c r="A317" s="706"/>
      <c r="B317" s="706"/>
      <c r="C317" s="723"/>
      <c r="D317" s="724"/>
      <c r="E317" s="725"/>
      <c r="F317" s="725"/>
      <c r="G317" s="725"/>
      <c r="H317" s="756"/>
      <c r="I317" s="754"/>
      <c r="J317" s="727"/>
      <c r="K317" s="708"/>
      <c r="L317" s="703"/>
      <c r="M317" s="728"/>
      <c r="N317" s="723"/>
      <c r="O317" s="723"/>
      <c r="P317" s="723"/>
      <c r="Q317" s="729"/>
      <c r="R317" s="697"/>
      <c r="S317" s="728"/>
      <c r="T317" s="723"/>
      <c r="U317" s="697" t="s">
        <v>49</v>
      </c>
      <c r="V317" s="706">
        <f>Table6268934567910[[#This Row],[Offer Value]]-Table6268934567910[[#This Row],[PO Value]]</f>
        <v>0</v>
      </c>
      <c r="W317" s="706"/>
      <c r="X317" s="706"/>
      <c r="Y317" s="706"/>
    </row>
    <row r="318" spans="1:25" ht="15.6">
      <c r="A318" s="706"/>
      <c r="B318" s="706"/>
      <c r="C318" s="723"/>
      <c r="D318" s="724"/>
      <c r="E318" s="725"/>
      <c r="F318" s="725"/>
      <c r="G318" s="725"/>
      <c r="H318" s="753"/>
      <c r="I318" s="754"/>
      <c r="J318" s="727"/>
      <c r="K318" s="708"/>
      <c r="L318" s="703"/>
      <c r="M318" s="728"/>
      <c r="N318" s="723"/>
      <c r="O318" s="723"/>
      <c r="P318" s="723"/>
      <c r="Q318" s="729"/>
      <c r="R318" s="697"/>
      <c r="S318" s="728"/>
      <c r="T318" s="723"/>
      <c r="U318" s="697" t="s">
        <v>49</v>
      </c>
      <c r="V318" s="706">
        <f>Table6268934567910[[#This Row],[Offer Value]]-Table6268934567910[[#This Row],[PO Value]]</f>
        <v>0</v>
      </c>
      <c r="W318" s="706"/>
      <c r="X318" s="706"/>
      <c r="Y318" s="709"/>
    </row>
    <row r="319" spans="1:25" ht="15.6">
      <c r="A319" s="706"/>
      <c r="B319" s="706"/>
      <c r="C319" s="723"/>
      <c r="D319" s="724"/>
      <c r="E319" s="725"/>
      <c r="F319" s="725"/>
      <c r="G319" s="725"/>
      <c r="H319" s="753"/>
      <c r="I319" s="754"/>
      <c r="J319" s="727"/>
      <c r="K319" s="708"/>
      <c r="L319" s="703"/>
      <c r="M319" s="728"/>
      <c r="N319" s="723"/>
      <c r="O319" s="723"/>
      <c r="P319" s="723"/>
      <c r="Q319" s="729"/>
      <c r="R319" s="697"/>
      <c r="S319" s="728"/>
      <c r="T319" s="757"/>
      <c r="U319" s="697" t="s">
        <v>49</v>
      </c>
      <c r="V319" s="706">
        <f>Table6268934567910[[#This Row],[Offer Value]]-Table6268934567910[[#This Row],[PO Value]]</f>
        <v>0</v>
      </c>
      <c r="W319" s="706"/>
      <c r="X319" s="706"/>
      <c r="Y319" s="709"/>
    </row>
    <row r="320" spans="1:25" ht="15.6">
      <c r="A320" s="706"/>
      <c r="B320" s="706"/>
      <c r="C320" s="723"/>
      <c r="D320" s="724"/>
      <c r="E320" s="725"/>
      <c r="F320" s="725"/>
      <c r="G320" s="725"/>
      <c r="H320" s="753"/>
      <c r="I320" s="754"/>
      <c r="J320" s="727"/>
      <c r="K320" s="708"/>
      <c r="L320" s="703"/>
      <c r="M320" s="728"/>
      <c r="N320" s="723"/>
      <c r="O320" s="723"/>
      <c r="P320" s="723"/>
      <c r="Q320" s="729"/>
      <c r="R320" s="697"/>
      <c r="S320" s="728"/>
      <c r="T320" s="757"/>
      <c r="U320" s="697" t="s">
        <v>49</v>
      </c>
      <c r="V320" s="706">
        <f>Table6268934567910[[#This Row],[Offer Value]]-Table6268934567910[[#This Row],[PO Value]]</f>
        <v>0</v>
      </c>
      <c r="W320" s="706"/>
      <c r="X320" s="706"/>
      <c r="Y320" s="709"/>
    </row>
    <row r="321" spans="1:25" ht="15.6">
      <c r="A321" s="706"/>
      <c r="B321" s="706"/>
      <c r="C321" s="723"/>
      <c r="D321" s="724"/>
      <c r="E321" s="725"/>
      <c r="F321" s="725"/>
      <c r="G321" s="725"/>
      <c r="H321" s="753"/>
      <c r="I321" s="754"/>
      <c r="J321" s="727"/>
      <c r="K321" s="708"/>
      <c r="L321" s="703"/>
      <c r="M321" s="728"/>
      <c r="N321" s="723"/>
      <c r="O321" s="723"/>
      <c r="P321" s="723"/>
      <c r="Q321" s="729"/>
      <c r="R321" s="697"/>
      <c r="S321" s="728"/>
      <c r="T321" s="723"/>
      <c r="U321" s="697" t="s">
        <v>49</v>
      </c>
      <c r="V321" s="706">
        <f>Table6268934567910[[#This Row],[Offer Value]]-Table6268934567910[[#This Row],[PO Value]]</f>
        <v>0</v>
      </c>
      <c r="W321" s="706"/>
      <c r="X321" s="706"/>
      <c r="Y321" s="706"/>
    </row>
    <row r="322" spans="1:25" ht="15.6">
      <c r="A322" s="706"/>
      <c r="B322" s="706"/>
      <c r="C322" s="723"/>
      <c r="D322" s="724"/>
      <c r="E322" s="725"/>
      <c r="F322" s="725"/>
      <c r="G322" s="725"/>
      <c r="H322" s="753"/>
      <c r="I322" s="754"/>
      <c r="J322" s="727"/>
      <c r="K322" s="708"/>
      <c r="L322" s="703"/>
      <c r="M322" s="728"/>
      <c r="N322" s="723"/>
      <c r="O322" s="723"/>
      <c r="P322" s="723"/>
      <c r="Q322" s="729"/>
      <c r="R322" s="697"/>
      <c r="S322" s="728"/>
      <c r="T322" s="723"/>
      <c r="U322" s="697" t="s">
        <v>49</v>
      </c>
      <c r="V322" s="706">
        <f>Table6268934567910[[#This Row],[Offer Value]]-Table6268934567910[[#This Row],[PO Value]]</f>
        <v>0</v>
      </c>
      <c r="W322" s="706"/>
      <c r="X322" s="706"/>
      <c r="Y322" s="706"/>
    </row>
    <row r="323" spans="1:25" ht="15.6">
      <c r="A323" s="706"/>
      <c r="B323" s="706"/>
      <c r="C323" s="723"/>
      <c r="D323" s="724"/>
      <c r="E323" s="725"/>
      <c r="F323" s="720"/>
      <c r="G323" s="715"/>
      <c r="H323" s="758"/>
      <c r="I323" s="754"/>
      <c r="J323" s="727"/>
      <c r="K323" s="708"/>
      <c r="L323" s="703"/>
      <c r="M323" s="728"/>
      <c r="N323" s="723"/>
      <c r="O323" s="723"/>
      <c r="P323" s="723"/>
      <c r="Q323" s="729"/>
      <c r="R323" s="697"/>
      <c r="S323" s="728"/>
      <c r="T323" s="723"/>
      <c r="U323" s="697" t="s">
        <v>49</v>
      </c>
      <c r="V323" s="706">
        <f>Table6268934567910[[#This Row],[Offer Value]]-Table6268934567910[[#This Row],[PO Value]]</f>
        <v>0</v>
      </c>
      <c r="W323" s="706"/>
      <c r="X323" s="706"/>
      <c r="Y323" s="709"/>
    </row>
    <row r="324" spans="1:25" ht="15.6">
      <c r="A324" s="706"/>
      <c r="B324" s="706"/>
      <c r="C324" s="723"/>
      <c r="D324" s="724"/>
      <c r="E324" s="725"/>
      <c r="F324" s="759"/>
      <c r="G324" s="759"/>
      <c r="H324" s="760"/>
      <c r="I324" s="754"/>
      <c r="J324" s="727"/>
      <c r="K324" s="708"/>
      <c r="L324" s="703"/>
      <c r="M324" s="728"/>
      <c r="N324" s="723"/>
      <c r="O324" s="723"/>
      <c r="P324" s="723"/>
      <c r="Q324" s="729"/>
      <c r="R324" s="697"/>
      <c r="S324" s="728"/>
      <c r="T324" s="723"/>
      <c r="U324" s="697" t="s">
        <v>49</v>
      </c>
      <c r="V324" s="706">
        <f>Table6268934567910[[#This Row],[Offer Value]]-Table6268934567910[[#This Row],[PO Value]]</f>
        <v>0</v>
      </c>
      <c r="W324" s="706"/>
      <c r="X324" s="706"/>
      <c r="Y324" s="706"/>
    </row>
    <row r="325" spans="1:25" ht="15.6">
      <c r="A325" s="706"/>
      <c r="B325" s="706"/>
      <c r="C325" s="723"/>
      <c r="D325" s="724"/>
      <c r="E325" s="761"/>
      <c r="F325" s="697"/>
      <c r="G325" s="703"/>
      <c r="H325" s="703"/>
      <c r="I325" s="762"/>
      <c r="J325" s="727"/>
      <c r="K325" s="708"/>
      <c r="L325" s="703"/>
      <c r="M325" s="728"/>
      <c r="N325" s="723"/>
      <c r="O325" s="723"/>
      <c r="P325" s="723"/>
      <c r="Q325" s="729"/>
      <c r="R325" s="697"/>
      <c r="S325" s="728"/>
      <c r="T325" s="723"/>
      <c r="U325" s="697" t="s">
        <v>49</v>
      </c>
      <c r="V325" s="706">
        <f>Table6268934567910[[#This Row],[Offer Value]]-Table6268934567910[[#This Row],[PO Value]]</f>
        <v>0</v>
      </c>
      <c r="W325" s="706"/>
      <c r="X325" s="706"/>
      <c r="Y325" s="706"/>
    </row>
    <row r="326" spans="1:25" ht="15.6">
      <c r="A326" s="706"/>
      <c r="B326" s="706"/>
      <c r="C326" s="723"/>
      <c r="D326" s="724"/>
      <c r="E326" s="761"/>
      <c r="F326" s="697"/>
      <c r="G326" s="703"/>
      <c r="H326" s="703"/>
      <c r="I326" s="762"/>
      <c r="J326" s="727"/>
      <c r="K326" s="708"/>
      <c r="L326" s="703"/>
      <c r="M326" s="728"/>
      <c r="N326" s="723"/>
      <c r="O326" s="723"/>
      <c r="P326" s="723"/>
      <c r="Q326" s="729"/>
      <c r="R326" s="697"/>
      <c r="S326" s="728"/>
      <c r="T326" s="723"/>
      <c r="U326" s="697" t="s">
        <v>49</v>
      </c>
      <c r="V326" s="706">
        <f>Table6268934567910[[#This Row],[Offer Value]]-Table6268934567910[[#This Row],[PO Value]]</f>
        <v>0</v>
      </c>
      <c r="W326" s="706"/>
      <c r="X326" s="706"/>
      <c r="Y326" s="706"/>
    </row>
    <row r="327" spans="1:25" ht="15.6">
      <c r="A327" s="706"/>
      <c r="B327" s="706"/>
      <c r="C327" s="723"/>
      <c r="D327" s="724"/>
      <c r="E327" s="761"/>
      <c r="F327" s="697"/>
      <c r="G327" s="703"/>
      <c r="H327" s="703"/>
      <c r="I327" s="762"/>
      <c r="J327" s="727"/>
      <c r="K327" s="708"/>
      <c r="L327" s="703"/>
      <c r="M327" s="728"/>
      <c r="N327" s="723"/>
      <c r="O327" s="723"/>
      <c r="P327" s="723"/>
      <c r="Q327" s="729"/>
      <c r="R327" s="697"/>
      <c r="S327" s="728"/>
      <c r="T327" s="723"/>
      <c r="U327" s="697" t="s">
        <v>49</v>
      </c>
      <c r="V327" s="706">
        <f>Table6268934567910[[#This Row],[Offer Value]]-Table6268934567910[[#This Row],[PO Value]]</f>
        <v>0</v>
      </c>
      <c r="W327" s="706"/>
      <c r="X327" s="706"/>
      <c r="Y327" s="706"/>
    </row>
    <row r="328" spans="1:25" ht="15.6">
      <c r="A328" s="706"/>
      <c r="B328" s="706"/>
      <c r="C328" s="723"/>
      <c r="D328" s="724"/>
      <c r="E328" s="761"/>
      <c r="F328" s="697"/>
      <c r="G328" s="703"/>
      <c r="H328" s="703"/>
      <c r="I328" s="762"/>
      <c r="J328" s="727"/>
      <c r="K328" s="708"/>
      <c r="L328" s="703"/>
      <c r="M328" s="728"/>
      <c r="N328" s="723"/>
      <c r="O328" s="723"/>
      <c r="P328" s="723"/>
      <c r="Q328" s="729"/>
      <c r="R328" s="697"/>
      <c r="S328" s="728"/>
      <c r="T328" s="723"/>
      <c r="U328" s="697" t="s">
        <v>49</v>
      </c>
      <c r="V328" s="706">
        <f>Table6268934567910[[#This Row],[Offer Value]]-Table6268934567910[[#This Row],[PO Value]]</f>
        <v>0</v>
      </c>
      <c r="W328" s="706"/>
      <c r="X328" s="706"/>
      <c r="Y328" s="706"/>
    </row>
    <row r="329" spans="1:25" ht="15.6">
      <c r="A329" s="706"/>
      <c r="B329" s="706"/>
      <c r="C329" s="723"/>
      <c r="D329" s="724"/>
      <c r="E329" s="761"/>
      <c r="F329" s="697"/>
      <c r="G329" s="703"/>
      <c r="H329" s="703"/>
      <c r="I329" s="762"/>
      <c r="J329" s="727"/>
      <c r="K329" s="708"/>
      <c r="L329" s="703"/>
      <c r="M329" s="728"/>
      <c r="N329" s="723"/>
      <c r="O329" s="723"/>
      <c r="P329" s="723"/>
      <c r="Q329" s="729"/>
      <c r="R329" s="697"/>
      <c r="S329" s="728"/>
      <c r="T329" s="723"/>
      <c r="U329" s="697" t="s">
        <v>49</v>
      </c>
      <c r="V329" s="706">
        <f>Table6268934567910[[#This Row],[Offer Value]]-Table6268934567910[[#This Row],[PO Value]]</f>
        <v>0</v>
      </c>
      <c r="W329" s="706"/>
      <c r="X329" s="706"/>
      <c r="Y329" s="706"/>
    </row>
    <row r="330" spans="1:25" ht="15.6">
      <c r="A330" s="706"/>
      <c r="B330" s="717"/>
      <c r="C330" s="705"/>
      <c r="D330" s="703"/>
      <c r="E330" s="703"/>
      <c r="F330" s="696"/>
      <c r="G330" s="721"/>
      <c r="H330" s="763"/>
      <c r="I330" s="711"/>
      <c r="J330" s="711"/>
      <c r="K330" s="711"/>
      <c r="L330" s="703"/>
      <c r="M330" s="699"/>
      <c r="N330" s="723"/>
      <c r="O330" s="697"/>
      <c r="P330" s="723"/>
      <c r="Q330" s="729"/>
      <c r="R330" s="697"/>
      <c r="S330" s="728"/>
      <c r="T330" s="723"/>
      <c r="U330" s="697" t="s">
        <v>49</v>
      </c>
      <c r="V330" s="706">
        <f>Table6268934567910[[#This Row],[Offer Value]]-Table6268934567910[[#This Row],[PO Value]]</f>
        <v>0</v>
      </c>
      <c r="W330" s="706"/>
      <c r="X330" s="706"/>
      <c r="Y330" s="706"/>
    </row>
    <row r="331" spans="1:25" ht="15.6">
      <c r="A331" s="706"/>
      <c r="B331" s="706"/>
      <c r="C331" s="705"/>
      <c r="D331" s="712"/>
      <c r="E331" s="726"/>
      <c r="F331" s="691"/>
      <c r="G331" s="726"/>
      <c r="H331" s="732"/>
      <c r="I331" s="733"/>
      <c r="J331" s="730"/>
      <c r="K331" s="705"/>
      <c r="L331" s="706"/>
      <c r="M331" s="728"/>
      <c r="N331" s="723"/>
      <c r="O331" s="723"/>
      <c r="P331" s="723"/>
      <c r="Q331" s="729"/>
      <c r="R331" s="723"/>
      <c r="S331" s="728"/>
      <c r="T331" s="723"/>
      <c r="U331" s="697" t="s">
        <v>49</v>
      </c>
      <c r="V331" s="706">
        <f>Table6268934567910[[#This Row],[Offer Value]]-Table6268934567910[[#This Row],[PO Value]]</f>
        <v>0</v>
      </c>
      <c r="W331" s="706"/>
      <c r="X331" s="706"/>
      <c r="Y331" s="706"/>
    </row>
    <row r="332" spans="1:25" ht="15.6">
      <c r="A332" s="706"/>
      <c r="B332" s="706"/>
      <c r="C332" s="723"/>
      <c r="D332" s="724"/>
      <c r="E332" s="725"/>
      <c r="F332" s="725"/>
      <c r="G332" s="725"/>
      <c r="H332" s="753"/>
      <c r="I332" s="754"/>
      <c r="J332" s="727"/>
      <c r="K332" s="708"/>
      <c r="L332" s="706"/>
      <c r="M332" s="728"/>
      <c r="N332" s="723"/>
      <c r="O332" s="723"/>
      <c r="P332" s="723"/>
      <c r="Q332" s="729"/>
      <c r="R332" s="723"/>
      <c r="S332" s="728"/>
      <c r="T332" s="723"/>
      <c r="U332" s="697" t="s">
        <v>49</v>
      </c>
      <c r="V332" s="706">
        <f>Table6268934567910[[#This Row],[Offer Value]]-Table6268934567910[[#This Row],[PO Value]]</f>
        <v>0</v>
      </c>
      <c r="W332" s="706"/>
      <c r="X332" s="706"/>
      <c r="Y332" s="706"/>
    </row>
    <row r="333" spans="1:25" ht="15.6">
      <c r="A333" s="706"/>
      <c r="B333" s="706"/>
      <c r="C333" s="723"/>
      <c r="D333" s="724"/>
      <c r="E333" s="725"/>
      <c r="F333" s="725"/>
      <c r="G333" s="725"/>
      <c r="H333" s="753"/>
      <c r="I333" s="754"/>
      <c r="J333" s="727"/>
      <c r="K333" s="708"/>
      <c r="L333" s="706"/>
      <c r="M333" s="728"/>
      <c r="N333" s="723"/>
      <c r="O333" s="723"/>
      <c r="P333" s="723"/>
      <c r="Q333" s="729"/>
      <c r="R333" s="723"/>
      <c r="S333" s="728"/>
      <c r="T333" s="723"/>
      <c r="U333" s="697" t="s">
        <v>49</v>
      </c>
      <c r="V333" s="706">
        <f>Table6268934567910[[#This Row],[Offer Value]]-Table6268934567910[[#This Row],[PO Value]]</f>
        <v>0</v>
      </c>
      <c r="W333" s="706"/>
      <c r="X333" s="706"/>
      <c r="Y333" s="706"/>
    </row>
    <row r="334" spans="1:25" ht="15.6">
      <c r="A334" s="706"/>
      <c r="B334" s="706"/>
      <c r="C334" s="705"/>
      <c r="D334" s="705"/>
      <c r="E334" s="703"/>
      <c r="F334" s="697"/>
      <c r="G334" s="705"/>
      <c r="H334" s="704"/>
      <c r="I334" s="703"/>
      <c r="J334" s="705"/>
      <c r="K334" s="705"/>
      <c r="L334" s="706"/>
      <c r="M334" s="728"/>
      <c r="N334" s="723"/>
      <c r="O334" s="723"/>
      <c r="P334" s="723"/>
      <c r="Q334" s="729"/>
      <c r="R334" s="723"/>
      <c r="S334" s="728"/>
      <c r="T334" s="723"/>
      <c r="U334" s="697" t="s">
        <v>49</v>
      </c>
      <c r="V334" s="706">
        <f>Table6268934567910[[#This Row],[Offer Value]]-Table6268934567910[[#This Row],[PO Value]]</f>
        <v>0</v>
      </c>
      <c r="W334" s="706"/>
      <c r="X334" s="706"/>
      <c r="Y334" s="706"/>
    </row>
    <row r="335" spans="1:25" ht="15.6">
      <c r="A335" s="706"/>
      <c r="B335" s="706"/>
      <c r="C335" s="705"/>
      <c r="D335" s="705"/>
      <c r="E335" s="703"/>
      <c r="F335" s="697"/>
      <c r="G335" s="705"/>
      <c r="H335" s="704"/>
      <c r="I335" s="703"/>
      <c r="J335" s="705"/>
      <c r="K335" s="705"/>
      <c r="L335" s="706"/>
      <c r="M335" s="728"/>
      <c r="N335" s="723"/>
      <c r="O335" s="723"/>
      <c r="P335" s="723"/>
      <c r="Q335" s="729"/>
      <c r="R335" s="723"/>
      <c r="S335" s="728"/>
      <c r="T335" s="723"/>
      <c r="U335" s="697" t="s">
        <v>49</v>
      </c>
      <c r="V335" s="706">
        <f>Table6268934567910[[#This Row],[Offer Value]]-Table6268934567910[[#This Row],[PO Value]]</f>
        <v>0</v>
      </c>
      <c r="W335" s="706"/>
      <c r="X335" s="706"/>
      <c r="Y335" s="706"/>
    </row>
    <row r="336" spans="1:25" ht="15.6">
      <c r="A336" s="706"/>
      <c r="B336" s="706"/>
      <c r="C336" s="705"/>
      <c r="D336" s="705"/>
      <c r="E336" s="703"/>
      <c r="F336" s="697"/>
      <c r="G336" s="705"/>
      <c r="H336" s="704"/>
      <c r="I336" s="703"/>
      <c r="J336" s="705"/>
      <c r="K336" s="705"/>
      <c r="L336" s="706"/>
      <c r="M336" s="728"/>
      <c r="N336" s="723"/>
      <c r="O336" s="723"/>
      <c r="P336" s="723"/>
      <c r="Q336" s="729"/>
      <c r="R336" s="723"/>
      <c r="S336" s="728"/>
      <c r="T336" s="723"/>
      <c r="U336" s="697" t="s">
        <v>49</v>
      </c>
      <c r="V336" s="706">
        <f>Table6268934567910[[#This Row],[Offer Value]]-Table6268934567910[[#This Row],[PO Value]]</f>
        <v>0</v>
      </c>
      <c r="W336" s="706"/>
      <c r="X336" s="706"/>
      <c r="Y336" s="706"/>
    </row>
    <row r="337" spans="1:25" ht="15.6">
      <c r="A337" s="706"/>
      <c r="B337" s="706"/>
      <c r="C337" s="703"/>
      <c r="D337" s="703"/>
      <c r="E337" s="703"/>
      <c r="F337" s="697"/>
      <c r="G337" s="703"/>
      <c r="H337" s="743"/>
      <c r="I337" s="703"/>
      <c r="J337" s="705"/>
      <c r="K337" s="708"/>
      <c r="L337" s="706"/>
      <c r="M337" s="728"/>
      <c r="N337" s="723"/>
      <c r="O337" s="723"/>
      <c r="P337" s="723"/>
      <c r="Q337" s="729"/>
      <c r="R337" s="723"/>
      <c r="S337" s="728"/>
      <c r="T337" s="723"/>
      <c r="U337" s="697" t="s">
        <v>49</v>
      </c>
      <c r="V337" s="706">
        <f>Table6268934567910[[#This Row],[Offer Value]]-Table6268934567910[[#This Row],[PO Value]]</f>
        <v>0</v>
      </c>
      <c r="W337" s="706"/>
      <c r="X337" s="706"/>
      <c r="Y337" s="706"/>
    </row>
    <row r="338" spans="1:25" ht="15.6">
      <c r="A338" s="706"/>
      <c r="B338" s="706"/>
      <c r="C338" s="703"/>
      <c r="D338" s="703"/>
      <c r="E338" s="703"/>
      <c r="F338" s="697"/>
      <c r="G338" s="703"/>
      <c r="H338" s="743"/>
      <c r="I338" s="703"/>
      <c r="J338" s="705"/>
      <c r="K338" s="708"/>
      <c r="L338" s="706"/>
      <c r="M338" s="728"/>
      <c r="N338" s="723"/>
      <c r="O338" s="723"/>
      <c r="P338" s="723"/>
      <c r="Q338" s="729"/>
      <c r="R338" s="723"/>
      <c r="S338" s="728"/>
      <c r="T338" s="723"/>
      <c r="U338" s="697" t="s">
        <v>49</v>
      </c>
      <c r="V338" s="706">
        <f>Table6268934567910[[#This Row],[Offer Value]]-Table6268934567910[[#This Row],[PO Value]]</f>
        <v>0</v>
      </c>
      <c r="W338" s="706"/>
      <c r="X338" s="706"/>
      <c r="Y338" s="706"/>
    </row>
    <row r="339" spans="1:25" ht="15.6">
      <c r="A339" s="706"/>
      <c r="B339" s="706"/>
      <c r="C339" s="703"/>
      <c r="D339" s="703"/>
      <c r="E339" s="703"/>
      <c r="F339" s="697"/>
      <c r="G339" s="703"/>
      <c r="H339" s="743"/>
      <c r="I339" s="703"/>
      <c r="J339" s="705"/>
      <c r="K339" s="708"/>
      <c r="L339" s="706"/>
      <c r="M339" s="728"/>
      <c r="N339" s="723"/>
      <c r="O339" s="723"/>
      <c r="P339" s="723"/>
      <c r="Q339" s="729"/>
      <c r="R339" s="723"/>
      <c r="S339" s="728"/>
      <c r="T339" s="723"/>
      <c r="U339" s="697" t="s">
        <v>49</v>
      </c>
      <c r="V339" s="706">
        <f>Table6268934567910[[#This Row],[Offer Value]]-Table6268934567910[[#This Row],[PO Value]]</f>
        <v>0</v>
      </c>
      <c r="W339" s="706"/>
      <c r="X339" s="706"/>
      <c r="Y339" s="706"/>
    </row>
    <row r="340" spans="1:25" ht="15.6">
      <c r="A340" s="706"/>
      <c r="B340" s="706"/>
      <c r="C340" s="703"/>
      <c r="D340" s="703"/>
      <c r="E340" s="703"/>
      <c r="F340" s="697"/>
      <c r="G340" s="703"/>
      <c r="H340" s="743"/>
      <c r="I340" s="703"/>
      <c r="J340" s="705"/>
      <c r="K340" s="708"/>
      <c r="L340" s="706"/>
      <c r="M340" s="728"/>
      <c r="N340" s="723"/>
      <c r="O340" s="723"/>
      <c r="P340" s="723"/>
      <c r="Q340" s="729"/>
      <c r="R340" s="723"/>
      <c r="S340" s="728"/>
      <c r="T340" s="723"/>
      <c r="U340" s="697" t="s">
        <v>49</v>
      </c>
      <c r="V340" s="706">
        <f>Table6268934567910[[#This Row],[Offer Value]]-Table6268934567910[[#This Row],[PO Value]]</f>
        <v>0</v>
      </c>
      <c r="W340" s="706"/>
      <c r="X340" s="706"/>
      <c r="Y340" s="706"/>
    </row>
    <row r="341" spans="1:25" ht="15.6">
      <c r="A341" s="706"/>
      <c r="B341" s="706"/>
      <c r="C341" s="703"/>
      <c r="D341" s="703"/>
      <c r="E341" s="703"/>
      <c r="F341" s="697"/>
      <c r="G341" s="703"/>
      <c r="H341" s="743"/>
      <c r="I341" s="703"/>
      <c r="J341" s="705"/>
      <c r="K341" s="708"/>
      <c r="L341" s="706"/>
      <c r="M341" s="728"/>
      <c r="N341" s="723"/>
      <c r="O341" s="723"/>
      <c r="P341" s="723"/>
      <c r="Q341" s="729"/>
      <c r="R341" s="723"/>
      <c r="S341" s="728"/>
      <c r="T341" s="723"/>
      <c r="U341" s="697" t="s">
        <v>49</v>
      </c>
      <c r="V341" s="706">
        <f>Table6268934567910[[#This Row],[Offer Value]]-Table6268934567910[[#This Row],[PO Value]]</f>
        <v>0</v>
      </c>
      <c r="W341" s="706"/>
      <c r="X341" s="706"/>
      <c r="Y341" s="706"/>
    </row>
    <row r="342" spans="1:25" ht="15.6">
      <c r="A342" s="706"/>
      <c r="B342" s="706"/>
      <c r="C342" s="703"/>
      <c r="D342" s="703"/>
      <c r="E342" s="703"/>
      <c r="F342" s="697"/>
      <c r="G342" s="703"/>
      <c r="H342" s="743"/>
      <c r="I342" s="703"/>
      <c r="J342" s="705"/>
      <c r="K342" s="708"/>
      <c r="L342" s="706"/>
      <c r="M342" s="728"/>
      <c r="N342" s="723"/>
      <c r="O342" s="723"/>
      <c r="P342" s="723"/>
      <c r="Q342" s="729"/>
      <c r="R342" s="723"/>
      <c r="S342" s="728"/>
      <c r="T342" s="723"/>
      <c r="U342" s="697" t="s">
        <v>49</v>
      </c>
      <c r="V342" s="706">
        <f>Table6268934567910[[#This Row],[Offer Value]]-Table6268934567910[[#This Row],[PO Value]]</f>
        <v>0</v>
      </c>
      <c r="W342" s="706"/>
      <c r="X342" s="706"/>
      <c r="Y342" s="706"/>
    </row>
    <row r="343" spans="1:25" ht="15.6">
      <c r="A343" s="706"/>
      <c r="B343" s="706"/>
      <c r="C343" s="703"/>
      <c r="D343" s="703"/>
      <c r="E343" s="703"/>
      <c r="F343" s="697"/>
      <c r="G343" s="703"/>
      <c r="H343" s="743"/>
      <c r="I343" s="703"/>
      <c r="J343" s="705"/>
      <c r="K343" s="708"/>
      <c r="L343" s="706"/>
      <c r="M343" s="728"/>
      <c r="N343" s="723"/>
      <c r="O343" s="723"/>
      <c r="P343" s="723"/>
      <c r="Q343" s="729"/>
      <c r="R343" s="723"/>
      <c r="S343" s="728"/>
      <c r="T343" s="723"/>
      <c r="U343" s="697" t="s">
        <v>49</v>
      </c>
      <c r="V343" s="706">
        <f>Table6268934567910[[#This Row],[Offer Value]]-Table6268934567910[[#This Row],[PO Value]]</f>
        <v>0</v>
      </c>
      <c r="W343" s="706"/>
      <c r="X343" s="706"/>
      <c r="Y343" s="706"/>
    </row>
    <row r="344" spans="1:25" ht="15.6">
      <c r="A344" s="706"/>
      <c r="B344" s="706"/>
      <c r="C344" s="703"/>
      <c r="D344" s="703"/>
      <c r="E344" s="703"/>
      <c r="F344" s="697"/>
      <c r="G344" s="703"/>
      <c r="H344" s="743"/>
      <c r="I344" s="703"/>
      <c r="J344" s="705"/>
      <c r="K344" s="708"/>
      <c r="L344" s="706"/>
      <c r="M344" s="728"/>
      <c r="N344" s="723"/>
      <c r="O344" s="723"/>
      <c r="P344" s="723"/>
      <c r="Q344" s="729"/>
      <c r="R344" s="723"/>
      <c r="S344" s="728"/>
      <c r="T344" s="723"/>
      <c r="U344" s="697" t="s">
        <v>49</v>
      </c>
      <c r="V344" s="706">
        <f>Table6268934567910[[#This Row],[Offer Value]]-Table6268934567910[[#This Row],[PO Value]]</f>
        <v>0</v>
      </c>
      <c r="W344" s="706"/>
      <c r="X344" s="706"/>
      <c r="Y344" s="706"/>
    </row>
    <row r="345" spans="1:25" ht="15.6">
      <c r="A345" s="706"/>
      <c r="B345" s="706"/>
      <c r="C345" s="703"/>
      <c r="D345" s="703"/>
      <c r="E345" s="703"/>
      <c r="F345" s="697"/>
      <c r="G345" s="703"/>
      <c r="H345" s="743"/>
      <c r="I345" s="703"/>
      <c r="J345" s="705"/>
      <c r="K345" s="708"/>
      <c r="L345" s="706"/>
      <c r="M345" s="728"/>
      <c r="N345" s="723"/>
      <c r="O345" s="723"/>
      <c r="P345" s="723"/>
      <c r="Q345" s="729"/>
      <c r="R345" s="723"/>
      <c r="S345" s="728"/>
      <c r="T345" s="723"/>
      <c r="U345" s="697" t="s">
        <v>49</v>
      </c>
      <c r="V345" s="706">
        <f>Table6268934567910[[#This Row],[Offer Value]]-Table6268934567910[[#This Row],[PO Value]]</f>
        <v>0</v>
      </c>
      <c r="W345" s="706"/>
      <c r="X345" s="706"/>
      <c r="Y345" s="706"/>
    </row>
    <row r="346" spans="1:25" ht="15.6">
      <c r="A346" s="706"/>
      <c r="B346" s="706"/>
      <c r="C346" s="703"/>
      <c r="D346" s="703"/>
      <c r="E346" s="703"/>
      <c r="F346" s="697"/>
      <c r="G346" s="703"/>
      <c r="H346" s="743"/>
      <c r="I346" s="703"/>
      <c r="J346" s="705"/>
      <c r="K346" s="708"/>
      <c r="L346" s="706"/>
      <c r="M346" s="728"/>
      <c r="N346" s="723"/>
      <c r="O346" s="723"/>
      <c r="P346" s="723"/>
      <c r="Q346" s="729"/>
      <c r="R346" s="723"/>
      <c r="S346" s="728"/>
      <c r="T346" s="723"/>
      <c r="U346" s="697" t="s">
        <v>49</v>
      </c>
      <c r="V346" s="706">
        <f>Table6268934567910[[#This Row],[Offer Value]]-Table6268934567910[[#This Row],[PO Value]]</f>
        <v>0</v>
      </c>
      <c r="W346" s="706"/>
      <c r="X346" s="706"/>
      <c r="Y346" s="706"/>
    </row>
    <row r="347" spans="1:25" ht="15.6">
      <c r="A347" s="706"/>
      <c r="B347" s="706"/>
      <c r="C347" s="723"/>
      <c r="D347" s="724"/>
      <c r="E347" s="725"/>
      <c r="F347" s="725"/>
      <c r="G347" s="725"/>
      <c r="H347" s="725"/>
      <c r="I347" s="754"/>
      <c r="J347" s="727"/>
      <c r="K347" s="708"/>
      <c r="L347" s="706"/>
      <c r="M347" s="728"/>
      <c r="N347" s="723"/>
      <c r="O347" s="723"/>
      <c r="P347" s="723"/>
      <c r="Q347" s="729"/>
      <c r="R347" s="723"/>
      <c r="S347" s="728"/>
      <c r="T347" s="723"/>
      <c r="U347" s="697" t="s">
        <v>49</v>
      </c>
      <c r="V347" s="706">
        <f>Table6268934567910[[#This Row],[Offer Value]]-Table6268934567910[[#This Row],[PO Value]]</f>
        <v>0</v>
      </c>
      <c r="W347" s="706"/>
      <c r="X347" s="706"/>
      <c r="Y347" s="706"/>
    </row>
    <row r="348" spans="1:25" ht="15.6">
      <c r="A348" s="706"/>
      <c r="B348" s="706"/>
      <c r="C348" s="723"/>
      <c r="D348" s="724"/>
      <c r="E348" s="725"/>
      <c r="F348" s="725"/>
      <c r="G348" s="725"/>
      <c r="H348" s="725"/>
      <c r="I348" s="754"/>
      <c r="J348" s="727"/>
      <c r="K348" s="708"/>
      <c r="L348" s="706"/>
      <c r="M348" s="728"/>
      <c r="N348" s="723"/>
      <c r="O348" s="723"/>
      <c r="P348" s="723"/>
      <c r="Q348" s="729"/>
      <c r="R348" s="723"/>
      <c r="S348" s="728"/>
      <c r="T348" s="723"/>
      <c r="U348" s="697" t="s">
        <v>49</v>
      </c>
      <c r="V348" s="706">
        <f>Table6268934567910[[#This Row],[Offer Value]]-Table6268934567910[[#This Row],[PO Value]]</f>
        <v>0</v>
      </c>
      <c r="W348" s="706"/>
      <c r="X348" s="706"/>
      <c r="Y348" s="706"/>
    </row>
    <row r="349" spans="1:25" ht="15.6">
      <c r="A349" s="706"/>
      <c r="B349" s="706"/>
      <c r="C349" s="723"/>
      <c r="D349" s="724"/>
      <c r="E349" s="725"/>
      <c r="F349" s="725"/>
      <c r="G349" s="725"/>
      <c r="H349" s="725"/>
      <c r="I349" s="754"/>
      <c r="J349" s="727"/>
      <c r="K349" s="708"/>
      <c r="L349" s="706"/>
      <c r="M349" s="728"/>
      <c r="N349" s="723"/>
      <c r="O349" s="723"/>
      <c r="P349" s="723"/>
      <c r="Q349" s="729"/>
      <c r="R349" s="723"/>
      <c r="S349" s="728"/>
      <c r="T349" s="723"/>
      <c r="U349" s="697" t="s">
        <v>49</v>
      </c>
      <c r="V349" s="706">
        <f>Table6268934567910[[#This Row],[Offer Value]]-Table6268934567910[[#This Row],[PO Value]]</f>
        <v>0</v>
      </c>
      <c r="W349" s="706"/>
      <c r="X349" s="706"/>
      <c r="Y349" s="706"/>
    </row>
    <row r="350" spans="1:25" ht="15.6">
      <c r="A350" s="706"/>
      <c r="B350" s="706"/>
      <c r="C350" s="723"/>
      <c r="D350" s="724"/>
      <c r="E350" s="725"/>
      <c r="F350" s="725"/>
      <c r="G350" s="725"/>
      <c r="H350" s="725"/>
      <c r="I350" s="754"/>
      <c r="J350" s="727"/>
      <c r="K350" s="708"/>
      <c r="L350" s="706"/>
      <c r="M350" s="728"/>
      <c r="N350" s="723"/>
      <c r="O350" s="723"/>
      <c r="P350" s="723"/>
      <c r="Q350" s="729"/>
      <c r="R350" s="723"/>
      <c r="S350" s="728"/>
      <c r="T350" s="723"/>
      <c r="U350" s="697" t="s">
        <v>49</v>
      </c>
      <c r="V350" s="706">
        <f>Table6268934567910[[#This Row],[Offer Value]]-Table6268934567910[[#This Row],[PO Value]]</f>
        <v>0</v>
      </c>
      <c r="W350" s="706"/>
      <c r="X350" s="706"/>
      <c r="Y350" s="706"/>
    </row>
    <row r="351" spans="1:25" ht="15.6">
      <c r="A351" s="706"/>
      <c r="B351" s="706"/>
      <c r="C351" s="723"/>
      <c r="D351" s="706"/>
      <c r="E351" s="746"/>
      <c r="F351" s="746"/>
      <c r="G351" s="746"/>
      <c r="H351" s="746"/>
      <c r="I351" s="744"/>
      <c r="J351" s="764"/>
      <c r="K351" s="708"/>
      <c r="L351" s="706"/>
      <c r="M351" s="728"/>
      <c r="N351" s="723"/>
      <c r="O351" s="723"/>
      <c r="P351" s="723"/>
      <c r="Q351" s="729"/>
      <c r="R351" s="723"/>
      <c r="S351" s="728"/>
      <c r="T351" s="723"/>
      <c r="U351" s="697" t="s">
        <v>49</v>
      </c>
      <c r="V351" s="706">
        <f>Table6268934567910[[#This Row],[Offer Value]]-Table6268934567910[[#This Row],[PO Value]]</f>
        <v>0</v>
      </c>
      <c r="W351" s="706"/>
      <c r="X351" s="706"/>
      <c r="Y351" s="706"/>
    </row>
    <row r="352" spans="1:25" ht="15.6">
      <c r="A352" s="706"/>
      <c r="B352" s="706"/>
      <c r="C352" s="723"/>
      <c r="D352" s="706"/>
      <c r="E352" s="723"/>
      <c r="F352" s="723"/>
      <c r="G352" s="723"/>
      <c r="H352" s="723"/>
      <c r="I352" s="706"/>
      <c r="J352" s="764"/>
      <c r="K352" s="708"/>
      <c r="L352" s="706"/>
      <c r="M352" s="728"/>
      <c r="N352" s="723"/>
      <c r="O352" s="723"/>
      <c r="P352" s="723"/>
      <c r="Q352" s="729"/>
      <c r="R352" s="723"/>
      <c r="S352" s="728"/>
      <c r="T352" s="723"/>
      <c r="U352" s="697" t="s">
        <v>49</v>
      </c>
      <c r="V352" s="706">
        <f>Table6268934567910[[#This Row],[Offer Value]]-Table6268934567910[[#This Row],[PO Value]]</f>
        <v>0</v>
      </c>
      <c r="W352" s="706"/>
      <c r="X352" s="706"/>
      <c r="Y352" s="706"/>
    </row>
    <row r="353" spans="1:25" ht="15.6">
      <c r="A353" s="706"/>
      <c r="B353" s="706"/>
      <c r="C353" s="723"/>
      <c r="D353" s="706"/>
      <c r="E353" s="723"/>
      <c r="F353" s="723"/>
      <c r="G353" s="723"/>
      <c r="H353" s="723"/>
      <c r="I353" s="706"/>
      <c r="J353" s="764"/>
      <c r="K353" s="708"/>
      <c r="L353" s="706"/>
      <c r="M353" s="728"/>
      <c r="N353" s="723"/>
      <c r="O353" s="723"/>
      <c r="P353" s="723"/>
      <c r="Q353" s="729"/>
      <c r="R353" s="723"/>
      <c r="S353" s="728"/>
      <c r="T353" s="723"/>
      <c r="U353" s="697" t="s">
        <v>49</v>
      </c>
      <c r="V353" s="706">
        <f>Table6268934567910[[#This Row],[Offer Value]]-Table6268934567910[[#This Row],[PO Value]]</f>
        <v>0</v>
      </c>
      <c r="W353" s="706"/>
      <c r="X353" s="706"/>
      <c r="Y353" s="706"/>
    </row>
    <row r="354" spans="1:25" ht="15.6">
      <c r="A354" s="706"/>
      <c r="B354" s="706"/>
      <c r="C354" s="723"/>
      <c r="D354" s="706"/>
      <c r="E354" s="723"/>
      <c r="F354" s="723"/>
      <c r="G354" s="723"/>
      <c r="H354" s="723"/>
      <c r="I354" s="706"/>
      <c r="J354" s="764"/>
      <c r="K354" s="708"/>
      <c r="L354" s="706"/>
      <c r="M354" s="728"/>
      <c r="N354" s="723"/>
      <c r="O354" s="723"/>
      <c r="P354" s="723"/>
      <c r="Q354" s="729"/>
      <c r="R354" s="723"/>
      <c r="S354" s="728"/>
      <c r="T354" s="723"/>
      <c r="U354" s="697" t="s">
        <v>49</v>
      </c>
      <c r="V354" s="706">
        <f>Table6268934567910[[#This Row],[Offer Value]]-Table6268934567910[[#This Row],[PO Value]]</f>
        <v>0</v>
      </c>
      <c r="W354" s="706"/>
      <c r="X354" s="706"/>
      <c r="Y354" s="706"/>
    </row>
    <row r="355" spans="1:25" ht="15.6">
      <c r="A355" s="706"/>
      <c r="B355" s="706"/>
      <c r="C355" s="723"/>
      <c r="D355" s="706"/>
      <c r="E355" s="723"/>
      <c r="F355" s="723"/>
      <c r="G355" s="723"/>
      <c r="H355" s="723"/>
      <c r="I355" s="706"/>
      <c r="J355" s="764"/>
      <c r="K355" s="708"/>
      <c r="L355" s="706"/>
      <c r="M355" s="728"/>
      <c r="N355" s="723"/>
      <c r="O355" s="723"/>
      <c r="P355" s="723"/>
      <c r="Q355" s="729"/>
      <c r="R355" s="723"/>
      <c r="S355" s="728"/>
      <c r="T355" s="723"/>
      <c r="U355" s="697" t="s">
        <v>49</v>
      </c>
      <c r="V355" s="706">
        <f>Table6268934567910[[#This Row],[Offer Value]]-Table6268934567910[[#This Row],[PO Value]]</f>
        <v>0</v>
      </c>
      <c r="W355" s="706"/>
      <c r="X355" s="706"/>
      <c r="Y355" s="706"/>
    </row>
    <row r="356" spans="1:25" ht="15.6">
      <c r="A356" s="706"/>
      <c r="B356" s="706"/>
      <c r="C356" s="723"/>
      <c r="D356" s="706"/>
      <c r="E356" s="723"/>
      <c r="F356" s="723"/>
      <c r="G356" s="723"/>
      <c r="H356" s="723"/>
      <c r="I356" s="706"/>
      <c r="J356" s="764"/>
      <c r="K356" s="708"/>
      <c r="L356" s="706"/>
      <c r="M356" s="728"/>
      <c r="N356" s="723"/>
      <c r="O356" s="723"/>
      <c r="P356" s="723"/>
      <c r="Q356" s="729"/>
      <c r="R356" s="723"/>
      <c r="S356" s="728"/>
      <c r="T356" s="723"/>
      <c r="U356" s="697" t="s">
        <v>49</v>
      </c>
      <c r="V356" s="706">
        <f>Table6268934567910[[#This Row],[Offer Value]]-Table6268934567910[[#This Row],[PO Value]]</f>
        <v>0</v>
      </c>
      <c r="W356" s="706"/>
      <c r="X356" s="706"/>
      <c r="Y356" s="706"/>
    </row>
    <row r="357" spans="1:25" ht="15.6">
      <c r="A357" s="706"/>
      <c r="B357" s="706"/>
      <c r="C357" s="723"/>
      <c r="D357" s="706"/>
      <c r="E357" s="723"/>
      <c r="F357" s="723"/>
      <c r="G357" s="723"/>
      <c r="H357" s="723"/>
      <c r="I357" s="706"/>
      <c r="J357" s="764"/>
      <c r="K357" s="708"/>
      <c r="L357" s="706"/>
      <c r="M357" s="728"/>
      <c r="N357" s="723"/>
      <c r="O357" s="723"/>
      <c r="P357" s="723"/>
      <c r="Q357" s="729"/>
      <c r="R357" s="723"/>
      <c r="S357" s="728"/>
      <c r="T357" s="723"/>
      <c r="U357" s="697" t="s">
        <v>49</v>
      </c>
      <c r="V357" s="706">
        <f>Table6268934567910[[#This Row],[Offer Value]]-Table6268934567910[[#This Row],[PO Value]]</f>
        <v>0</v>
      </c>
      <c r="W357" s="706"/>
      <c r="X357" s="706"/>
      <c r="Y357" s="706"/>
    </row>
    <row r="358" spans="1:25" ht="15.6">
      <c r="A358" s="706"/>
      <c r="B358" s="706"/>
      <c r="C358" s="723"/>
      <c r="D358" s="706"/>
      <c r="E358" s="723"/>
      <c r="F358" s="723"/>
      <c r="G358" s="723"/>
      <c r="H358" s="723"/>
      <c r="I358" s="706"/>
      <c r="J358" s="764"/>
      <c r="K358" s="708"/>
      <c r="L358" s="706"/>
      <c r="M358" s="728"/>
      <c r="N358" s="723"/>
      <c r="O358" s="723"/>
      <c r="P358" s="723"/>
      <c r="Q358" s="729"/>
      <c r="R358" s="723"/>
      <c r="S358" s="728"/>
      <c r="T358" s="723"/>
      <c r="U358" s="697" t="s">
        <v>49</v>
      </c>
      <c r="V358" s="706">
        <f>Table6268934567910[[#This Row],[Offer Value]]-Table6268934567910[[#This Row],[PO Value]]</f>
        <v>0</v>
      </c>
      <c r="W358" s="706"/>
      <c r="X358" s="706"/>
      <c r="Y358" s="706"/>
    </row>
    <row r="359" spans="1:25" ht="15.6">
      <c r="A359" s="706"/>
      <c r="B359" s="706"/>
      <c r="C359" s="723"/>
      <c r="D359" s="706"/>
      <c r="E359" s="723"/>
      <c r="F359" s="723"/>
      <c r="G359" s="723"/>
      <c r="H359" s="723"/>
      <c r="I359" s="706"/>
      <c r="J359" s="764"/>
      <c r="K359" s="708"/>
      <c r="L359" s="706"/>
      <c r="M359" s="728"/>
      <c r="N359" s="723"/>
      <c r="O359" s="723"/>
      <c r="P359" s="723"/>
      <c r="Q359" s="729"/>
      <c r="R359" s="723"/>
      <c r="S359" s="728"/>
      <c r="T359" s="723"/>
      <c r="U359" s="697" t="s">
        <v>49</v>
      </c>
      <c r="V359" s="706">
        <f>Table6268934567910[[#This Row],[Offer Value]]-Table6268934567910[[#This Row],[PO Value]]</f>
        <v>0</v>
      </c>
      <c r="W359" s="706"/>
      <c r="X359" s="706"/>
      <c r="Y359" s="706"/>
    </row>
    <row r="360" spans="1:25" ht="15.6">
      <c r="A360" s="706"/>
      <c r="B360" s="706"/>
      <c r="C360" s="723"/>
      <c r="D360" s="706"/>
      <c r="E360" s="723"/>
      <c r="F360" s="723"/>
      <c r="G360" s="723"/>
      <c r="H360" s="723"/>
      <c r="I360" s="706"/>
      <c r="J360" s="764"/>
      <c r="K360" s="708"/>
      <c r="L360" s="706"/>
      <c r="M360" s="728"/>
      <c r="N360" s="723"/>
      <c r="O360" s="723"/>
      <c r="P360" s="723"/>
      <c r="Q360" s="729"/>
      <c r="R360" s="723"/>
      <c r="S360" s="728"/>
      <c r="T360" s="723"/>
      <c r="U360" s="697" t="s">
        <v>49</v>
      </c>
      <c r="V360" s="706">
        <f>Table6268934567910[[#This Row],[Offer Value]]-Table6268934567910[[#This Row],[PO Value]]</f>
        <v>0</v>
      </c>
      <c r="W360" s="706"/>
      <c r="X360" s="706"/>
      <c r="Y360" s="706"/>
    </row>
    <row r="361" spans="1:25" ht="15.6">
      <c r="A361" s="706"/>
      <c r="B361" s="706"/>
      <c r="C361" s="723"/>
      <c r="D361" s="706"/>
      <c r="E361" s="723"/>
      <c r="F361" s="723"/>
      <c r="G361" s="723"/>
      <c r="H361" s="723"/>
      <c r="I361" s="706"/>
      <c r="J361" s="764"/>
      <c r="K361" s="708"/>
      <c r="L361" s="706"/>
      <c r="M361" s="728"/>
      <c r="N361" s="723"/>
      <c r="O361" s="723"/>
      <c r="P361" s="723"/>
      <c r="Q361" s="729"/>
      <c r="R361" s="723"/>
      <c r="S361" s="728"/>
      <c r="T361" s="723"/>
      <c r="U361" s="697" t="s">
        <v>49</v>
      </c>
      <c r="V361" s="706">
        <f>Table6268934567910[[#This Row],[Offer Value]]-Table6268934567910[[#This Row],[PO Value]]</f>
        <v>0</v>
      </c>
      <c r="W361" s="706"/>
      <c r="X361" s="706"/>
      <c r="Y361" s="706"/>
    </row>
    <row r="362" spans="1:25" ht="15.6">
      <c r="A362" s="706"/>
      <c r="B362" s="706"/>
      <c r="C362" s="723"/>
      <c r="D362" s="706"/>
      <c r="E362" s="723"/>
      <c r="F362" s="723"/>
      <c r="G362" s="723"/>
      <c r="H362" s="723"/>
      <c r="I362" s="706"/>
      <c r="J362" s="764"/>
      <c r="K362" s="708"/>
      <c r="L362" s="706"/>
      <c r="M362" s="728"/>
      <c r="N362" s="723"/>
      <c r="O362" s="723"/>
      <c r="P362" s="723"/>
      <c r="Q362" s="729"/>
      <c r="R362" s="723"/>
      <c r="S362" s="728"/>
      <c r="T362" s="723"/>
      <c r="U362" s="697" t="s">
        <v>49</v>
      </c>
      <c r="V362" s="706">
        <f>Table6268934567910[[#This Row],[Offer Value]]-Table6268934567910[[#This Row],[PO Value]]</f>
        <v>0</v>
      </c>
      <c r="W362" s="706"/>
      <c r="X362" s="706"/>
      <c r="Y362" s="706"/>
    </row>
    <row r="363" spans="1:25" ht="15.6">
      <c r="A363" s="706"/>
      <c r="B363" s="706"/>
      <c r="C363" s="723"/>
      <c r="D363" s="706"/>
      <c r="E363" s="723"/>
      <c r="F363" s="723"/>
      <c r="G363" s="723"/>
      <c r="H363" s="723"/>
      <c r="I363" s="706"/>
      <c r="J363" s="764"/>
      <c r="K363" s="708"/>
      <c r="L363" s="706"/>
      <c r="M363" s="728"/>
      <c r="N363" s="723"/>
      <c r="O363" s="723"/>
      <c r="P363" s="723"/>
      <c r="Q363" s="729"/>
      <c r="R363" s="723"/>
      <c r="S363" s="728"/>
      <c r="T363" s="723"/>
      <c r="U363" s="697" t="s">
        <v>49</v>
      </c>
      <c r="V363" s="706">
        <f>Table6268934567910[[#This Row],[Offer Value]]-Table6268934567910[[#This Row],[PO Value]]</f>
        <v>0</v>
      </c>
      <c r="W363" s="706"/>
      <c r="X363" s="706"/>
      <c r="Y363" s="706"/>
    </row>
    <row r="364" spans="1:25" ht="15.6">
      <c r="A364" s="706"/>
      <c r="B364" s="706"/>
      <c r="C364" s="723"/>
      <c r="D364" s="706"/>
      <c r="E364" s="723"/>
      <c r="F364" s="723"/>
      <c r="G364" s="723"/>
      <c r="H364" s="723"/>
      <c r="I364" s="706"/>
      <c r="J364" s="764"/>
      <c r="K364" s="708"/>
      <c r="L364" s="706"/>
      <c r="M364" s="728"/>
      <c r="N364" s="723"/>
      <c r="O364" s="723"/>
      <c r="P364" s="723"/>
      <c r="Q364" s="729"/>
      <c r="R364" s="723"/>
      <c r="S364" s="728"/>
      <c r="T364" s="723"/>
      <c r="U364" s="697" t="s">
        <v>49</v>
      </c>
      <c r="V364" s="706">
        <f>Table6268934567910[[#This Row],[Offer Value]]-Table6268934567910[[#This Row],[PO Value]]</f>
        <v>0</v>
      </c>
      <c r="W364" s="706"/>
      <c r="X364" s="706"/>
      <c r="Y364" s="706"/>
    </row>
    <row r="365" spans="1:25" ht="15.6">
      <c r="A365" s="706"/>
      <c r="B365" s="706"/>
      <c r="C365" s="723"/>
      <c r="D365" s="706"/>
      <c r="E365" s="723"/>
      <c r="F365" s="723"/>
      <c r="G365" s="723"/>
      <c r="H365" s="723"/>
      <c r="I365" s="706"/>
      <c r="J365" s="764"/>
      <c r="K365" s="708"/>
      <c r="L365" s="706"/>
      <c r="M365" s="728"/>
      <c r="N365" s="723"/>
      <c r="O365" s="723"/>
      <c r="P365" s="723"/>
      <c r="Q365" s="729"/>
      <c r="R365" s="723"/>
      <c r="S365" s="728"/>
      <c r="T365" s="723"/>
      <c r="U365" s="697" t="s">
        <v>49</v>
      </c>
      <c r="V365" s="706">
        <f>Table6268934567910[[#This Row],[Offer Value]]-Table6268934567910[[#This Row],[PO Value]]</f>
        <v>0</v>
      </c>
      <c r="W365" s="706"/>
      <c r="X365" s="706"/>
      <c r="Y365" s="706"/>
    </row>
    <row r="366" spans="1:25" ht="15.6">
      <c r="A366" s="706"/>
      <c r="B366" s="706"/>
      <c r="C366" s="723"/>
      <c r="D366" s="706"/>
      <c r="E366" s="723"/>
      <c r="F366" s="723"/>
      <c r="G366" s="723"/>
      <c r="H366" s="723"/>
      <c r="I366" s="706"/>
      <c r="J366" s="764"/>
      <c r="K366" s="708"/>
      <c r="L366" s="706"/>
      <c r="M366" s="728"/>
      <c r="N366" s="723"/>
      <c r="O366" s="723"/>
      <c r="P366" s="723"/>
      <c r="Q366" s="729"/>
      <c r="R366" s="723"/>
      <c r="S366" s="728"/>
      <c r="T366" s="723"/>
      <c r="U366" s="697" t="s">
        <v>49</v>
      </c>
      <c r="V366" s="706">
        <f>Table6268934567910[[#This Row],[Offer Value]]-Table6268934567910[[#This Row],[PO Value]]</f>
        <v>0</v>
      </c>
      <c r="W366" s="706"/>
      <c r="X366" s="706"/>
      <c r="Y366" s="706"/>
    </row>
    <row r="367" spans="1:25" ht="15.6">
      <c r="A367" s="706"/>
      <c r="B367" s="706"/>
      <c r="C367" s="723"/>
      <c r="D367" s="706"/>
      <c r="E367" s="723"/>
      <c r="F367" s="723"/>
      <c r="G367" s="723"/>
      <c r="H367" s="723"/>
      <c r="I367" s="706"/>
      <c r="J367" s="764"/>
      <c r="K367" s="708"/>
      <c r="L367" s="706"/>
      <c r="M367" s="728"/>
      <c r="N367" s="723"/>
      <c r="O367" s="723"/>
      <c r="P367" s="723"/>
      <c r="Q367" s="729"/>
      <c r="R367" s="723"/>
      <c r="S367" s="728"/>
      <c r="T367" s="723"/>
      <c r="U367" s="697" t="s">
        <v>49</v>
      </c>
      <c r="V367" s="706">
        <f>Table6268934567910[[#This Row],[Offer Value]]-Table6268934567910[[#This Row],[PO Value]]</f>
        <v>0</v>
      </c>
      <c r="W367" s="706"/>
      <c r="X367" s="706"/>
      <c r="Y367" s="706"/>
    </row>
    <row r="368" spans="1:25" ht="15.6">
      <c r="A368" s="706"/>
      <c r="B368" s="706"/>
      <c r="C368" s="723"/>
      <c r="D368" s="706"/>
      <c r="E368" s="723"/>
      <c r="F368" s="723"/>
      <c r="G368" s="723"/>
      <c r="H368" s="723"/>
      <c r="I368" s="706"/>
      <c r="J368" s="764"/>
      <c r="K368" s="708"/>
      <c r="L368" s="706"/>
      <c r="M368" s="728"/>
      <c r="N368" s="723"/>
      <c r="O368" s="723"/>
      <c r="P368" s="723"/>
      <c r="Q368" s="729"/>
      <c r="R368" s="723"/>
      <c r="S368" s="728"/>
      <c r="T368" s="723"/>
      <c r="U368" s="697" t="s">
        <v>49</v>
      </c>
      <c r="V368" s="706">
        <f>Table6268934567910[[#This Row],[Offer Value]]-Table6268934567910[[#This Row],[PO Value]]</f>
        <v>0</v>
      </c>
      <c r="W368" s="706"/>
      <c r="X368" s="706"/>
      <c r="Y368" s="706"/>
    </row>
    <row r="369" spans="1:25" ht="15.6">
      <c r="A369" s="706"/>
      <c r="B369" s="706"/>
      <c r="C369" s="723"/>
      <c r="D369" s="706"/>
      <c r="E369" s="723"/>
      <c r="F369" s="723"/>
      <c r="G369" s="723"/>
      <c r="H369" s="723"/>
      <c r="I369" s="706"/>
      <c r="J369" s="764"/>
      <c r="K369" s="708"/>
      <c r="L369" s="706"/>
      <c r="M369" s="728"/>
      <c r="N369" s="723"/>
      <c r="O369" s="723"/>
      <c r="P369" s="723"/>
      <c r="Q369" s="729"/>
      <c r="R369" s="723"/>
      <c r="S369" s="728"/>
      <c r="T369" s="723"/>
      <c r="U369" s="697" t="s">
        <v>49</v>
      </c>
      <c r="V369" s="706">
        <f>Table6268934567910[[#This Row],[Offer Value]]-Table6268934567910[[#This Row],[PO Value]]</f>
        <v>0</v>
      </c>
      <c r="W369" s="706"/>
      <c r="X369" s="706"/>
      <c r="Y369" s="706"/>
    </row>
    <row r="370" spans="1:25" ht="15.6">
      <c r="A370" s="706"/>
      <c r="B370" s="706"/>
      <c r="C370" s="723"/>
      <c r="D370" s="706"/>
      <c r="E370" s="723"/>
      <c r="F370" s="723"/>
      <c r="G370" s="723"/>
      <c r="H370" s="723"/>
      <c r="I370" s="706"/>
      <c r="J370" s="723"/>
      <c r="K370" s="706"/>
      <c r="L370" s="706"/>
      <c r="M370" s="728"/>
      <c r="N370" s="765"/>
      <c r="O370" s="765"/>
      <c r="P370" s="723"/>
      <c r="Q370" s="729"/>
      <c r="R370" s="765"/>
      <c r="S370" s="766"/>
      <c r="T370" s="723"/>
      <c r="U370" s="697" t="s">
        <v>49</v>
      </c>
      <c r="V370" s="706">
        <f>Table6268934567910[[#This Row],[Offer Value]]-Table6268934567910[[#This Row],[PO Value]]</f>
        <v>0</v>
      </c>
      <c r="W370" s="706"/>
      <c r="X370" s="706"/>
      <c r="Y370" s="767"/>
    </row>
    <row r="371" spans="1:25" ht="15.6">
      <c r="A371" s="768"/>
      <c r="B371" s="769"/>
      <c r="C371" s="770"/>
      <c r="D371" s="769"/>
      <c r="E371" s="770"/>
      <c r="F371" s="770"/>
      <c r="G371" s="770"/>
      <c r="H371" s="770"/>
      <c r="I371" s="769"/>
      <c r="J371" s="771"/>
      <c r="K371" s="772"/>
      <c r="L371" s="769"/>
      <c r="M371" s="773"/>
      <c r="N371" s="774"/>
      <c r="O371" s="774"/>
      <c r="P371" s="770"/>
      <c r="Q371" s="775"/>
      <c r="R371" s="776"/>
      <c r="S371" s="773"/>
      <c r="T371" s="770"/>
      <c r="U371" s="697" t="s">
        <v>49</v>
      </c>
      <c r="V371" s="706">
        <f>Table6268934567910[[#This Row],[Offer Value]]-Table6268934567910[[#This Row],[PO Value]]</f>
        <v>0</v>
      </c>
      <c r="W371" s="769"/>
      <c r="X371" s="769"/>
      <c r="Y371" s="714"/>
    </row>
    <row r="372" spans="1:25" ht="15.6">
      <c r="A372" s="768"/>
      <c r="B372" s="769"/>
      <c r="C372" s="770"/>
      <c r="D372" s="769"/>
      <c r="E372" s="770"/>
      <c r="F372" s="770"/>
      <c r="G372" s="770"/>
      <c r="H372" s="770"/>
      <c r="I372" s="769"/>
      <c r="J372" s="771"/>
      <c r="K372" s="772"/>
      <c r="L372" s="769"/>
      <c r="M372" s="773"/>
      <c r="N372" s="774"/>
      <c r="O372" s="774"/>
      <c r="P372" s="770"/>
      <c r="Q372" s="775"/>
      <c r="R372" s="776"/>
      <c r="S372" s="773"/>
      <c r="T372" s="770"/>
      <c r="U372" s="697" t="s">
        <v>49</v>
      </c>
      <c r="V372" s="706">
        <f>Table6268934567910[[#This Row],[Offer Value]]-Table6268934567910[[#This Row],[PO Value]]</f>
        <v>0</v>
      </c>
      <c r="W372" s="769"/>
      <c r="X372" s="769"/>
      <c r="Y372" s="714"/>
    </row>
    <row r="373" spans="1:25" ht="15.6">
      <c r="A373" s="768"/>
      <c r="B373" s="714"/>
      <c r="C373" s="770"/>
      <c r="D373" s="769"/>
      <c r="E373" s="770"/>
      <c r="F373" s="770"/>
      <c r="G373" s="770"/>
      <c r="H373" s="770"/>
      <c r="I373" s="769"/>
      <c r="J373" s="771"/>
      <c r="K373" s="772"/>
      <c r="L373" s="769"/>
      <c r="M373" s="773"/>
      <c r="N373" s="774"/>
      <c r="O373" s="774"/>
      <c r="P373" s="770"/>
      <c r="Q373" s="775"/>
      <c r="R373" s="776"/>
      <c r="S373" s="773"/>
      <c r="T373" s="774"/>
      <c r="U373" s="697" t="s">
        <v>49</v>
      </c>
      <c r="V373" s="706">
        <f>Table6268934567910[[#This Row],[Offer Value]]-Table6268934567910[[#This Row],[PO Value]]</f>
        <v>0</v>
      </c>
      <c r="W373" s="769"/>
      <c r="X373" s="769"/>
      <c r="Y373" s="714"/>
    </row>
    <row r="374" spans="1:25" ht="15.6">
      <c r="A374" s="768"/>
      <c r="B374" s="769"/>
      <c r="C374" s="770"/>
      <c r="D374" s="769"/>
      <c r="E374" s="770"/>
      <c r="F374" s="770"/>
      <c r="G374" s="770"/>
      <c r="H374" s="770"/>
      <c r="I374" s="769"/>
      <c r="J374" s="771"/>
      <c r="K374" s="772"/>
      <c r="L374" s="769"/>
      <c r="M374" s="773"/>
      <c r="N374" s="774"/>
      <c r="O374" s="774"/>
      <c r="P374" s="770"/>
      <c r="Q374" s="775"/>
      <c r="R374" s="776"/>
      <c r="S374" s="773"/>
      <c r="T374" s="770"/>
      <c r="U374" s="697" t="s">
        <v>49</v>
      </c>
      <c r="V374" s="706">
        <f>Table6268934567910[[#This Row],[Offer Value]]-Table6268934567910[[#This Row],[PO Value]]</f>
        <v>0</v>
      </c>
      <c r="W374" s="769"/>
      <c r="X374" s="769"/>
      <c r="Y374" s="714"/>
    </row>
    <row r="375" spans="1:25" ht="15.6">
      <c r="A375" s="768"/>
      <c r="B375" s="769"/>
      <c r="C375" s="770"/>
      <c r="D375" s="769"/>
      <c r="E375" s="770"/>
      <c r="F375" s="770"/>
      <c r="G375" s="770"/>
      <c r="H375" s="770"/>
      <c r="I375" s="769"/>
      <c r="J375" s="771"/>
      <c r="K375" s="772"/>
      <c r="L375" s="769"/>
      <c r="M375" s="773"/>
      <c r="N375" s="777"/>
      <c r="O375" s="777"/>
      <c r="P375" s="770"/>
      <c r="Q375" s="775"/>
      <c r="R375" s="776"/>
      <c r="S375" s="773"/>
      <c r="T375" s="770"/>
      <c r="U375" s="697" t="s">
        <v>49</v>
      </c>
      <c r="V375" s="778">
        <f>Table6268934567910[[#This Row],[Offer Value]]-Table6268934567910[[#This Row],[PO Value]]</f>
        <v>0</v>
      </c>
      <c r="W375" s="769"/>
      <c r="X375" s="769"/>
      <c r="Y375" s="714"/>
    </row>
    <row r="376" spans="1:25" ht="15.6">
      <c r="A376" s="768"/>
      <c r="B376" s="769"/>
      <c r="C376" s="770"/>
      <c r="D376" s="769"/>
      <c r="E376" s="770"/>
      <c r="F376" s="770"/>
      <c r="G376" s="770"/>
      <c r="H376" s="770"/>
      <c r="I376" s="769"/>
      <c r="J376" s="771"/>
      <c r="K376" s="772"/>
      <c r="L376" s="769"/>
      <c r="M376" s="773"/>
      <c r="N376" s="777"/>
      <c r="O376" s="777"/>
      <c r="P376" s="770"/>
      <c r="Q376" s="775"/>
      <c r="R376" s="776"/>
      <c r="S376" s="773"/>
      <c r="T376" s="770"/>
      <c r="U376" s="697" t="s">
        <v>49</v>
      </c>
      <c r="V376" s="778">
        <f>Table6268934567910[[#This Row],[Offer Value]]-Table6268934567910[[#This Row],[PO Value]]</f>
        <v>0</v>
      </c>
      <c r="W376" s="769"/>
      <c r="X376" s="769"/>
      <c r="Y376" s="714"/>
    </row>
    <row r="377" spans="1:25" ht="15.6">
      <c r="A377" s="768"/>
      <c r="B377" s="769"/>
      <c r="C377" s="770"/>
      <c r="D377" s="769"/>
      <c r="E377" s="770"/>
      <c r="F377" s="770"/>
      <c r="G377" s="770"/>
      <c r="H377" s="770"/>
      <c r="I377" s="769"/>
      <c r="J377" s="771"/>
      <c r="K377" s="772"/>
      <c r="L377" s="769"/>
      <c r="M377" s="773"/>
      <c r="N377" s="777"/>
      <c r="O377" s="777"/>
      <c r="P377" s="770"/>
      <c r="Q377" s="775"/>
      <c r="R377" s="776"/>
      <c r="S377" s="773"/>
      <c r="T377" s="770"/>
      <c r="U377" s="697" t="s">
        <v>49</v>
      </c>
      <c r="V377" s="778">
        <f>Table6268934567910[[#This Row],[Offer Value]]-Table6268934567910[[#This Row],[PO Value]]</f>
        <v>0</v>
      </c>
      <c r="W377" s="769"/>
      <c r="X377" s="769"/>
      <c r="Y377" s="714"/>
    </row>
    <row r="378" spans="1:25" ht="15.6">
      <c r="A378" s="768"/>
      <c r="B378" s="769"/>
      <c r="C378" s="770"/>
      <c r="D378" s="769"/>
      <c r="E378" s="770"/>
      <c r="F378" s="770"/>
      <c r="G378" s="770"/>
      <c r="H378" s="770"/>
      <c r="I378" s="769"/>
      <c r="J378" s="771"/>
      <c r="K378" s="772"/>
      <c r="L378" s="769"/>
      <c r="M378" s="773"/>
      <c r="N378" s="777"/>
      <c r="O378" s="777"/>
      <c r="P378" s="770"/>
      <c r="Q378" s="775"/>
      <c r="R378" s="776"/>
      <c r="S378" s="773"/>
      <c r="T378" s="770"/>
      <c r="U378" s="697" t="s">
        <v>49</v>
      </c>
      <c r="V378" s="778">
        <f>Table6268934567910[[#This Row],[Offer Value]]-Table6268934567910[[#This Row],[PO Value]]</f>
        <v>0</v>
      </c>
      <c r="W378" s="769"/>
      <c r="X378" s="769"/>
      <c r="Y378" s="714"/>
    </row>
    <row r="379" spans="1:25" ht="15.6">
      <c r="A379" s="768"/>
      <c r="B379" s="769"/>
      <c r="C379" s="770"/>
      <c r="D379" s="769"/>
      <c r="E379" s="770"/>
      <c r="F379" s="770"/>
      <c r="G379" s="770"/>
      <c r="H379" s="770"/>
      <c r="I379" s="769"/>
      <c r="J379" s="771"/>
      <c r="K379" s="772"/>
      <c r="L379" s="769"/>
      <c r="M379" s="773"/>
      <c r="N379" s="777"/>
      <c r="O379" s="777"/>
      <c r="P379" s="770"/>
      <c r="Q379" s="775"/>
      <c r="R379" s="776"/>
      <c r="S379" s="773"/>
      <c r="T379" s="770"/>
      <c r="U379" s="697" t="s">
        <v>49</v>
      </c>
      <c r="V379" s="778">
        <f>Table6268934567910[[#This Row],[Offer Value]]-Table6268934567910[[#This Row],[PO Value]]</f>
        <v>0</v>
      </c>
      <c r="W379" s="769"/>
      <c r="X379" s="769"/>
      <c r="Y379" s="714"/>
    </row>
    <row r="380" spans="1:25" ht="15.6">
      <c r="A380" s="768"/>
      <c r="B380" s="769"/>
      <c r="C380" s="770"/>
      <c r="D380" s="769"/>
      <c r="E380" s="770"/>
      <c r="F380" s="770"/>
      <c r="G380" s="770"/>
      <c r="H380" s="770"/>
      <c r="I380" s="769"/>
      <c r="J380" s="771"/>
      <c r="K380" s="772"/>
      <c r="L380" s="769"/>
      <c r="M380" s="773"/>
      <c r="N380" s="777"/>
      <c r="O380" s="777"/>
      <c r="P380" s="770"/>
      <c r="Q380" s="775"/>
      <c r="R380" s="776"/>
      <c r="S380" s="773"/>
      <c r="T380" s="770"/>
      <c r="U380" s="697" t="s">
        <v>49</v>
      </c>
      <c r="V380" s="778">
        <f>Table6268934567910[[#This Row],[Offer Value]]-Table6268934567910[[#This Row],[PO Value]]</f>
        <v>0</v>
      </c>
      <c r="W380" s="769"/>
      <c r="X380" s="769"/>
      <c r="Y380" s="714"/>
    </row>
    <row r="381" spans="1:25" ht="15.6">
      <c r="A381" s="768"/>
      <c r="B381" s="769"/>
      <c r="C381" s="770"/>
      <c r="D381" s="769"/>
      <c r="E381" s="770"/>
      <c r="F381" s="770"/>
      <c r="G381" s="770"/>
      <c r="H381" s="770"/>
      <c r="I381" s="769"/>
      <c r="J381" s="771"/>
      <c r="K381" s="772"/>
      <c r="L381" s="769"/>
      <c r="M381" s="773"/>
      <c r="N381" s="777"/>
      <c r="O381" s="777"/>
      <c r="P381" s="770"/>
      <c r="Q381" s="775"/>
      <c r="R381" s="776"/>
      <c r="S381" s="773"/>
      <c r="T381" s="770"/>
      <c r="U381" s="697" t="s">
        <v>49</v>
      </c>
      <c r="V381" s="778">
        <f>Table6268934567910[[#This Row],[Offer Value]]-Table6268934567910[[#This Row],[PO Value]]</f>
        <v>0</v>
      </c>
      <c r="W381" s="769"/>
      <c r="X381" s="769"/>
      <c r="Y381" s="714"/>
    </row>
    <row r="382" spans="1:25" ht="15.6">
      <c r="A382" s="768"/>
      <c r="B382" s="769"/>
      <c r="C382" s="770"/>
      <c r="D382" s="769"/>
      <c r="E382" s="770"/>
      <c r="F382" s="770"/>
      <c r="G382" s="770"/>
      <c r="H382" s="770"/>
      <c r="I382" s="769"/>
      <c r="J382" s="771"/>
      <c r="K382" s="772"/>
      <c r="L382" s="769"/>
      <c r="M382" s="773"/>
      <c r="N382" s="777"/>
      <c r="O382" s="777"/>
      <c r="P382" s="770"/>
      <c r="Q382" s="775"/>
      <c r="R382" s="776"/>
      <c r="S382" s="773"/>
      <c r="T382" s="770"/>
      <c r="U382" s="697" t="s">
        <v>49</v>
      </c>
      <c r="V382" s="778">
        <f>Table6268934567910[[#This Row],[Offer Value]]-Table6268934567910[[#This Row],[PO Value]]</f>
        <v>0</v>
      </c>
      <c r="W382" s="769"/>
      <c r="X382" s="769"/>
      <c r="Y382" s="714"/>
    </row>
    <row r="383" spans="1:25" ht="15.6">
      <c r="A383" s="768"/>
      <c r="B383" s="769"/>
      <c r="C383" s="770"/>
      <c r="D383" s="769"/>
      <c r="E383" s="770"/>
      <c r="F383" s="770"/>
      <c r="G383" s="770"/>
      <c r="H383" s="770"/>
      <c r="I383" s="769"/>
      <c r="J383" s="771"/>
      <c r="K383" s="772"/>
      <c r="L383" s="769"/>
      <c r="M383" s="773"/>
      <c r="N383" s="777"/>
      <c r="O383" s="777"/>
      <c r="P383" s="770"/>
      <c r="Q383" s="775"/>
      <c r="R383" s="776"/>
      <c r="S383" s="773"/>
      <c r="T383" s="770"/>
      <c r="U383" s="697" t="s">
        <v>49</v>
      </c>
      <c r="V383" s="778">
        <f>Table6268934567910[[#This Row],[Offer Value]]-Table6268934567910[[#This Row],[PO Value]]</f>
        <v>0</v>
      </c>
      <c r="W383" s="769"/>
      <c r="X383" s="769"/>
      <c r="Y383" s="714"/>
    </row>
    <row r="384" spans="1:25" ht="15.6">
      <c r="A384" s="768"/>
      <c r="B384" s="706"/>
      <c r="C384" s="723"/>
      <c r="D384" s="706"/>
      <c r="E384" s="723"/>
      <c r="F384" s="723"/>
      <c r="G384" s="723"/>
      <c r="H384" s="723"/>
      <c r="I384" s="706"/>
      <c r="J384" s="723"/>
      <c r="K384" s="706"/>
      <c r="L384" s="706"/>
      <c r="M384" s="728"/>
      <c r="N384" s="777"/>
      <c r="O384" s="777"/>
      <c r="P384" s="723"/>
      <c r="Q384" s="729"/>
      <c r="R384" s="779"/>
      <c r="S384" s="780"/>
      <c r="T384" s="723"/>
      <c r="U384" s="697" t="s">
        <v>49</v>
      </c>
      <c r="V384" s="781">
        <f>Table6268934567910[[#This Row],[Offer Value]]-Table6268934567910[[#This Row],[PO Value]]</f>
        <v>0</v>
      </c>
      <c r="W384" s="706"/>
      <c r="X384" s="706"/>
      <c r="Y384" s="782"/>
    </row>
    <row r="385" spans="1:25" ht="15.6">
      <c r="A385" s="768"/>
      <c r="B385" s="769"/>
      <c r="C385" s="770"/>
      <c r="D385" s="769"/>
      <c r="E385" s="770"/>
      <c r="F385" s="770"/>
      <c r="G385" s="770"/>
      <c r="H385" s="770"/>
      <c r="I385" s="769"/>
      <c r="J385" s="771"/>
      <c r="K385" s="772"/>
      <c r="L385" s="769"/>
      <c r="M385" s="773"/>
      <c r="N385" s="777"/>
      <c r="O385" s="777"/>
      <c r="P385" s="777"/>
      <c r="Q385" s="775"/>
      <c r="R385" s="776"/>
      <c r="S385" s="773"/>
      <c r="T385" s="776"/>
      <c r="U385" s="697" t="s">
        <v>49</v>
      </c>
      <c r="V385" s="783">
        <f>Table6268934567910[[#This Row],[Offer Value]]-Table6268934567910[[#This Row],[PO Value]]</f>
        <v>0</v>
      </c>
      <c r="W385" s="769"/>
      <c r="X385" s="769"/>
      <c r="Y385" s="714"/>
    </row>
    <row r="386" spans="1:25" ht="15.6">
      <c r="A386" s="768"/>
      <c r="B386" s="769"/>
      <c r="C386" s="770"/>
      <c r="D386" s="769"/>
      <c r="E386" s="770"/>
      <c r="F386" s="770"/>
      <c r="G386" s="770"/>
      <c r="H386" s="770"/>
      <c r="I386" s="769"/>
      <c r="J386" s="771"/>
      <c r="K386" s="772"/>
      <c r="L386" s="769"/>
      <c r="M386" s="773"/>
      <c r="N386" s="777"/>
      <c r="O386" s="777"/>
      <c r="P386" s="777"/>
      <c r="Q386" s="775"/>
      <c r="R386" s="776"/>
      <c r="S386" s="773"/>
      <c r="T386" s="776"/>
      <c r="U386" s="697" t="s">
        <v>49</v>
      </c>
      <c r="V386" s="783">
        <f>Table6268934567910[[#This Row],[Offer Value]]-Table6268934567910[[#This Row],[PO Value]]</f>
        <v>0</v>
      </c>
      <c r="W386" s="769"/>
      <c r="X386" s="769"/>
      <c r="Y386" s="714"/>
    </row>
    <row r="387" spans="1:25" ht="15.6">
      <c r="A387" s="784"/>
      <c r="B387" s="785"/>
      <c r="C387" s="786"/>
      <c r="D387" s="785"/>
      <c r="E387" s="786"/>
      <c r="F387" s="786"/>
      <c r="G387" s="786"/>
      <c r="H387" s="787"/>
      <c r="I387" s="785"/>
      <c r="J387" s="788"/>
      <c r="K387" s="789"/>
      <c r="L387" s="785"/>
      <c r="M387" s="790"/>
      <c r="N387" s="791"/>
      <c r="O387" s="791"/>
      <c r="P387" s="791"/>
      <c r="Q387" s="792"/>
      <c r="R387" s="793"/>
      <c r="S387" s="790"/>
      <c r="T387" s="793"/>
      <c r="U387" s="697" t="s">
        <v>49</v>
      </c>
      <c r="V387" s="794">
        <f>Table6268934567910[[#This Row],[Offer Value]]-Table6268934567910[[#This Row],[PO Value]]</f>
        <v>0</v>
      </c>
      <c r="W387" s="785"/>
      <c r="X387" s="785"/>
      <c r="Y387" s="795"/>
    </row>
    <row r="388" spans="1:25" ht="15.6">
      <c r="A388" s="784"/>
      <c r="B388" s="785"/>
      <c r="C388" s="786"/>
      <c r="D388" s="785"/>
      <c r="E388" s="786"/>
      <c r="F388" s="786"/>
      <c r="G388" s="786"/>
      <c r="H388" s="786"/>
      <c r="I388" s="785"/>
      <c r="J388" s="788"/>
      <c r="K388" s="789"/>
      <c r="L388" s="785"/>
      <c r="M388" s="790"/>
      <c r="N388" s="791"/>
      <c r="O388" s="791"/>
      <c r="P388" s="791"/>
      <c r="Q388" s="792"/>
      <c r="R388" s="793"/>
      <c r="S388" s="790"/>
      <c r="T388" s="793"/>
      <c r="U388" s="697" t="s">
        <v>49</v>
      </c>
      <c r="V388" s="794">
        <f>Table6268934567910[[#This Row],[Offer Value]]-Table6268934567910[[#This Row],[PO Value]]</f>
        <v>0</v>
      </c>
      <c r="W388" s="785"/>
      <c r="X388" s="785"/>
      <c r="Y388" s="795"/>
    </row>
    <row r="389" spans="1:25" ht="15.6">
      <c r="A389" s="768"/>
      <c r="B389" s="769"/>
      <c r="C389" s="770"/>
      <c r="D389" s="769"/>
      <c r="E389" s="770"/>
      <c r="F389" s="770"/>
      <c r="G389" s="770"/>
      <c r="H389" s="770"/>
      <c r="I389" s="769"/>
      <c r="J389" s="771"/>
      <c r="K389" s="772"/>
      <c r="L389" s="769"/>
      <c r="M389" s="773"/>
      <c r="N389" s="777"/>
      <c r="O389" s="777"/>
      <c r="P389" s="777"/>
      <c r="Q389" s="775"/>
      <c r="R389" s="776"/>
      <c r="S389" s="773"/>
      <c r="T389" s="776"/>
      <c r="U389" s="697"/>
      <c r="V389" s="783">
        <f>Table6268934567910[[#This Row],[Offer Value]]-Table6268934567910[[#This Row],[PO Value]]</f>
        <v>0</v>
      </c>
      <c r="W389" s="769"/>
      <c r="X389" s="769"/>
      <c r="Y389" s="714"/>
    </row>
    <row r="390" spans="1:25" ht="15.6">
      <c r="A390" s="768"/>
      <c r="B390" s="769"/>
      <c r="C390" s="770"/>
      <c r="D390" s="769"/>
      <c r="E390" s="770"/>
      <c r="F390" s="770"/>
      <c r="G390" s="770"/>
      <c r="H390" s="770"/>
      <c r="I390" s="769"/>
      <c r="J390" s="771"/>
      <c r="K390" s="772"/>
      <c r="L390" s="769"/>
      <c r="M390" s="773"/>
      <c r="N390" s="777"/>
      <c r="O390" s="777"/>
      <c r="P390" s="777"/>
      <c r="Q390" s="775"/>
      <c r="R390" s="776"/>
      <c r="S390" s="773"/>
      <c r="T390" s="776"/>
      <c r="U390" s="697"/>
      <c r="V390" s="783">
        <f>Table6268934567910[[#This Row],[Offer Value]]-Table6268934567910[[#This Row],[PO Value]]</f>
        <v>0</v>
      </c>
      <c r="W390" s="769"/>
      <c r="X390" s="769"/>
      <c r="Y390" s="714"/>
    </row>
    <row r="391" spans="1:25">
      <c r="A391" s="877"/>
      <c r="B391" s="878"/>
      <c r="C391" s="879"/>
      <c r="D391" s="877"/>
      <c r="E391" s="879"/>
      <c r="F391" s="879"/>
      <c r="G391" s="879"/>
      <c r="H391" s="879"/>
      <c r="I391" s="877"/>
      <c r="J391" s="879"/>
      <c r="K391" s="877"/>
      <c r="L391" s="877"/>
      <c r="M391" s="880"/>
      <c r="N391" s="881"/>
      <c r="O391" s="881"/>
      <c r="P391" s="879"/>
      <c r="Q391" s="882"/>
      <c r="R391" s="879"/>
      <c r="S391" s="880"/>
    </row>
    <row r="392" spans="1:25">
      <c r="A392" s="877"/>
      <c r="B392" s="878"/>
      <c r="C392" s="879"/>
      <c r="D392" s="877"/>
      <c r="E392" s="879"/>
      <c r="F392" s="879"/>
      <c r="G392" s="879"/>
      <c r="H392" s="879"/>
      <c r="I392" s="877"/>
      <c r="J392" s="879"/>
      <c r="K392" s="877"/>
      <c r="L392" s="877"/>
      <c r="M392" s="880"/>
      <c r="N392" s="881"/>
      <c r="O392" s="881"/>
      <c r="P392" s="879"/>
      <c r="Q392" s="882"/>
      <c r="R392" s="879"/>
      <c r="S392" s="880"/>
    </row>
    <row r="393" spans="1:25">
      <c r="A393" s="877"/>
      <c r="B393" s="878"/>
      <c r="C393" s="879"/>
      <c r="D393" s="877"/>
      <c r="E393" s="879"/>
      <c r="F393" s="879"/>
      <c r="G393" s="879"/>
      <c r="H393" s="879"/>
      <c r="I393" s="877"/>
      <c r="J393" s="879"/>
      <c r="K393" s="877"/>
      <c r="L393" s="877"/>
      <c r="M393" s="880"/>
      <c r="N393" s="881"/>
      <c r="O393" s="881"/>
      <c r="P393" s="879"/>
      <c r="Q393" s="882"/>
      <c r="R393" s="879"/>
      <c r="S393" s="880"/>
      <c r="T393" s="1469"/>
    </row>
    <row r="394" spans="1:25">
      <c r="A394" s="877"/>
      <c r="B394" s="878"/>
      <c r="C394" s="879"/>
      <c r="D394" s="877"/>
      <c r="E394" s="879"/>
      <c r="F394" s="879"/>
      <c r="G394" s="879"/>
      <c r="H394" s="879"/>
      <c r="I394" s="877"/>
      <c r="J394" s="879"/>
      <c r="K394" s="877"/>
      <c r="L394" s="877"/>
      <c r="M394" s="880"/>
      <c r="N394" s="881"/>
      <c r="O394" s="881"/>
      <c r="P394" s="879"/>
      <c r="Q394" s="882"/>
      <c r="R394" s="879"/>
      <c r="S394" s="880"/>
    </row>
    <row r="395" spans="1:25">
      <c r="A395" s="877"/>
      <c r="B395" s="878"/>
      <c r="C395" s="879"/>
      <c r="D395" s="877"/>
      <c r="E395" s="879"/>
      <c r="F395" s="879"/>
      <c r="G395" s="879"/>
      <c r="H395" s="879"/>
      <c r="I395" s="877"/>
      <c r="J395" s="879"/>
      <c r="K395" s="877"/>
      <c r="L395" s="877"/>
      <c r="M395" s="880"/>
      <c r="N395" s="881"/>
      <c r="O395" s="881"/>
      <c r="P395" s="879"/>
      <c r="Q395" s="882"/>
      <c r="R395" s="879"/>
      <c r="S395" s="880"/>
    </row>
    <row r="396" spans="1:25">
      <c r="A396" s="877"/>
      <c r="B396" s="878"/>
      <c r="C396" s="879"/>
      <c r="D396" s="877"/>
      <c r="E396" s="879"/>
      <c r="F396" s="879"/>
      <c r="G396" s="879"/>
      <c r="H396" s="879"/>
      <c r="I396" s="877"/>
      <c r="J396" s="879"/>
      <c r="K396" s="877"/>
      <c r="L396" s="877"/>
      <c r="M396" s="880"/>
      <c r="N396" s="881"/>
      <c r="O396" s="881"/>
      <c r="P396" s="879"/>
      <c r="Q396" s="882"/>
      <c r="R396" s="879"/>
      <c r="S396" s="880"/>
    </row>
    <row r="397" spans="1:25">
      <c r="A397" s="877"/>
      <c r="B397" s="878"/>
      <c r="C397" s="879"/>
      <c r="D397" s="877"/>
      <c r="E397" s="879"/>
      <c r="F397" s="879"/>
      <c r="G397" s="879"/>
      <c r="H397" s="879"/>
      <c r="I397" s="877"/>
      <c r="J397" s="879"/>
      <c r="K397" s="877"/>
      <c r="L397" s="877"/>
      <c r="M397" s="880"/>
      <c r="N397" s="881"/>
      <c r="O397" s="881"/>
      <c r="P397" s="879"/>
      <c r="Q397" s="882"/>
      <c r="R397" s="879"/>
      <c r="S397" s="880"/>
    </row>
    <row r="398" spans="1:25">
      <c r="A398" s="877"/>
      <c r="B398" s="878"/>
      <c r="C398" s="879"/>
      <c r="D398" s="877"/>
      <c r="E398" s="879"/>
      <c r="F398" s="879"/>
      <c r="G398" s="879"/>
      <c r="H398" s="879"/>
      <c r="I398" s="877"/>
      <c r="J398" s="879"/>
      <c r="K398" s="877"/>
      <c r="L398" s="877"/>
      <c r="M398" s="880"/>
      <c r="N398" s="881"/>
      <c r="O398" s="881"/>
      <c r="P398" s="879"/>
      <c r="Q398" s="882"/>
      <c r="R398" s="879"/>
      <c r="S398" s="880"/>
    </row>
    <row r="399" spans="1:25">
      <c r="A399" s="877"/>
      <c r="B399" s="878"/>
      <c r="C399" s="879"/>
      <c r="D399" s="877"/>
      <c r="E399" s="879"/>
      <c r="F399" s="879"/>
      <c r="G399" s="879"/>
      <c r="H399" s="879"/>
      <c r="I399" s="877"/>
      <c r="J399" s="879"/>
      <c r="K399" s="877"/>
      <c r="L399" s="877"/>
      <c r="M399" s="880"/>
      <c r="N399" s="881"/>
      <c r="O399" s="881"/>
      <c r="P399" s="879"/>
      <c r="Q399" s="882"/>
      <c r="R399" s="879"/>
      <c r="S399" s="880"/>
    </row>
    <row r="400" spans="1:25">
      <c r="A400" s="877"/>
      <c r="B400" s="878"/>
      <c r="C400" s="879"/>
      <c r="D400" s="877"/>
      <c r="E400" s="879"/>
      <c r="F400" s="879"/>
      <c r="G400" s="879"/>
      <c r="H400" s="879"/>
      <c r="I400" s="877"/>
      <c r="J400" s="879"/>
      <c r="K400" s="877"/>
      <c r="L400" s="877"/>
      <c r="M400" s="880"/>
      <c r="N400" s="881"/>
      <c r="O400" s="881"/>
      <c r="P400" s="879"/>
      <c r="Q400" s="882"/>
      <c r="R400" s="879"/>
      <c r="S400" s="880"/>
    </row>
    <row r="401" spans="1:19">
      <c r="A401" s="877"/>
      <c r="B401" s="878"/>
      <c r="C401" s="879"/>
      <c r="D401" s="877"/>
      <c r="E401" s="879"/>
      <c r="F401" s="879"/>
      <c r="G401" s="879"/>
      <c r="H401" s="879"/>
      <c r="I401" s="877"/>
      <c r="J401" s="879"/>
      <c r="K401" s="877"/>
      <c r="L401" s="877"/>
      <c r="M401" s="880"/>
      <c r="N401" s="881"/>
      <c r="O401" s="881"/>
      <c r="P401" s="879"/>
      <c r="Q401" s="882"/>
      <c r="R401" s="879"/>
      <c r="S401" s="880"/>
    </row>
    <row r="402" spans="1:19">
      <c r="A402" s="877"/>
      <c r="B402" s="878"/>
      <c r="C402" s="879"/>
      <c r="D402" s="877"/>
      <c r="E402" s="879"/>
      <c r="F402" s="879"/>
      <c r="G402" s="879"/>
      <c r="H402" s="879"/>
      <c r="I402" s="877"/>
      <c r="J402" s="879"/>
      <c r="K402" s="877"/>
      <c r="L402" s="877"/>
      <c r="M402" s="880"/>
      <c r="N402" s="881"/>
      <c r="O402" s="881"/>
      <c r="P402" s="879"/>
      <c r="Q402" s="882"/>
      <c r="R402" s="879"/>
      <c r="S402" s="880"/>
    </row>
    <row r="403" spans="1:19">
      <c r="A403" s="877"/>
      <c r="B403" s="878"/>
      <c r="C403" s="879"/>
      <c r="D403" s="877"/>
      <c r="E403" s="879"/>
      <c r="F403" s="879"/>
      <c r="G403" s="879"/>
      <c r="H403" s="879"/>
      <c r="I403" s="877"/>
      <c r="J403" s="879"/>
      <c r="K403" s="877"/>
      <c r="L403" s="877"/>
      <c r="M403" s="880"/>
      <c r="N403" s="881"/>
      <c r="O403" s="881"/>
      <c r="P403" s="879"/>
      <c r="Q403" s="882"/>
      <c r="R403" s="879"/>
      <c r="S403" s="880"/>
    </row>
    <row r="404" spans="1:19">
      <c r="A404" s="877"/>
      <c r="B404" s="878"/>
      <c r="C404" s="879"/>
      <c r="D404" s="877"/>
      <c r="E404" s="879"/>
      <c r="F404" s="879"/>
      <c r="G404" s="879"/>
      <c r="H404" s="879"/>
      <c r="I404" s="877"/>
      <c r="J404" s="879"/>
      <c r="K404" s="877"/>
      <c r="L404" s="877"/>
      <c r="M404" s="880"/>
      <c r="N404" s="881"/>
      <c r="O404" s="881"/>
      <c r="P404" s="879"/>
      <c r="Q404" s="882"/>
      <c r="R404" s="879"/>
      <c r="S404" s="880"/>
    </row>
    <row r="405" spans="1:19">
      <c r="A405" s="877"/>
      <c r="B405" s="878"/>
      <c r="C405" s="879"/>
      <c r="D405" s="877"/>
      <c r="E405" s="879"/>
      <c r="F405" s="879"/>
      <c r="G405" s="879"/>
      <c r="H405" s="879"/>
      <c r="I405" s="877"/>
      <c r="J405" s="879"/>
      <c r="K405" s="877"/>
      <c r="L405" s="877"/>
      <c r="M405" s="880"/>
      <c r="N405" s="881"/>
      <c r="O405" s="881"/>
      <c r="P405" s="879"/>
      <c r="Q405" s="882"/>
      <c r="R405" s="879"/>
      <c r="S405" s="880"/>
    </row>
    <row r="406" spans="1:19">
      <c r="A406" s="877"/>
      <c r="B406" s="878"/>
      <c r="C406" s="879"/>
      <c r="D406" s="877"/>
      <c r="E406" s="879"/>
      <c r="F406" s="879"/>
      <c r="G406" s="879"/>
      <c r="H406" s="879"/>
      <c r="I406" s="877"/>
      <c r="J406" s="879"/>
      <c r="K406" s="877"/>
      <c r="L406" s="877"/>
      <c r="M406" s="880"/>
      <c r="N406" s="881"/>
      <c r="O406" s="881"/>
      <c r="P406" s="879"/>
      <c r="Q406" s="882"/>
      <c r="R406" s="879"/>
      <c r="S406" s="880"/>
    </row>
    <row r="407" spans="1:19">
      <c r="A407" s="877"/>
      <c r="B407" s="878"/>
      <c r="C407" s="879"/>
      <c r="D407" s="877"/>
      <c r="E407" s="879"/>
      <c r="F407" s="879"/>
      <c r="G407" s="879"/>
      <c r="H407" s="879"/>
      <c r="I407" s="877"/>
      <c r="J407" s="879"/>
      <c r="K407" s="877"/>
      <c r="L407" s="877"/>
      <c r="M407" s="880"/>
      <c r="N407" s="881"/>
      <c r="O407" s="881"/>
      <c r="P407" s="879"/>
      <c r="Q407" s="882"/>
      <c r="R407" s="879"/>
      <c r="S407" s="880"/>
    </row>
    <row r="408" spans="1:19">
      <c r="A408" s="877"/>
      <c r="B408" s="878"/>
      <c r="C408" s="879"/>
      <c r="D408" s="877"/>
      <c r="E408" s="879"/>
      <c r="F408" s="879"/>
      <c r="G408" s="879"/>
      <c r="H408" s="879"/>
      <c r="I408" s="877"/>
      <c r="J408" s="879"/>
      <c r="K408" s="877"/>
      <c r="L408" s="877"/>
      <c r="M408" s="880"/>
      <c r="N408" s="881"/>
      <c r="O408" s="881"/>
      <c r="P408" s="879"/>
      <c r="Q408" s="882"/>
      <c r="R408" s="879"/>
      <c r="S408" s="880"/>
    </row>
    <row r="409" spans="1:19">
      <c r="A409" s="877"/>
      <c r="B409" s="878"/>
      <c r="C409" s="879"/>
      <c r="D409" s="877"/>
      <c r="E409" s="879"/>
      <c r="F409" s="879"/>
      <c r="G409" s="879"/>
      <c r="H409" s="879"/>
      <c r="I409" s="877"/>
      <c r="J409" s="879"/>
      <c r="K409" s="877"/>
      <c r="L409" s="877"/>
      <c r="M409" s="880"/>
      <c r="N409" s="881"/>
      <c r="O409" s="881"/>
      <c r="P409" s="879"/>
      <c r="Q409" s="882"/>
      <c r="R409" s="879"/>
      <c r="S409" s="880"/>
    </row>
    <row r="410" spans="1:19">
      <c r="A410" s="877"/>
      <c r="B410" s="878"/>
      <c r="C410" s="879"/>
      <c r="D410" s="877"/>
      <c r="E410" s="879"/>
      <c r="F410" s="879"/>
      <c r="G410" s="879"/>
      <c r="H410" s="879"/>
      <c r="I410" s="877"/>
      <c r="J410" s="879"/>
      <c r="K410" s="877"/>
      <c r="L410" s="877"/>
      <c r="M410" s="880"/>
      <c r="N410" s="881"/>
      <c r="O410" s="881"/>
      <c r="P410" s="879"/>
      <c r="Q410" s="882"/>
      <c r="R410" s="879"/>
      <c r="S410" s="880"/>
    </row>
    <row r="411" spans="1:19">
      <c r="A411" s="877"/>
      <c r="B411" s="878"/>
      <c r="C411" s="879"/>
      <c r="D411" s="877"/>
      <c r="E411" s="879"/>
      <c r="F411" s="879"/>
      <c r="G411" s="879"/>
      <c r="H411" s="879"/>
      <c r="I411" s="877"/>
      <c r="J411" s="879"/>
      <c r="K411" s="877"/>
      <c r="L411" s="877"/>
      <c r="M411" s="880"/>
      <c r="N411" s="881"/>
      <c r="O411" s="881"/>
      <c r="P411" s="879"/>
      <c r="Q411" s="882"/>
      <c r="R411" s="879"/>
      <c r="S411" s="880"/>
    </row>
    <row r="412" spans="1:19">
      <c r="A412" s="877"/>
      <c r="B412" s="878"/>
      <c r="C412" s="879"/>
      <c r="D412" s="877"/>
      <c r="E412" s="879"/>
      <c r="F412" s="879"/>
      <c r="G412" s="879"/>
      <c r="H412" s="879"/>
      <c r="I412" s="877"/>
      <c r="J412" s="879"/>
      <c r="K412" s="877"/>
      <c r="L412" s="877"/>
      <c r="M412" s="880"/>
      <c r="N412" s="881"/>
      <c r="O412" s="881"/>
      <c r="P412" s="879"/>
      <c r="Q412" s="882"/>
      <c r="R412" s="879"/>
      <c r="S412" s="880"/>
    </row>
    <row r="413" spans="1:19">
      <c r="A413" s="877"/>
      <c r="B413" s="878"/>
      <c r="C413" s="879"/>
      <c r="D413" s="877"/>
      <c r="E413" s="879"/>
      <c r="F413" s="879"/>
      <c r="G413" s="879"/>
      <c r="H413" s="879"/>
      <c r="I413" s="877"/>
      <c r="J413" s="879"/>
      <c r="K413" s="877"/>
      <c r="L413" s="877"/>
      <c r="M413" s="880"/>
      <c r="N413" s="881"/>
      <c r="O413" s="881"/>
      <c r="P413" s="879"/>
      <c r="Q413" s="882"/>
      <c r="R413" s="879"/>
      <c r="S413" s="880"/>
    </row>
    <row r="414" spans="1:19">
      <c r="A414" s="877"/>
      <c r="B414" s="878"/>
      <c r="C414" s="879"/>
      <c r="D414" s="877"/>
      <c r="E414" s="879"/>
      <c r="F414" s="879"/>
      <c r="G414" s="879"/>
      <c r="H414" s="879"/>
      <c r="I414" s="877"/>
      <c r="J414" s="879"/>
      <c r="K414" s="877"/>
      <c r="L414" s="877"/>
      <c r="M414" s="880"/>
      <c r="N414" s="881"/>
      <c r="O414" s="881"/>
      <c r="P414" s="879"/>
      <c r="Q414" s="882"/>
      <c r="R414" s="879"/>
      <c r="S414" s="880"/>
    </row>
    <row r="415" spans="1:19">
      <c r="A415" s="877"/>
      <c r="B415" s="878"/>
      <c r="C415" s="879"/>
      <c r="D415" s="877"/>
      <c r="E415" s="879"/>
      <c r="F415" s="879"/>
      <c r="G415" s="879"/>
      <c r="H415" s="879"/>
      <c r="I415" s="877"/>
      <c r="J415" s="879"/>
      <c r="K415" s="877"/>
      <c r="L415" s="877"/>
      <c r="M415" s="880"/>
      <c r="N415" s="881"/>
      <c r="O415" s="881"/>
      <c r="P415" s="879"/>
      <c r="Q415" s="882"/>
      <c r="R415" s="879"/>
      <c r="S415" s="880"/>
    </row>
    <row r="416" spans="1:19">
      <c r="A416" s="877"/>
      <c r="B416" s="878"/>
      <c r="C416" s="879"/>
      <c r="D416" s="877"/>
      <c r="E416" s="879"/>
      <c r="F416" s="879"/>
      <c r="G416" s="879"/>
      <c r="H416" s="879"/>
      <c r="I416" s="877"/>
      <c r="J416" s="879"/>
      <c r="K416" s="877"/>
      <c r="L416" s="877"/>
      <c r="M416" s="880"/>
      <c r="N416" s="881"/>
      <c r="O416" s="881"/>
      <c r="P416" s="879"/>
      <c r="Q416" s="882"/>
      <c r="R416" s="879"/>
      <c r="S416" s="880"/>
    </row>
    <row r="417" spans="1:19">
      <c r="A417" s="877"/>
      <c r="B417" s="878"/>
      <c r="C417" s="879"/>
      <c r="D417" s="877"/>
      <c r="E417" s="879"/>
      <c r="F417" s="879"/>
      <c r="G417" s="879"/>
      <c r="H417" s="879"/>
      <c r="I417" s="877"/>
      <c r="J417" s="879"/>
      <c r="K417" s="877"/>
      <c r="L417" s="877"/>
      <c r="M417" s="880"/>
      <c r="N417" s="881"/>
      <c r="O417" s="881"/>
      <c r="P417" s="879"/>
      <c r="Q417" s="882"/>
      <c r="R417" s="879"/>
      <c r="S417" s="880"/>
    </row>
    <row r="418" spans="1:19">
      <c r="A418" s="877"/>
      <c r="B418" s="878"/>
      <c r="C418" s="879"/>
      <c r="D418" s="877"/>
      <c r="E418" s="879"/>
      <c r="F418" s="879"/>
      <c r="G418" s="879"/>
      <c r="H418" s="879"/>
      <c r="I418" s="877"/>
      <c r="J418" s="879"/>
      <c r="K418" s="877"/>
      <c r="L418" s="877"/>
      <c r="M418" s="880"/>
      <c r="N418" s="881"/>
      <c r="O418" s="881"/>
      <c r="P418" s="879"/>
      <c r="Q418" s="882"/>
      <c r="R418" s="879"/>
      <c r="S418" s="880"/>
    </row>
    <row r="419" spans="1:19">
      <c r="A419" s="877"/>
      <c r="B419" s="878"/>
      <c r="C419" s="879"/>
      <c r="D419" s="877"/>
      <c r="E419" s="879"/>
      <c r="F419" s="879"/>
      <c r="G419" s="879"/>
      <c r="H419" s="879"/>
      <c r="I419" s="877"/>
      <c r="J419" s="879"/>
      <c r="K419" s="877"/>
      <c r="L419" s="877"/>
      <c r="M419" s="880"/>
      <c r="N419" s="881"/>
      <c r="O419" s="881"/>
      <c r="P419" s="879"/>
      <c r="Q419" s="882"/>
      <c r="R419" s="879"/>
      <c r="S419" s="880"/>
    </row>
    <row r="420" spans="1:19">
      <c r="A420" s="877"/>
      <c r="B420" s="878"/>
      <c r="C420" s="879"/>
      <c r="D420" s="877"/>
      <c r="E420" s="879"/>
      <c r="F420" s="879"/>
      <c r="G420" s="879"/>
      <c r="H420" s="879"/>
      <c r="I420" s="877"/>
      <c r="J420" s="879"/>
      <c r="K420" s="877"/>
      <c r="L420" s="877"/>
      <c r="M420" s="880"/>
      <c r="N420" s="881"/>
      <c r="O420" s="881"/>
      <c r="P420" s="879"/>
      <c r="Q420" s="882"/>
      <c r="R420" s="879"/>
      <c r="S420" s="880"/>
    </row>
    <row r="421" spans="1:19">
      <c r="A421" s="877"/>
      <c r="B421" s="878"/>
      <c r="C421" s="879"/>
      <c r="D421" s="877"/>
      <c r="E421" s="879"/>
      <c r="F421" s="879"/>
      <c r="G421" s="879"/>
      <c r="H421" s="879"/>
      <c r="I421" s="877"/>
      <c r="J421" s="879"/>
      <c r="K421" s="877"/>
      <c r="L421" s="877"/>
      <c r="M421" s="880"/>
      <c r="N421" s="881"/>
      <c r="O421" s="881"/>
      <c r="P421" s="879"/>
      <c r="Q421" s="882"/>
      <c r="R421" s="879"/>
      <c r="S421" s="880"/>
    </row>
    <row r="422" spans="1:19">
      <c r="A422" s="877"/>
      <c r="B422" s="878"/>
      <c r="C422" s="879"/>
      <c r="D422" s="877"/>
      <c r="E422" s="879"/>
      <c r="F422" s="879"/>
      <c r="G422" s="879"/>
      <c r="H422" s="879"/>
      <c r="I422" s="877"/>
      <c r="J422" s="879"/>
      <c r="K422" s="877"/>
      <c r="L422" s="877"/>
      <c r="M422" s="880"/>
      <c r="N422" s="881"/>
      <c r="O422" s="881"/>
      <c r="P422" s="879"/>
      <c r="Q422" s="882"/>
      <c r="R422" s="879"/>
      <c r="S422" s="880"/>
    </row>
    <row r="423" spans="1:19">
      <c r="A423" s="877"/>
      <c r="B423" s="878"/>
      <c r="C423" s="879"/>
      <c r="D423" s="877"/>
      <c r="E423" s="879"/>
      <c r="F423" s="879"/>
      <c r="G423" s="879"/>
      <c r="H423" s="879"/>
      <c r="I423" s="877"/>
      <c r="J423" s="879"/>
      <c r="K423" s="877"/>
      <c r="L423" s="877"/>
      <c r="M423" s="880"/>
      <c r="N423" s="881"/>
      <c r="O423" s="881"/>
      <c r="P423" s="879"/>
      <c r="Q423" s="882"/>
      <c r="R423" s="879"/>
      <c r="S423" s="880"/>
    </row>
    <row r="424" spans="1:19">
      <c r="A424" s="877"/>
      <c r="B424" s="878"/>
      <c r="C424" s="879"/>
      <c r="D424" s="877"/>
      <c r="E424" s="879"/>
      <c r="F424" s="879"/>
      <c r="G424" s="879"/>
      <c r="H424" s="879"/>
      <c r="I424" s="877"/>
      <c r="J424" s="879"/>
      <c r="K424" s="877"/>
      <c r="L424" s="877"/>
      <c r="M424" s="880"/>
      <c r="N424" s="881"/>
      <c r="O424" s="881"/>
      <c r="P424" s="879"/>
      <c r="Q424" s="882"/>
      <c r="R424" s="879"/>
      <c r="S424" s="880"/>
    </row>
    <row r="425" spans="1:19">
      <c r="A425" s="877"/>
      <c r="B425" s="878"/>
      <c r="C425" s="879"/>
      <c r="D425" s="877"/>
      <c r="E425" s="879"/>
      <c r="F425" s="879"/>
      <c r="G425" s="879"/>
      <c r="H425" s="879"/>
      <c r="I425" s="877"/>
      <c r="J425" s="879"/>
      <c r="K425" s="877"/>
      <c r="L425" s="877"/>
      <c r="M425" s="880"/>
      <c r="N425" s="881"/>
      <c r="O425" s="881"/>
      <c r="P425" s="879"/>
      <c r="Q425" s="882"/>
      <c r="R425" s="879"/>
      <c r="S425" s="880"/>
    </row>
    <row r="426" spans="1:19">
      <c r="A426" s="877"/>
      <c r="B426" s="878"/>
      <c r="C426" s="879"/>
      <c r="D426" s="877"/>
      <c r="E426" s="879"/>
      <c r="F426" s="879"/>
      <c r="G426" s="879"/>
      <c r="H426" s="879"/>
      <c r="I426" s="877"/>
      <c r="J426" s="879"/>
      <c r="K426" s="877"/>
      <c r="L426" s="877"/>
      <c r="M426" s="880"/>
      <c r="N426" s="881"/>
      <c r="O426" s="881"/>
      <c r="P426" s="879"/>
      <c r="Q426" s="882"/>
      <c r="R426" s="879"/>
      <c r="S426" s="880"/>
    </row>
    <row r="427" spans="1:19">
      <c r="A427" s="877"/>
      <c r="B427" s="878"/>
      <c r="C427" s="879"/>
      <c r="D427" s="877"/>
      <c r="E427" s="879"/>
      <c r="F427" s="879"/>
      <c r="G427" s="879"/>
      <c r="H427" s="879"/>
      <c r="I427" s="877"/>
      <c r="J427" s="879"/>
      <c r="K427" s="877"/>
      <c r="L427" s="877"/>
      <c r="M427" s="880"/>
      <c r="N427" s="881"/>
      <c r="O427" s="881"/>
      <c r="P427" s="879"/>
      <c r="Q427" s="882"/>
      <c r="R427" s="879"/>
      <c r="S427" s="880"/>
    </row>
    <row r="428" spans="1:19">
      <c r="A428" s="877"/>
      <c r="B428" s="878"/>
      <c r="C428" s="879"/>
      <c r="D428" s="877"/>
      <c r="E428" s="879"/>
      <c r="F428" s="879"/>
      <c r="G428" s="879"/>
      <c r="H428" s="879"/>
      <c r="I428" s="877"/>
      <c r="J428" s="879"/>
      <c r="K428" s="877"/>
      <c r="L428" s="877"/>
      <c r="M428" s="880"/>
      <c r="N428" s="881"/>
      <c r="O428" s="881"/>
      <c r="P428" s="879"/>
      <c r="Q428" s="882"/>
      <c r="R428" s="879"/>
      <c r="S428" s="880"/>
    </row>
    <row r="429" spans="1:19">
      <c r="A429" s="877"/>
      <c r="B429" s="878"/>
      <c r="C429" s="879"/>
      <c r="D429" s="877"/>
      <c r="E429" s="879"/>
      <c r="F429" s="879"/>
      <c r="G429" s="879"/>
      <c r="H429" s="879"/>
      <c r="I429" s="877"/>
      <c r="J429" s="879"/>
      <c r="K429" s="877"/>
      <c r="L429" s="877"/>
      <c r="M429" s="880"/>
      <c r="N429" s="881"/>
      <c r="O429" s="881"/>
      <c r="P429" s="879"/>
      <c r="Q429" s="882"/>
      <c r="R429" s="879"/>
      <c r="S429" s="880"/>
    </row>
    <row r="430" spans="1:19">
      <c r="A430" s="877"/>
      <c r="B430" s="878"/>
      <c r="C430" s="879"/>
      <c r="D430" s="877"/>
      <c r="E430" s="879"/>
      <c r="F430" s="879"/>
      <c r="G430" s="879"/>
      <c r="H430" s="879"/>
      <c r="I430" s="877"/>
      <c r="J430" s="879"/>
      <c r="K430" s="877"/>
      <c r="L430" s="877"/>
      <c r="M430" s="880"/>
      <c r="N430" s="881"/>
      <c r="O430" s="881"/>
      <c r="P430" s="879"/>
      <c r="Q430" s="882"/>
      <c r="R430" s="879"/>
      <c r="S430" s="880"/>
    </row>
  </sheetData>
  <protectedRanges>
    <protectedRange algorithmName="SHA-512" hashValue="gZNXA0xZZvTr4mVrHIcpl3r4WknbgyiSuZM8Zwe6fcCo6m50g+9tuYL4OsRqTmMCamLLkXw2Bc4O6xBZbTITuA==" saltValue="Pwr0R4fjAsfkJJiQFB5rBQ==" spinCount="100000" sqref="T1:U3 T4:T6 AA316:AB317 A320:T1048576 Z318:AB1048576 AC1:AE16 Y108:Y109 T7:U29 V60:AB107 AC154:XFD1048576 Z154:AB315 AC60:XFD123 AC20:AE55 AF1:XFD55 V1:AB55 V56:XFD59 Z108:AB123 F153:I236 F237:H247 F248:I259 Z124:XFD153 Y111:Y305 V108:X305 A153:E259 A260:I262 T30:T99 A263:S264 A265:T265 V306:Y306 U307:Y1048576 J153:M161 A141:M152 N141:T161 T162:T264 J162:S262 A100:T140 U30:U306 A1:S99 T266:T318 A266:S319" name="Range1"/>
  </protectedRanges>
  <autoFilter ref="Z7:AA19" xr:uid="{5098316E-2AD1-44A4-8939-AF69D910E0C9}"/>
  <mergeCells count="4">
    <mergeCell ref="Z6:AA6"/>
    <mergeCell ref="T4:U4"/>
    <mergeCell ref="T5:U5"/>
    <mergeCell ref="T6:U6"/>
  </mergeCells>
  <phoneticPr fontId="43" type="noConversion"/>
  <conditionalFormatting sqref="Z306">
    <cfRule type="duplicateValues" dxfId="72" priority="2"/>
  </conditionalFormatting>
  <dataValidations count="2">
    <dataValidation type="list" allowBlank="1" showInputMessage="1" showErrorMessage="1" error="Do not Enter any other text except Month" sqref="T371:T372 T374:T383" xr:uid="{681EF060-A0D0-4A09-AB48-D248AABBDF26}">
      <formula1>#REF!</formula1>
    </dataValidation>
    <dataValidation type="custom" allowBlank="1" showInputMessage="1" showErrorMessage="1" errorTitle="Error" error="Entered data format is wrong" promptTitle="Enter Date format : 01/10/2021 " sqref="B371:B624" xr:uid="{844AC8BE-85E2-4D28-BE69-F9D8502118E2}">
      <formula1>AND(ISNUMBER(B371),LEFT(CELL("format",B371),1)="D")</formula1>
    </dataValidation>
  </dataValidations>
  <hyperlinks>
    <hyperlink ref="H10" r:id="rId1" xr:uid="{F94B0141-6549-48CE-A84C-590E875FEEBE}"/>
    <hyperlink ref="H13" r:id="rId2" xr:uid="{F44DC198-B26B-46F9-AC11-414EA509F762}"/>
    <hyperlink ref="H15" r:id="rId3" xr:uid="{FC8A4295-0530-40C7-AE32-29E9A57A05ED}"/>
    <hyperlink ref="H16" r:id="rId4" xr:uid="{9842A116-B945-4151-B063-C014F2977FCC}"/>
    <hyperlink ref="H17" r:id="rId5" xr:uid="{46B4A192-9939-41C4-833B-08221EA65751}"/>
    <hyperlink ref="H120" r:id="rId6" xr:uid="{EF66D8D8-7617-43F0-B295-A2DE82677A67}"/>
    <hyperlink ref="H18" r:id="rId7" xr:uid="{988F081D-1C61-4D5F-86DE-AAF06548DE0A}"/>
    <hyperlink ref="H19" r:id="rId8" xr:uid="{B2543623-DB34-4AE5-A47D-5E7D760DCF0B}"/>
    <hyperlink ref="H257" r:id="rId9" xr:uid="{F3685BF6-D6AF-4A83-A7CA-506869491666}"/>
    <hyperlink ref="H20" r:id="rId10" xr:uid="{8266916F-8CB2-468A-BE75-03594E7CD28B}"/>
    <hyperlink ref="H21" r:id="rId11" xr:uid="{1B9D4B92-B8AC-42CB-AAFD-82D10B3A8A42}"/>
    <hyperlink ref="H139" r:id="rId12" xr:uid="{87F85A2C-3D6A-4FFE-AC58-EB06D88903AA}"/>
    <hyperlink ref="H23" r:id="rId13" xr:uid="{1BC95336-CA42-4572-A76F-F4535A899C8F}"/>
    <hyperlink ref="H179" r:id="rId14" xr:uid="{C3309FCD-07A8-4126-B987-88275C4F1E77}"/>
    <hyperlink ref="H180" r:id="rId15" xr:uid="{07924CD8-61D1-403F-8726-A1DE84834357}"/>
    <hyperlink ref="H181" r:id="rId16" xr:uid="{B7510302-4622-450C-BD06-B2F4F8C7F874}"/>
    <hyperlink ref="H182" r:id="rId17" xr:uid="{000B546F-73EC-461C-ACF8-E0C443AB901D}"/>
    <hyperlink ref="H183" r:id="rId18" xr:uid="{A1760780-15C2-4F45-9638-91AB528A7CB7}"/>
    <hyperlink ref="H184" r:id="rId19" xr:uid="{E79D05B7-1F85-4354-94C5-A2C1E79E72C5}"/>
    <hyperlink ref="H185" r:id="rId20" xr:uid="{FCA0AEA1-A037-4076-9481-029D65847DFA}"/>
    <hyperlink ref="H186" r:id="rId21" xr:uid="{F3368FBE-E44E-489C-B42D-83D8E5174D8C}"/>
    <hyperlink ref="H187" r:id="rId22" xr:uid="{62B779F2-0B1E-4BF4-9A60-9CDF7319890B}"/>
    <hyperlink ref="H26" r:id="rId23" xr:uid="{E0C9351A-0AAC-46C9-A061-FC3023BC48CF}"/>
    <hyperlink ref="H236" r:id="rId24" xr:uid="{AD194A7E-E451-4B99-B13A-44BF1FCCC12A}"/>
    <hyperlink ref="H28" r:id="rId25" xr:uid="{8D8F9AF2-00C1-4AA0-9B0E-156E383F060A}"/>
    <hyperlink ref="H131" r:id="rId26" xr:uid="{633C71C4-4DB2-414E-9F29-8E462A538D2E}"/>
    <hyperlink ref="H132" r:id="rId27" xr:uid="{E6197793-F4F7-496B-A8CC-CBF02099454C}"/>
    <hyperlink ref="H29" r:id="rId28" xr:uid="{842AB882-55AC-42C3-A465-DE76300B6813}"/>
    <hyperlink ref="H38" r:id="rId29" xr:uid="{5F17DEDB-B49D-4517-9223-C48612FF3FE4}"/>
    <hyperlink ref="H39" r:id="rId30" display="mailto:gangegowda_dn@sansera.in" xr:uid="{F33C5F0C-068D-4533-BE9C-C66A462AD9B8}"/>
    <hyperlink ref="H41" r:id="rId31" xr:uid="{4C2927BC-5498-4B76-A17B-55FC75B8DF53}"/>
    <hyperlink ref="H42" r:id="rId32" xr:uid="{F1B739EB-85A9-4E99-8E38-2C276C18F196}"/>
    <hyperlink ref="H43" r:id="rId33" xr:uid="{1DDED85C-39B8-4BD2-92D6-B6DEC527F54A}"/>
    <hyperlink ref="H137" r:id="rId34" xr:uid="{FBCB5C25-D060-43D7-8934-994C52D520D8}"/>
    <hyperlink ref="H138" r:id="rId35" xr:uid="{D011898B-46BE-477F-91A7-49A03E96B20D}"/>
    <hyperlink ref="H45" r:id="rId36" xr:uid="{ACFDCAAC-9E5E-45C7-B78F-B624B5DEB9C7}"/>
    <hyperlink ref="H224" r:id="rId37" xr:uid="{59632D5B-A259-44A7-9CB2-0ABC6B9D2151}"/>
    <hyperlink ref="H225" r:id="rId38" xr:uid="{9ACB5DAA-0793-4446-B47C-4E05F017147D}"/>
    <hyperlink ref="H226" r:id="rId39" xr:uid="{9C7705E3-B127-4C54-852B-B8D0076F54D2}"/>
    <hyperlink ref="H46" r:id="rId40" xr:uid="{EB495E04-4061-4E95-BDCD-17FAF2165F87}"/>
    <hyperlink ref="H237" r:id="rId41" xr:uid="{E4067128-EF96-4247-A5B4-07295E157D48}"/>
    <hyperlink ref="H47" r:id="rId42" xr:uid="{DA0D0AAA-6CDF-4BB5-88CA-A9142ED3CD4D}"/>
    <hyperlink ref="H48" r:id="rId43" xr:uid="{02EFE9CD-D329-4FF4-8D0F-C62DC783BD21}"/>
    <hyperlink ref="H49" r:id="rId44" xr:uid="{D5C95D39-DB2B-48A1-83DC-BED79179ADA5}"/>
    <hyperlink ref="H52" r:id="rId45" xr:uid="{2F103F7D-FAA7-4FA9-A8E5-819FFD817AB8}"/>
    <hyperlink ref="H57" r:id="rId46" xr:uid="{624D97FF-95B5-4554-8172-818F4CBA4728}"/>
    <hyperlink ref="H59" r:id="rId47" xr:uid="{2A7B473D-4785-4FDB-86B9-2423C0AB3957}"/>
    <hyperlink ref="H64" r:id="rId48" display="mailto:shashikumar.s@honda2wheelersindia.com" xr:uid="{B53D5276-E31C-4B4D-BCBA-C86DECB2A176}"/>
    <hyperlink ref="H238" r:id="rId49" display="mailto:shashikumar.s@honda2wheelersindia.com" xr:uid="{0AC492F0-DB93-4624-8E9C-C25A6ED84631}"/>
    <hyperlink ref="H67" r:id="rId50" xr:uid="{F7FD3FFC-C2BE-4765-B73D-B38B98E164EB}"/>
    <hyperlink ref="H70" r:id="rId51" xr:uid="{D9D49CA4-EAFB-4F6C-B913-8B7F09B20070}"/>
    <hyperlink ref="H71" r:id="rId52" xr:uid="{EFCAB87E-851E-43B8-865D-1D2F08EC0FA6}"/>
    <hyperlink ref="H72" r:id="rId53" xr:uid="{1E6AD76B-B55C-4D1E-B3EF-2B40AC7ED1C7}"/>
    <hyperlink ref="H82" r:id="rId54" xr:uid="{1E9C144A-D646-4A3D-BC8B-E10515208053}"/>
    <hyperlink ref="H83" r:id="rId55" xr:uid="{933E3CE5-D4E9-4B9E-B1F8-0705E42325BF}"/>
    <hyperlink ref="H86" r:id="rId56" xr:uid="{2FF6398A-E0F1-4F2B-9597-EFEE4FBC2A11}"/>
    <hyperlink ref="H89" r:id="rId57" xr:uid="{013CCA1E-809D-4AD0-966F-252E0EDBB737}"/>
    <hyperlink ref="H93" r:id="rId58" display="mailto:govinjis@schaeffler.com%20·" xr:uid="{7487B344-7197-4CF9-8A7B-A9EB9F02503B}"/>
    <hyperlink ref="H94" r:id="rId59" display="mailto:govinjis@schaeffler.com%20·" xr:uid="{AEE2AD36-6D44-42C3-BAF4-97EE258BB676}"/>
    <hyperlink ref="H95" r:id="rId60" xr:uid="{84F2417C-4A72-4A2D-AD17-400954B09ACA}"/>
    <hyperlink ref="H98" r:id="rId61" xr:uid="{2B02A4E1-F83D-40B2-8D33-C0CB20CF107B}"/>
    <hyperlink ref="H103" r:id="rId62" xr:uid="{EA1F8388-1093-4F2B-B6B5-4DEBA0E063AE}"/>
    <hyperlink ref="H116" r:id="rId63" xr:uid="{E2DB8A22-8CBB-48B8-82E5-76E3AB76896D}"/>
    <hyperlink ref="H267" r:id="rId64" xr:uid="{D62CF1C3-7ED8-4CB4-8C2E-E554808B28C2}"/>
    <hyperlink ref="H268" r:id="rId65" xr:uid="{5ABED8D5-1D83-46CD-9854-5318E5A55170}"/>
  </hyperlinks>
  <pageMargins left="0.7" right="0.7" top="0.75" bottom="0.75" header="0.3" footer="0.3"/>
  <pageSetup orientation="portrait" r:id="rId66"/>
  <legacyDrawing r:id="rId67"/>
  <tableParts count="1">
    <tablePart r:id="rId68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error="Select From Drop Down" xr:uid="{50DA0E19-37C1-461D-BE92-C19E6CE260EF}">
          <x14:formula1>
            <xm:f>Location!$B$2:$B$126</xm:f>
          </x14:formula1>
          <xm:sqref>R306</xm:sqref>
        </x14:dataValidation>
        <x14:dataValidation type="list" allowBlank="1" showInputMessage="1" showErrorMessage="1" error="Select From Drop Down" xr:uid="{BED04C55-EEE4-402A-9C6C-4AC0EA4985F1}">
          <x14:formula1>
            <xm:f>'Month Prod Names'!$B$4:$B$15</xm:f>
          </x14:formula1>
          <xm:sqref>AC306:AD306</xm:sqref>
        </x14:dataValidation>
        <x14:dataValidation type="list" allowBlank="1" showInputMessage="1" showErrorMessage="1" error="Select from drop down" xr:uid="{7270BE3C-ACBE-4B0A-9351-4B373CC99E0A}">
          <x14:formula1>
            <xm:f>'Month Prod Names'!$J$4:$J$5</xm:f>
          </x14:formula1>
          <xm:sqref>Y306</xm:sqref>
        </x14:dataValidation>
        <x14:dataValidation type="list" allowBlank="1" showInputMessage="1" showErrorMessage="1" error="Select From Drop Down" xr:uid="{720FF168-5C9A-4E89-82A3-E3FBBC751C3C}">
          <x14:formula1>
            <xm:f>'Machine Serial Numbers'!$A$2:$A$1700</xm:f>
          </x14:formula1>
          <xm:sqref>W306</xm:sqref>
        </x14:dataValidation>
        <x14:dataValidation type="list" allowBlank="1" showInputMessage="1" showErrorMessage="1" xr:uid="{7D3F5866-E17F-4B50-B98E-25130145AAEC}">
          <x14:formula1>
            <xm:f>'Month Prod Names'!$D$4:$D$385</xm:f>
          </x14:formula1>
          <xm:sqref>X306</xm:sqref>
        </x14:dataValidation>
        <x14:dataValidation type="list" allowBlank="1" showInputMessage="1" showErrorMessage="1" error="Select From Drop Down" xr:uid="{B48D98C0-10F6-425E-B4F4-D027CB576BA7}">
          <x14:formula1>
            <xm:f>Location!$B$2:$B$1260</xm:f>
          </x14:formula1>
          <xm:sqref>D1:D31 D137:D140 D107:D108 D116:D135 D110:D114 D56:D59 D143:D186 D188:D265 D267:D1048576</xm:sqref>
        </x14:dataValidation>
        <x14:dataValidation type="list" allowBlank="1" showInputMessage="1" showErrorMessage="1" error="Select From Drop Down" xr:uid="{DB7F1A4F-3D8F-453E-A6CE-6E7D99600671}">
          <x14:formula1>
            <xm:f>'Machine Serial Numbers'!$A$2:$A$17000</xm:f>
          </x14:formula1>
          <xm:sqref>I1:I31 I56:I58 I107:I108 I132:I133 I136 I160 I116:I127 I110:I114 I177:I178 I184:I186 I189 I191 I194:I196 I199 I236 I143:I157 I264:I265 I267:I1048576</xm:sqref>
        </x14:dataValidation>
        <x14:dataValidation type="list" allowBlank="1" showInputMessage="1" showErrorMessage="1" xr:uid="{61BF5BDA-182B-4D96-A4F1-5B0385362824}">
          <x14:formula1>
            <xm:f>'Month Prod Names'!$D$4:$D$3850</xm:f>
          </x14:formula1>
          <xm:sqref>J1:J31 J101 J107:J108 J110:J114 J56:J59 J116:J186 J188:J1048576</xm:sqref>
        </x14:dataValidation>
        <x14:dataValidation type="list" allowBlank="1" showInputMessage="1" showErrorMessage="1" xr:uid="{505EC203-E93B-427C-A18E-013C70AC274A}">
          <x14:formula1>
            <xm:f>'Month Prod Names'!$J$4:$J$7</xm:f>
          </x14:formula1>
          <xm:sqref>K1:K31 K101 K107:K108 K110:K114 K56:K59 K116:K186 K188:K1048576</xm:sqref>
        </x14:dataValidation>
        <x14:dataValidation type="list" allowBlank="1" showInputMessage="1" showErrorMessage="1" error="Select From Drop Down" xr:uid="{2618B499-AFCE-4ECA-9944-9D513E8270A4}">
          <x14:formula1>
            <xm:f>'Month Prod Names'!$B$4:$B$150</xm:f>
          </x14:formula1>
          <xm:sqref>O1:O31 W8:W31 U101 O101:O103 O107:O108 U1:U59 O56:O85 P143:P145 P177 O184:P185 P194 O110:O183 U107:U156 U391:U1048576 O186:O1048576</xm:sqref>
        </x14:dataValidation>
        <x14:dataValidation type="list" allowBlank="1" showInputMessage="1" showErrorMessage="1" xr:uid="{F4C1C102-FA0B-4441-AE38-FA5C503408BB}">
          <x14:formula1>
            <xm:f>'Month Prod Names'!$B$4:$B$18</xm:f>
          </x14:formula1>
          <xm:sqref>P1:P31 P34:P36 P101:P103 P107:P108 P50:P59 P178:P183 P186:P193 P110:P142 P146:P176 U100 U157:U390 P195:P1048576</xm:sqref>
        </x14:dataValidation>
        <x14:dataValidation type="list" allowBlank="1" showInputMessage="1" showErrorMessage="1" xr:uid="{F0DC4951-DFD7-4FC3-87AC-2421FC3D8F18}">
          <x14:formula1>
            <xm:f>'Month Prod Names'!$K$4:$K$20</xm:f>
          </x14:formula1>
          <xm:sqref>Q1:Q31 Q101 Q107:Q108 Q56:Q59 Q110:Q1048576</xm:sqref>
        </x14:dataValidation>
        <x14:dataValidation type="list" allowBlank="1" showInputMessage="1" showErrorMessage="1" error="Select From Drop Down" xr:uid="{9B464967-7E65-4B20-8BA1-7D3F7CD69FCF}">
          <x14:formula1>
            <xm:f>Customer!$B$2:$B$2391</xm:f>
          </x14:formula1>
          <xm:sqref>C1:C31 C137:C140 C143:C178 C184:C186 C59 C110:C114 C116:C135 C107:C108 C188:C265 C267:C1048576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AEB3-13F5-4E9F-B7D4-29893B41A7BC}">
  <dimension ref="A1:AG459"/>
  <sheetViews>
    <sheetView topLeftCell="A2" zoomScale="85" zoomScaleNormal="85" zoomScalePageLayoutView="80" workbookViewId="0">
      <pane ySplit="5" topLeftCell="A371" activePane="bottomLeft" state="frozen"/>
      <selection activeCell="A2" sqref="A2"/>
      <selection pane="bottomLeft" activeCell="C382" sqref="C382"/>
    </sheetView>
  </sheetViews>
  <sheetFormatPr defaultRowHeight="21.75" customHeight="1"/>
  <cols>
    <col min="1" max="1" width="6.5546875" customWidth="1"/>
    <col min="2" max="2" width="15.5546875" style="262" customWidth="1"/>
    <col min="3" max="3" width="36.5546875" style="2" customWidth="1"/>
    <col min="4" max="4" width="22.33203125" style="2" customWidth="1"/>
    <col min="5" max="5" width="18.5546875" style="2" customWidth="1"/>
    <col min="6" max="7" width="19.44140625" style="2" customWidth="1"/>
    <col min="8" max="8" width="45" style="2" customWidth="1"/>
    <col min="9" max="9" width="14.6640625" style="2" customWidth="1"/>
    <col min="10" max="10" width="20" style="2" customWidth="1"/>
    <col min="11" max="11" width="8.5546875" style="2" customWidth="1"/>
    <col min="12" max="12" width="33.33203125" style="2" customWidth="1"/>
    <col min="13" max="13" width="13.44140625" style="262" customWidth="1"/>
    <col min="14" max="14" width="12.33203125" style="214" customWidth="1"/>
    <col min="15" max="15" width="15.5546875" style="87" customWidth="1"/>
    <col min="16" max="16" width="14.44140625" style="2" customWidth="1"/>
    <col min="17" max="17" width="15" style="278" customWidth="1"/>
    <col min="18" max="18" width="26.5546875" style="2" customWidth="1"/>
    <col min="19" max="19" width="26.6640625" style="267" customWidth="1"/>
    <col min="20" max="20" width="12.44140625" style="2" customWidth="1"/>
    <col min="21" max="21" width="27.5546875" style="2" bestFit="1" customWidth="1"/>
    <col min="22" max="22" width="22" style="268" bestFit="1" customWidth="1"/>
    <col min="23" max="23" width="59.6640625" style="2" customWidth="1"/>
    <col min="24" max="24" width="15.44140625" style="1" customWidth="1"/>
    <col min="25" max="25" width="19.5546875" style="2" customWidth="1"/>
    <col min="26" max="26" width="16.44140625" style="2" customWidth="1"/>
    <col min="27" max="28" width="14.44140625" customWidth="1"/>
    <col min="29" max="29" width="20.44140625" bestFit="1" customWidth="1"/>
    <col min="30" max="30" width="16.44140625" customWidth="1"/>
    <col min="31" max="31" width="18.5546875" bestFit="1" customWidth="1"/>
    <col min="32" max="32" width="15.5546875" customWidth="1"/>
    <col min="33" max="33" width="28.5546875" bestFit="1" customWidth="1"/>
  </cols>
  <sheetData>
    <row r="1" spans="1:33" ht="21.75" customHeight="1" thickBot="1"/>
    <row r="2" spans="1:33" ht="33.75" customHeight="1" thickBot="1">
      <c r="A2" s="82" t="s">
        <v>2900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676"/>
      <c r="N2" s="213"/>
      <c r="O2" s="263"/>
      <c r="P2" s="263"/>
      <c r="Q2" s="263"/>
      <c r="R2" s="263"/>
      <c r="S2" s="263"/>
      <c r="T2" s="263"/>
      <c r="U2" s="263"/>
      <c r="V2" s="263"/>
      <c r="W2" s="263"/>
      <c r="X2" s="83"/>
      <c r="Y2" s="328"/>
      <c r="Z2" s="101"/>
      <c r="AC2" s="443" t="s">
        <v>99</v>
      </c>
      <c r="AD2" s="443"/>
      <c r="AE2" s="443"/>
    </row>
    <row r="3" spans="1:33" ht="18" customHeight="1" thickBot="1">
      <c r="J3" s="87"/>
      <c r="K3" s="87"/>
      <c r="L3" s="87"/>
      <c r="M3" s="677"/>
      <c r="P3" s="87"/>
      <c r="Q3" s="97"/>
      <c r="R3" s="87"/>
      <c r="S3" s="101"/>
      <c r="T3" s="87"/>
      <c r="U3" s="269" t="s">
        <v>104</v>
      </c>
      <c r="V3" s="270">
        <f>SUM(N7:N404)</f>
        <v>91776693</v>
      </c>
      <c r="W3" s="271"/>
      <c r="X3" s="4"/>
      <c r="Y3" s="271"/>
      <c r="Z3" s="271"/>
      <c r="AC3" s="6" t="s">
        <v>22</v>
      </c>
      <c r="AD3" s="6" t="s">
        <v>101</v>
      </c>
      <c r="AE3" s="6" t="s">
        <v>102</v>
      </c>
      <c r="AF3" s="863" t="s">
        <v>2</v>
      </c>
      <c r="AG3" s="994" t="s">
        <v>103</v>
      </c>
    </row>
    <row r="4" spans="1:33" ht="48.75" customHeight="1" thickBot="1">
      <c r="A4" s="299" t="s">
        <v>105</v>
      </c>
      <c r="B4" s="264">
        <f>COUNTA(B7:B11000)</f>
        <v>142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677"/>
      <c r="O4" s="90"/>
      <c r="P4" s="90"/>
      <c r="Q4" s="97"/>
      <c r="R4" s="90"/>
      <c r="S4" s="101"/>
      <c r="T4" s="90"/>
      <c r="U4" s="272" t="s">
        <v>54</v>
      </c>
      <c r="V4" s="273">
        <f>SUM(T7:T404)</f>
        <v>41529008.800000004</v>
      </c>
      <c r="W4" s="274"/>
      <c r="X4" s="21"/>
      <c r="Y4" s="271"/>
      <c r="Z4" s="274"/>
      <c r="AC4" s="450" t="s">
        <v>7</v>
      </c>
      <c r="AD4" s="451">
        <f>SUMIF($O$7:$O$404,"January",$N$7:$N$404)</f>
        <v>5794026</v>
      </c>
      <c r="AE4" s="451">
        <f>SUMIF($U$7:$U$404,"January",$T$7:$T$404)</f>
        <v>6713668.8399999999</v>
      </c>
      <c r="AF4" s="864">
        <f>SUMIF($P$7:$P$427,"January",$N$7:$N$427)</f>
        <v>7571820</v>
      </c>
      <c r="AG4" s="995">
        <f>AF4-AE4</f>
        <v>858151.16000000015</v>
      </c>
    </row>
    <row r="5" spans="1:33" ht="30" customHeight="1" thickBot="1">
      <c r="A5" s="91"/>
      <c r="B5" s="265"/>
      <c r="C5" s="88"/>
      <c r="D5" s="88"/>
      <c r="E5" s="88"/>
      <c r="F5" s="88"/>
      <c r="G5" s="88"/>
      <c r="H5" s="88"/>
      <c r="I5" s="88"/>
      <c r="J5" s="89"/>
      <c r="K5" s="89"/>
      <c r="L5" s="89"/>
      <c r="M5" s="677"/>
      <c r="N5" s="215"/>
      <c r="O5" s="90"/>
      <c r="P5" s="90"/>
      <c r="Q5" s="97"/>
      <c r="R5" s="90"/>
      <c r="S5" s="101"/>
      <c r="T5" s="90"/>
      <c r="U5" s="272" t="s">
        <v>13</v>
      </c>
      <c r="V5" s="273">
        <f>SUM(V7:V404)</f>
        <v>30029498</v>
      </c>
      <c r="W5" s="275"/>
      <c r="X5" s="22"/>
      <c r="Y5" s="199" t="s">
        <v>106</v>
      </c>
      <c r="Z5" s="3483"/>
      <c r="AA5" s="3483"/>
      <c r="AB5" s="336"/>
      <c r="AC5" s="450" t="s">
        <v>18</v>
      </c>
      <c r="AD5" s="451">
        <f>SUMIF($O$7:$O$404,"February",$N$7:$N$404)</f>
        <v>6148784</v>
      </c>
      <c r="AE5" s="451">
        <f>SUMIF($U$7:$U$404,"February",$T$7:$T$404)</f>
        <v>1745368.56</v>
      </c>
      <c r="AF5" s="864">
        <f>SUMIF($P$7:$P$427,"February",$N$7:$N$427)</f>
        <v>4397978</v>
      </c>
      <c r="AG5" s="995">
        <f t="shared" ref="AG5:AG15" si="0">AF5-AE5</f>
        <v>2652609.44</v>
      </c>
    </row>
    <row r="6" spans="1:33" ht="27.75" customHeight="1">
      <c r="A6" s="134" t="s">
        <v>107</v>
      </c>
      <c r="B6" s="266" t="s">
        <v>108</v>
      </c>
      <c r="C6" s="266" t="s">
        <v>109</v>
      </c>
      <c r="D6" s="266" t="s">
        <v>110</v>
      </c>
      <c r="E6" s="266" t="s">
        <v>111</v>
      </c>
      <c r="F6" s="266" t="s">
        <v>112</v>
      </c>
      <c r="G6" s="266" t="s">
        <v>113</v>
      </c>
      <c r="H6" s="266" t="s">
        <v>114</v>
      </c>
      <c r="I6" s="276" t="s">
        <v>115</v>
      </c>
      <c r="J6" s="266" t="s">
        <v>116</v>
      </c>
      <c r="K6" s="266" t="s">
        <v>117</v>
      </c>
      <c r="L6" s="266" t="s">
        <v>118</v>
      </c>
      <c r="M6" s="678" t="s">
        <v>119</v>
      </c>
      <c r="N6" s="134" t="s">
        <v>120</v>
      </c>
      <c r="O6" s="266" t="s">
        <v>121</v>
      </c>
      <c r="P6" s="266" t="s">
        <v>93</v>
      </c>
      <c r="Q6" s="266" t="s">
        <v>122</v>
      </c>
      <c r="R6" s="266" t="s">
        <v>123</v>
      </c>
      <c r="S6" s="224" t="s">
        <v>124</v>
      </c>
      <c r="T6" s="266" t="s">
        <v>125</v>
      </c>
      <c r="U6" s="266" t="s">
        <v>126</v>
      </c>
      <c r="V6" s="266" t="s">
        <v>13</v>
      </c>
      <c r="W6" s="266" t="s">
        <v>127</v>
      </c>
      <c r="X6" s="197" t="s">
        <v>128</v>
      </c>
      <c r="Y6" s="427" t="s">
        <v>129</v>
      </c>
      <c r="Z6" s="648" t="s">
        <v>130</v>
      </c>
      <c r="AA6" s="649" t="s">
        <v>131</v>
      </c>
      <c r="AB6" s="202"/>
      <c r="AC6" s="450" t="s">
        <v>25</v>
      </c>
      <c r="AD6" s="451">
        <f>SUMIF($O$7:$O$404,"March",$N$7:$N$404)</f>
        <v>12123754</v>
      </c>
      <c r="AE6" s="451">
        <f>SUMIF($U$7:$U$404,"March",$T$7:$T$404)</f>
        <v>4781802.68</v>
      </c>
      <c r="AF6" s="864">
        <f>SUMIF($P$7:$P$427,"March",$N$7:$N$427)</f>
        <v>8598354</v>
      </c>
      <c r="AG6" s="995">
        <f t="shared" si="0"/>
        <v>3816551.3200000003</v>
      </c>
    </row>
    <row r="7" spans="1:33" s="259" customFormat="1" ht="18">
      <c r="A7" s="2043">
        <v>1</v>
      </c>
      <c r="B7" s="2044" t="s">
        <v>1255</v>
      </c>
      <c r="C7" s="2045" t="s">
        <v>2901</v>
      </c>
      <c r="D7" s="2046" t="s">
        <v>2902</v>
      </c>
      <c r="E7" s="2047" t="s">
        <v>873</v>
      </c>
      <c r="F7" s="2048" t="s">
        <v>2903</v>
      </c>
      <c r="G7" s="2049">
        <v>9494899118</v>
      </c>
      <c r="H7" s="1796" t="s">
        <v>2904</v>
      </c>
      <c r="I7" s="2050" t="s">
        <v>2905</v>
      </c>
      <c r="J7" s="2051" t="s">
        <v>75</v>
      </c>
      <c r="K7" s="2052" t="s">
        <v>157</v>
      </c>
      <c r="L7" s="2053" t="s">
        <v>2906</v>
      </c>
      <c r="M7" s="2054" t="s">
        <v>2907</v>
      </c>
      <c r="N7" s="2055">
        <v>218192</v>
      </c>
      <c r="O7" s="2043" t="s">
        <v>37</v>
      </c>
      <c r="P7" s="2043" t="s">
        <v>18</v>
      </c>
      <c r="Q7" s="2056">
        <v>0.7</v>
      </c>
      <c r="R7" s="2057" t="s">
        <v>2908</v>
      </c>
      <c r="S7" s="2058" t="s">
        <v>1355</v>
      </c>
      <c r="T7" s="2043">
        <v>137632.56</v>
      </c>
      <c r="U7" s="2043" t="s">
        <v>18</v>
      </c>
      <c r="V7" s="1797">
        <v>0</v>
      </c>
      <c r="W7" s="2043" t="s">
        <v>2909</v>
      </c>
      <c r="X7" s="2044" t="s">
        <v>1166</v>
      </c>
      <c r="Y7" s="2059" t="s">
        <v>1166</v>
      </c>
      <c r="Z7" s="2060" t="s">
        <v>208</v>
      </c>
      <c r="AA7" s="2061" t="s">
        <v>208</v>
      </c>
      <c r="AB7" s="470"/>
      <c r="AC7" s="450" t="s">
        <v>28</v>
      </c>
      <c r="AD7" s="451">
        <f>SUMIF($O$7:$O$404,"April",$N$7:$N$404)</f>
        <v>14000913</v>
      </c>
      <c r="AE7" s="451">
        <f>SUMIF($U$7:$U$404,"April",$T$7:$T$404)</f>
        <v>3554542</v>
      </c>
      <c r="AF7" s="864">
        <f>SUMIF($P$7:$P$427,"April",$N$7:$N$427)</f>
        <v>4994909</v>
      </c>
      <c r="AG7" s="995">
        <f t="shared" si="0"/>
        <v>1440367</v>
      </c>
    </row>
    <row r="8" spans="1:33" s="259" customFormat="1" ht="18">
      <c r="A8" s="2043">
        <v>2</v>
      </c>
      <c r="B8" s="2044" t="s">
        <v>1255</v>
      </c>
      <c r="C8" s="2045" t="s">
        <v>2910</v>
      </c>
      <c r="D8" s="2046" t="s">
        <v>2252</v>
      </c>
      <c r="E8" s="2062" t="s">
        <v>2911</v>
      </c>
      <c r="F8" s="2063" t="s">
        <v>2912</v>
      </c>
      <c r="G8" s="2063">
        <v>9845660933</v>
      </c>
      <c r="H8" s="1798" t="s">
        <v>2913</v>
      </c>
      <c r="I8" s="2050" t="s">
        <v>2914</v>
      </c>
      <c r="J8" s="2051" t="s">
        <v>75</v>
      </c>
      <c r="K8" s="2052" t="s">
        <v>157</v>
      </c>
      <c r="L8" s="2064" t="s">
        <v>2915</v>
      </c>
      <c r="M8" s="2065">
        <v>45544</v>
      </c>
      <c r="N8" s="2055">
        <v>298586</v>
      </c>
      <c r="O8" s="2043" t="s">
        <v>44</v>
      </c>
      <c r="P8" s="2043" t="s">
        <v>18</v>
      </c>
      <c r="Q8" s="2056">
        <v>0.8</v>
      </c>
      <c r="R8" s="2066" t="s">
        <v>2916</v>
      </c>
      <c r="S8" s="2058" t="s">
        <v>1355</v>
      </c>
      <c r="T8" s="2043">
        <v>298586</v>
      </c>
      <c r="U8" s="2043" t="s">
        <v>7</v>
      </c>
      <c r="V8" s="1797">
        <v>0</v>
      </c>
      <c r="W8" s="2043" t="s">
        <v>2909</v>
      </c>
      <c r="X8" s="2043" t="s">
        <v>1166</v>
      </c>
      <c r="Y8" s="2058" t="s">
        <v>1763</v>
      </c>
      <c r="Z8" s="2067" t="s">
        <v>1166</v>
      </c>
      <c r="AA8" s="2068" t="s">
        <v>1166</v>
      </c>
      <c r="AB8" s="470"/>
      <c r="AC8" s="450" t="s">
        <v>30</v>
      </c>
      <c r="AD8" s="451">
        <f>SUMIF($O$7:$O$404,"May",$N$7:$N$404)</f>
        <v>3304584</v>
      </c>
      <c r="AE8" s="451">
        <f>SUMIF($U$7:$U$404,"May",$T$7:$T$404)</f>
        <v>2551910</v>
      </c>
      <c r="AF8" s="864">
        <f>SUMIF($P$7:$P$427,"May",$N$7:$N$427)</f>
        <v>1741036</v>
      </c>
      <c r="AG8" s="995">
        <f t="shared" si="0"/>
        <v>-810874</v>
      </c>
    </row>
    <row r="9" spans="1:33" s="259" customFormat="1" ht="18">
      <c r="A9" s="2543">
        <v>3</v>
      </c>
      <c r="B9" s="2551" t="s">
        <v>1255</v>
      </c>
      <c r="C9" s="2562" t="s">
        <v>2917</v>
      </c>
      <c r="D9" s="2274" t="s">
        <v>2252</v>
      </c>
      <c r="E9" s="2562" t="s">
        <v>2918</v>
      </c>
      <c r="F9" s="2562" t="s">
        <v>2919</v>
      </c>
      <c r="G9" s="2562">
        <v>9880829868</v>
      </c>
      <c r="H9" s="2563" t="s">
        <v>2920</v>
      </c>
      <c r="I9" s="2564" t="s">
        <v>2921</v>
      </c>
      <c r="J9" s="2565" t="s">
        <v>74</v>
      </c>
      <c r="K9" s="2566" t="s">
        <v>138</v>
      </c>
      <c r="L9" s="2557" t="s">
        <v>2922</v>
      </c>
      <c r="M9" s="2567">
        <v>45544</v>
      </c>
      <c r="N9" s="2568">
        <v>0</v>
      </c>
      <c r="O9" s="2543" t="s">
        <v>44</v>
      </c>
      <c r="P9" s="2543" t="s">
        <v>1166</v>
      </c>
      <c r="Q9" s="2547">
        <v>0.7</v>
      </c>
      <c r="R9" s="2569" t="s">
        <v>1166</v>
      </c>
      <c r="S9" s="2569" t="s">
        <v>1166</v>
      </c>
      <c r="T9" s="2543" t="s">
        <v>1166</v>
      </c>
      <c r="U9" s="2543" t="s">
        <v>1166</v>
      </c>
      <c r="V9" s="2570">
        <v>0</v>
      </c>
      <c r="W9" s="2543" t="s">
        <v>2923</v>
      </c>
      <c r="X9" s="2543" t="s">
        <v>1166</v>
      </c>
      <c r="Y9" s="2569" t="s">
        <v>1166</v>
      </c>
      <c r="Z9" s="2549" t="s">
        <v>1166</v>
      </c>
      <c r="AA9" s="2560" t="s">
        <v>1166</v>
      </c>
      <c r="AB9" s="1472"/>
      <c r="AC9" s="450" t="s">
        <v>34</v>
      </c>
      <c r="AD9" s="451">
        <f>SUMIF($O$7:$O$404,"June",$N$7:$N$404)</f>
        <v>3579032</v>
      </c>
      <c r="AE9" s="451">
        <f>SUMIF($U$7:$U$404,"june",$T$7:$T$404)</f>
        <v>1987292</v>
      </c>
      <c r="AF9" s="1688">
        <f>SUMIF($P$7:$P$427,"June",$N$7:$N$427)</f>
        <v>394480</v>
      </c>
      <c r="AG9" s="1689">
        <f t="shared" si="0"/>
        <v>-1592812</v>
      </c>
    </row>
    <row r="10" spans="1:33" s="259" customFormat="1" ht="18">
      <c r="A10" s="2543">
        <v>4</v>
      </c>
      <c r="B10" s="2551" t="s">
        <v>1255</v>
      </c>
      <c r="C10" s="2552" t="s">
        <v>1250</v>
      </c>
      <c r="D10" s="2274" t="s">
        <v>2252</v>
      </c>
      <c r="E10" s="2552" t="s">
        <v>2924</v>
      </c>
      <c r="F10" s="2553" t="s">
        <v>2925</v>
      </c>
      <c r="G10" s="2553">
        <v>9845769113</v>
      </c>
      <c r="H10" s="2554" t="s">
        <v>2926</v>
      </c>
      <c r="I10" s="2553" t="s">
        <v>2927</v>
      </c>
      <c r="J10" s="2553" t="s">
        <v>77</v>
      </c>
      <c r="K10" s="2553" t="s">
        <v>138</v>
      </c>
      <c r="L10" s="2555" t="s">
        <v>2928</v>
      </c>
      <c r="M10" s="2556" t="s">
        <v>2929</v>
      </c>
      <c r="N10" s="2557">
        <v>260000</v>
      </c>
      <c r="O10" s="2558" t="s">
        <v>44</v>
      </c>
      <c r="P10" s="2279" t="s">
        <v>62</v>
      </c>
      <c r="Q10" s="2547">
        <v>0.7</v>
      </c>
      <c r="R10" s="2543" t="s">
        <v>1166</v>
      </c>
      <c r="S10" s="2543" t="s">
        <v>1166</v>
      </c>
      <c r="T10" s="2543" t="s">
        <v>1166</v>
      </c>
      <c r="U10" s="2543" t="s">
        <v>1166</v>
      </c>
      <c r="V10" s="2559">
        <v>0</v>
      </c>
      <c r="W10" s="2543" t="s">
        <v>2930</v>
      </c>
      <c r="X10" s="2543" t="s">
        <v>1166</v>
      </c>
      <c r="Y10" s="2543" t="s">
        <v>1166</v>
      </c>
      <c r="Z10" s="2549" t="s">
        <v>1166</v>
      </c>
      <c r="AA10" s="2560" t="s">
        <v>1166</v>
      </c>
      <c r="AB10" s="470"/>
      <c r="AC10" s="450" t="s">
        <v>37</v>
      </c>
      <c r="AD10" s="451">
        <f>SUMIF($O$7:$O$404,"July",$N$7:$N$404)</f>
        <v>13024591</v>
      </c>
      <c r="AE10" s="451">
        <f>SUMIF($U$7:$U$404,"july",$T$7:$T$404)</f>
        <v>5581655.4000000004</v>
      </c>
      <c r="AF10" s="864">
        <f>SUMIF($P$7:$P$427,"July",$N$7:$N$427)</f>
        <v>7648092</v>
      </c>
      <c r="AG10" s="995">
        <f t="shared" si="0"/>
        <v>2066436.5999999996</v>
      </c>
    </row>
    <row r="11" spans="1:33" s="259" customFormat="1" ht="18">
      <c r="A11" s="2543" t="s">
        <v>1166</v>
      </c>
      <c r="B11" s="2551"/>
      <c r="C11" s="2552" t="s">
        <v>1250</v>
      </c>
      <c r="D11" s="2274" t="s">
        <v>2252</v>
      </c>
      <c r="E11" s="2552" t="s">
        <v>2924</v>
      </c>
      <c r="F11" s="2553" t="s">
        <v>2925</v>
      </c>
      <c r="G11" s="2553">
        <v>9845769113</v>
      </c>
      <c r="H11" s="2554" t="s">
        <v>2926</v>
      </c>
      <c r="I11" s="2553" t="s">
        <v>2927</v>
      </c>
      <c r="J11" s="2553" t="s">
        <v>75</v>
      </c>
      <c r="K11" s="2553" t="s">
        <v>157</v>
      </c>
      <c r="L11" s="2557" t="s">
        <v>2928</v>
      </c>
      <c r="M11" s="2561" t="s">
        <v>2929</v>
      </c>
      <c r="N11" s="2557">
        <v>92800</v>
      </c>
      <c r="O11" s="2558" t="s">
        <v>44</v>
      </c>
      <c r="P11" s="2279" t="s">
        <v>62</v>
      </c>
      <c r="Q11" s="2547">
        <v>0.7</v>
      </c>
      <c r="R11" s="2543" t="s">
        <v>1166</v>
      </c>
      <c r="S11" s="2543" t="s">
        <v>1166</v>
      </c>
      <c r="T11" s="2543" t="s">
        <v>1166</v>
      </c>
      <c r="U11" s="2543" t="s">
        <v>1166</v>
      </c>
      <c r="V11" s="2559">
        <v>0</v>
      </c>
      <c r="W11" s="2543" t="s">
        <v>2931</v>
      </c>
      <c r="X11" s="2543" t="s">
        <v>1166</v>
      </c>
      <c r="Y11" s="2543" t="s">
        <v>1166</v>
      </c>
      <c r="Z11" s="2549" t="s">
        <v>1166</v>
      </c>
      <c r="AA11" s="2560" t="s">
        <v>1166</v>
      </c>
      <c r="AB11" s="470"/>
      <c r="AC11" s="450" t="s">
        <v>39</v>
      </c>
      <c r="AD11" s="451">
        <f>SUMIF($O$7:$O$404,"August",$N$7:$N$404)</f>
        <v>11810033</v>
      </c>
      <c r="AE11" s="451">
        <f>SUMIF($U$7:$U$404,"August",$T$7:$T$404)</f>
        <v>6063519.5599999996</v>
      </c>
      <c r="AF11" s="864">
        <f>SUMIF($P$7:$P$427,"August",$N$7:$N$427)</f>
        <v>10028198</v>
      </c>
      <c r="AG11" s="995">
        <f t="shared" si="0"/>
        <v>3964678.4400000004</v>
      </c>
    </row>
    <row r="12" spans="1:33" s="259" customFormat="1" ht="18">
      <c r="A12" s="2543">
        <v>5</v>
      </c>
      <c r="B12" s="2551" t="s">
        <v>1255</v>
      </c>
      <c r="C12" s="2571" t="s">
        <v>614</v>
      </c>
      <c r="D12" s="2274" t="s">
        <v>2932</v>
      </c>
      <c r="E12" s="2571" t="s">
        <v>873</v>
      </c>
      <c r="F12" s="2572" t="s">
        <v>2933</v>
      </c>
      <c r="G12" s="2572">
        <v>9848332620</v>
      </c>
      <c r="H12" s="2563" t="s">
        <v>2934</v>
      </c>
      <c r="I12" s="2573" t="s">
        <v>2935</v>
      </c>
      <c r="J12" s="2573" t="s">
        <v>83</v>
      </c>
      <c r="K12" s="2573" t="s">
        <v>157</v>
      </c>
      <c r="L12" s="2574" t="s">
        <v>2936</v>
      </c>
      <c r="M12" s="2575">
        <v>45392</v>
      </c>
      <c r="N12" s="2557">
        <v>0</v>
      </c>
      <c r="O12" s="2558" t="s">
        <v>47</v>
      </c>
      <c r="P12" s="2543" t="s">
        <v>1166</v>
      </c>
      <c r="Q12" s="2543" t="s">
        <v>1166</v>
      </c>
      <c r="R12" s="2569" t="s">
        <v>1166</v>
      </c>
      <c r="S12" s="2569" t="s">
        <v>1166</v>
      </c>
      <c r="T12" s="2543" t="s">
        <v>1166</v>
      </c>
      <c r="U12" s="2543" t="s">
        <v>1166</v>
      </c>
      <c r="V12" s="2559">
        <v>0</v>
      </c>
      <c r="W12" s="2543" t="s">
        <v>2937</v>
      </c>
      <c r="X12" s="2543" t="s">
        <v>1166</v>
      </c>
      <c r="Y12" s="2569" t="s">
        <v>1166</v>
      </c>
      <c r="Z12" s="2549" t="s">
        <v>1166</v>
      </c>
      <c r="AA12" s="2560" t="s">
        <v>1166</v>
      </c>
      <c r="AB12" s="470"/>
      <c r="AC12" s="450" t="s">
        <v>44</v>
      </c>
      <c r="AD12" s="451">
        <f>SUMIF($O$7:$O$404,"September",$N$7:$N$404)</f>
        <v>3540181</v>
      </c>
      <c r="AE12" s="451">
        <f>SUMIF($U$7:$U$404,"September",$T$7:$T$404)</f>
        <v>2334985.7599999998</v>
      </c>
      <c r="AF12" s="864">
        <f>SUMIF($P$7:$P$427,"September",$N$7:$N$427)</f>
        <v>11079547</v>
      </c>
      <c r="AG12" s="995">
        <f t="shared" si="0"/>
        <v>8744561.2400000002</v>
      </c>
    </row>
    <row r="13" spans="1:33" s="259" customFormat="1" ht="18">
      <c r="A13" s="2543">
        <v>6</v>
      </c>
      <c r="B13" s="2551" t="s">
        <v>1255</v>
      </c>
      <c r="C13" s="2571" t="s">
        <v>2938</v>
      </c>
      <c r="D13" s="2274" t="s">
        <v>2252</v>
      </c>
      <c r="E13" s="2571" t="s">
        <v>873</v>
      </c>
      <c r="F13" s="2572" t="s">
        <v>2939</v>
      </c>
      <c r="G13" s="2572">
        <v>6366560432</v>
      </c>
      <c r="H13" s="2576" t="s">
        <v>2940</v>
      </c>
      <c r="I13" s="2577" t="s">
        <v>2941</v>
      </c>
      <c r="J13" s="2573" t="s">
        <v>75</v>
      </c>
      <c r="K13" s="2578" t="s">
        <v>157</v>
      </c>
      <c r="L13" s="2574" t="s">
        <v>2942</v>
      </c>
      <c r="M13" s="2579" t="s">
        <v>2943</v>
      </c>
      <c r="N13" s="2580">
        <v>0</v>
      </c>
      <c r="O13" s="2558" t="s">
        <v>47</v>
      </c>
      <c r="P13" s="2543" t="s">
        <v>1166</v>
      </c>
      <c r="Q13" s="2547">
        <v>0.7</v>
      </c>
      <c r="R13" s="2569" t="s">
        <v>1166</v>
      </c>
      <c r="S13" s="2569" t="s">
        <v>1166</v>
      </c>
      <c r="T13" s="2543" t="s">
        <v>1166</v>
      </c>
      <c r="U13" s="2543" t="s">
        <v>1166</v>
      </c>
      <c r="V13" s="2570">
        <v>0</v>
      </c>
      <c r="W13" s="2543" t="s">
        <v>2944</v>
      </c>
      <c r="X13" s="2543" t="s">
        <v>1166</v>
      </c>
      <c r="Y13" s="2569" t="s">
        <v>1166</v>
      </c>
      <c r="Z13" s="2549" t="s">
        <v>1166</v>
      </c>
      <c r="AA13" s="2560" t="s">
        <v>1166</v>
      </c>
      <c r="AB13" s="470"/>
      <c r="AC13" s="450" t="s">
        <v>97</v>
      </c>
      <c r="AD13" s="451">
        <f>SUMIF($O$7:$O$404,"October",$N$7:$N$404)</f>
        <v>2928923</v>
      </c>
      <c r="AE13" s="451">
        <f>SUMIF($U$7:$U$404,"October",$T$7:$T$404)</f>
        <v>2293035</v>
      </c>
      <c r="AF13" s="864">
        <f>SUMIF($P$7:$P$427,"October",$N$7:$N$427)</f>
        <v>9075607</v>
      </c>
      <c r="AG13" s="995">
        <f t="shared" si="0"/>
        <v>6782572</v>
      </c>
    </row>
    <row r="14" spans="1:33" s="259" customFormat="1" ht="18">
      <c r="A14" s="2043">
        <v>7</v>
      </c>
      <c r="B14" s="2044" t="s">
        <v>1255</v>
      </c>
      <c r="C14" s="2062" t="s">
        <v>1157</v>
      </c>
      <c r="D14" s="2046" t="s">
        <v>2945</v>
      </c>
      <c r="E14" s="2062" t="s">
        <v>2946</v>
      </c>
      <c r="F14" s="2063" t="s">
        <v>2947</v>
      </c>
      <c r="G14" s="2063">
        <v>9676818452</v>
      </c>
      <c r="H14" s="1800" t="s">
        <v>2948</v>
      </c>
      <c r="I14" s="2082" t="s">
        <v>2949</v>
      </c>
      <c r="J14" s="2083" t="s">
        <v>73</v>
      </c>
      <c r="K14" s="2084" t="s">
        <v>157</v>
      </c>
      <c r="L14" s="2064" t="s">
        <v>2950</v>
      </c>
      <c r="M14" s="2065">
        <v>45607</v>
      </c>
      <c r="N14" s="2085">
        <v>118000</v>
      </c>
      <c r="O14" s="2043" t="s">
        <v>49</v>
      </c>
      <c r="P14" s="2043" t="s">
        <v>18</v>
      </c>
      <c r="Q14" s="2056">
        <v>0.8</v>
      </c>
      <c r="R14" s="2086">
        <v>5700167102</v>
      </c>
      <c r="S14" s="2087">
        <v>45455</v>
      </c>
      <c r="T14" s="2088">
        <v>118335</v>
      </c>
      <c r="U14" s="2043" t="s">
        <v>7</v>
      </c>
      <c r="V14" s="1797">
        <v>0</v>
      </c>
      <c r="W14" s="2058" t="s">
        <v>2909</v>
      </c>
      <c r="X14" s="2043" t="s">
        <v>1166</v>
      </c>
      <c r="Y14" s="2058" t="s">
        <v>1166</v>
      </c>
      <c r="Z14" s="2067" t="s">
        <v>1166</v>
      </c>
      <c r="AA14" s="2068" t="s">
        <v>1166</v>
      </c>
      <c r="AB14" s="470"/>
      <c r="AC14" s="450" t="s">
        <v>49</v>
      </c>
      <c r="AD14" s="451">
        <f>SUMIF($O$7:$O$404,"November",$N$7:$N$404)</f>
        <v>10350051</v>
      </c>
      <c r="AE14" s="451">
        <f>SUMIF($U$7:$U$404,"November",$T$7:$T$404)</f>
        <v>3921229</v>
      </c>
      <c r="AF14" s="864">
        <f>SUMIF($P$7:$P$427,"November",$N$7:$N$427)</f>
        <v>9450065</v>
      </c>
      <c r="AG14" s="995">
        <f t="shared" si="0"/>
        <v>5528836</v>
      </c>
    </row>
    <row r="15" spans="1:33" s="259" customFormat="1" ht="18">
      <c r="A15" s="2043">
        <v>8</v>
      </c>
      <c r="B15" s="2044" t="s">
        <v>1255</v>
      </c>
      <c r="C15" s="2062" t="s">
        <v>1157</v>
      </c>
      <c r="D15" s="2046" t="s">
        <v>2945</v>
      </c>
      <c r="E15" s="2062" t="s">
        <v>2946</v>
      </c>
      <c r="F15" s="2063" t="s">
        <v>2951</v>
      </c>
      <c r="G15" s="2063">
        <v>8008801317</v>
      </c>
      <c r="H15" s="1798" t="s">
        <v>2948</v>
      </c>
      <c r="I15" s="2089" t="s">
        <v>2949</v>
      </c>
      <c r="J15" s="2051" t="s">
        <v>75</v>
      </c>
      <c r="K15" s="2052" t="s">
        <v>157</v>
      </c>
      <c r="L15" s="2090" t="s">
        <v>2952</v>
      </c>
      <c r="M15" s="2065">
        <v>45415</v>
      </c>
      <c r="N15" s="2055">
        <v>935029</v>
      </c>
      <c r="O15" s="2043" t="s">
        <v>25</v>
      </c>
      <c r="P15" s="2043" t="s">
        <v>7</v>
      </c>
      <c r="Q15" s="2091">
        <v>0.8</v>
      </c>
      <c r="R15" s="2092">
        <v>5700161654</v>
      </c>
      <c r="S15" s="2093">
        <v>45455</v>
      </c>
      <c r="T15" s="2092">
        <v>664155.84</v>
      </c>
      <c r="U15" s="2055" t="s">
        <v>7</v>
      </c>
      <c r="V15" s="1797">
        <v>0</v>
      </c>
      <c r="W15" s="2043" t="s">
        <v>2953</v>
      </c>
      <c r="X15" s="2043" t="s">
        <v>1166</v>
      </c>
      <c r="Y15" s="2058" t="s">
        <v>1763</v>
      </c>
      <c r="Z15" s="2067" t="s">
        <v>157</v>
      </c>
      <c r="AA15" s="2068" t="s">
        <v>157</v>
      </c>
      <c r="AB15" s="470"/>
      <c r="AC15" s="450" t="s">
        <v>62</v>
      </c>
      <c r="AD15" s="451">
        <f>SUMIF($O$7:$O$404,"December",$N$7:$N$404)</f>
        <v>5171821</v>
      </c>
      <c r="AE15" s="451">
        <f>SUMIF($U$7:$U$404,"December",$T$7:$T$404)</f>
        <v>0</v>
      </c>
      <c r="AF15" s="864">
        <f>SUMIF($P$7:$P$427,"December",$N$7:$N$427)</f>
        <v>16796607</v>
      </c>
      <c r="AG15" s="995">
        <f t="shared" si="0"/>
        <v>16796607</v>
      </c>
    </row>
    <row r="16" spans="1:33" s="259" customFormat="1" ht="18">
      <c r="A16" s="2543">
        <v>9</v>
      </c>
      <c r="B16" s="2551" t="s">
        <v>1255</v>
      </c>
      <c r="C16" s="2571" t="s">
        <v>2910</v>
      </c>
      <c r="D16" s="2274" t="s">
        <v>2252</v>
      </c>
      <c r="E16" s="2571" t="s">
        <v>2954</v>
      </c>
      <c r="F16" s="2572" t="s">
        <v>2955</v>
      </c>
      <c r="G16" s="2572">
        <v>9159498005</v>
      </c>
      <c r="H16" s="2563" t="s">
        <v>2956</v>
      </c>
      <c r="I16" s="2564" t="s">
        <v>2957</v>
      </c>
      <c r="J16" s="2565" t="s">
        <v>75</v>
      </c>
      <c r="K16" s="2566" t="s">
        <v>157</v>
      </c>
      <c r="L16" s="2557" t="s">
        <v>2958</v>
      </c>
      <c r="M16" s="2567">
        <v>45515</v>
      </c>
      <c r="N16" s="2568">
        <v>0</v>
      </c>
      <c r="O16" s="2543" t="s">
        <v>49</v>
      </c>
      <c r="P16" s="2543" t="s">
        <v>1166</v>
      </c>
      <c r="Q16" s="2547">
        <v>0.7</v>
      </c>
      <c r="R16" s="2581" t="s">
        <v>1166</v>
      </c>
      <c r="S16" s="2581" t="s">
        <v>1166</v>
      </c>
      <c r="T16" s="2582" t="s">
        <v>1166</v>
      </c>
      <c r="U16" s="2543" t="s">
        <v>1166</v>
      </c>
      <c r="V16" s="2559">
        <v>0</v>
      </c>
      <c r="W16" s="2569" t="s">
        <v>2959</v>
      </c>
      <c r="X16" s="2543" t="s">
        <v>1166</v>
      </c>
      <c r="Y16" s="2569" t="s">
        <v>1166</v>
      </c>
      <c r="Z16" s="2549" t="s">
        <v>1166</v>
      </c>
      <c r="AA16" s="2560" t="s">
        <v>1166</v>
      </c>
      <c r="AB16" s="470"/>
    </row>
    <row r="17" spans="1:27" s="259" customFormat="1" ht="18">
      <c r="A17" s="2043">
        <v>10</v>
      </c>
      <c r="B17" s="2044" t="s">
        <v>1255</v>
      </c>
      <c r="C17" s="2094" t="s">
        <v>614</v>
      </c>
      <c r="D17" s="2094" t="s">
        <v>2902</v>
      </c>
      <c r="E17" s="2094" t="s">
        <v>2960</v>
      </c>
      <c r="F17" s="2095" t="s">
        <v>2961</v>
      </c>
      <c r="G17" s="2095">
        <v>9949354056</v>
      </c>
      <c r="H17" s="1796" t="s">
        <v>2962</v>
      </c>
      <c r="I17" s="2096" t="s">
        <v>2963</v>
      </c>
      <c r="J17" s="2096" t="s">
        <v>75</v>
      </c>
      <c r="K17" s="2096" t="s">
        <v>157</v>
      </c>
      <c r="L17" s="2097" t="s">
        <v>2964</v>
      </c>
      <c r="M17" s="2098">
        <v>45637</v>
      </c>
      <c r="N17" s="2092">
        <v>1232486</v>
      </c>
      <c r="O17" s="2055" t="s">
        <v>49</v>
      </c>
      <c r="P17" s="2043" t="s">
        <v>28</v>
      </c>
      <c r="Q17" s="2056">
        <v>1</v>
      </c>
      <c r="R17" s="2058">
        <v>4000507515</v>
      </c>
      <c r="S17" s="2058" t="s">
        <v>1355</v>
      </c>
      <c r="T17" s="2043">
        <v>89600</v>
      </c>
      <c r="U17" s="2043" t="s">
        <v>7</v>
      </c>
      <c r="V17" s="1797">
        <v>1142886</v>
      </c>
      <c r="W17" s="2043" t="s">
        <v>2965</v>
      </c>
      <c r="X17" s="2043" t="s">
        <v>1166</v>
      </c>
      <c r="Y17" s="2099">
        <v>45689</v>
      </c>
      <c r="Z17" s="2067" t="s">
        <v>157</v>
      </c>
      <c r="AA17" s="2068" t="s">
        <v>157</v>
      </c>
    </row>
    <row r="18" spans="1:27" s="259" customFormat="1" ht="18">
      <c r="A18" s="2043">
        <v>11</v>
      </c>
      <c r="B18" s="2044" t="s">
        <v>1255</v>
      </c>
      <c r="C18" s="2062" t="s">
        <v>2910</v>
      </c>
      <c r="D18" s="2046" t="s">
        <v>2252</v>
      </c>
      <c r="E18" s="2062" t="s">
        <v>2966</v>
      </c>
      <c r="F18" s="2063" t="s">
        <v>2912</v>
      </c>
      <c r="G18" s="2063">
        <v>9845660933</v>
      </c>
      <c r="H18" s="1798" t="s">
        <v>2913</v>
      </c>
      <c r="I18" s="2100" t="s">
        <v>2967</v>
      </c>
      <c r="J18" s="2100" t="s">
        <v>75</v>
      </c>
      <c r="K18" s="2100" t="s">
        <v>157</v>
      </c>
      <c r="L18" s="2064" t="s">
        <v>2968</v>
      </c>
      <c r="M18" s="2101" t="s">
        <v>2969</v>
      </c>
      <c r="N18" s="2102">
        <v>414468</v>
      </c>
      <c r="O18" s="2055" t="s">
        <v>49</v>
      </c>
      <c r="P18" s="2043" t="s">
        <v>7</v>
      </c>
      <c r="Q18" s="2056">
        <v>0.7</v>
      </c>
      <c r="R18" s="2066" t="s">
        <v>2916</v>
      </c>
      <c r="S18" s="2058" t="s">
        <v>1355</v>
      </c>
      <c r="T18" s="2043">
        <v>39244</v>
      </c>
      <c r="U18" s="2043" t="s">
        <v>7</v>
      </c>
      <c r="V18" s="1797">
        <v>0</v>
      </c>
      <c r="W18" s="2043" t="s">
        <v>2970</v>
      </c>
      <c r="X18" s="2043" t="s">
        <v>1166</v>
      </c>
      <c r="Y18" s="2058" t="s">
        <v>1763</v>
      </c>
      <c r="Z18" s="2067" t="s">
        <v>157</v>
      </c>
      <c r="AA18" s="2103" t="s">
        <v>157</v>
      </c>
    </row>
    <row r="19" spans="1:27" s="259" customFormat="1" ht="18">
      <c r="A19" s="2543">
        <v>12</v>
      </c>
      <c r="B19" s="2551" t="s">
        <v>1255</v>
      </c>
      <c r="C19" s="2552" t="s">
        <v>1250</v>
      </c>
      <c r="D19" s="2274" t="s">
        <v>2252</v>
      </c>
      <c r="E19" s="2552" t="s">
        <v>2971</v>
      </c>
      <c r="F19" s="2553" t="s">
        <v>2972</v>
      </c>
      <c r="G19" s="2553">
        <v>8884433743</v>
      </c>
      <c r="H19" s="2576" t="s">
        <v>2973</v>
      </c>
      <c r="I19" s="2583" t="s">
        <v>2974</v>
      </c>
      <c r="J19" s="2584" t="s">
        <v>75</v>
      </c>
      <c r="K19" s="2585" t="s">
        <v>157</v>
      </c>
      <c r="L19" s="2574" t="s">
        <v>2975</v>
      </c>
      <c r="M19" s="2579" t="s">
        <v>2969</v>
      </c>
      <c r="N19" s="2574">
        <v>0</v>
      </c>
      <c r="O19" s="2558" t="s">
        <v>49</v>
      </c>
      <c r="P19" s="2543" t="s">
        <v>1166</v>
      </c>
      <c r="Q19" s="2547">
        <v>0.7</v>
      </c>
      <c r="R19" s="2569" t="s">
        <v>1166</v>
      </c>
      <c r="S19" s="2569" t="s">
        <v>1166</v>
      </c>
      <c r="T19" s="2543" t="s">
        <v>1166</v>
      </c>
      <c r="U19" s="2543" t="s">
        <v>1166</v>
      </c>
      <c r="V19" s="2570">
        <v>0</v>
      </c>
      <c r="W19" s="2569" t="s">
        <v>1166</v>
      </c>
      <c r="X19" s="2543" t="s">
        <v>1166</v>
      </c>
      <c r="Y19" s="2569" t="s">
        <v>1166</v>
      </c>
      <c r="Z19" s="2549" t="s">
        <v>1166</v>
      </c>
      <c r="AA19" s="2586" t="s">
        <v>1166</v>
      </c>
    </row>
    <row r="20" spans="1:27" s="259" customFormat="1" ht="18">
      <c r="A20" s="2043">
        <v>13</v>
      </c>
      <c r="B20" s="2044" t="s">
        <v>1255</v>
      </c>
      <c r="C20" s="2105" t="s">
        <v>1250</v>
      </c>
      <c r="D20" s="2046" t="s">
        <v>2252</v>
      </c>
      <c r="E20" s="2105" t="s">
        <v>2976</v>
      </c>
      <c r="F20" s="2106" t="s">
        <v>2977</v>
      </c>
      <c r="G20" s="2106">
        <v>9739975314</v>
      </c>
      <c r="H20" s="1801" t="s">
        <v>2978</v>
      </c>
      <c r="I20" s="2089" t="s">
        <v>2979</v>
      </c>
      <c r="J20" s="2051" t="s">
        <v>73</v>
      </c>
      <c r="K20" s="2052" t="s">
        <v>138</v>
      </c>
      <c r="L20" s="2064" t="s">
        <v>2980</v>
      </c>
      <c r="M20" s="2107" t="s">
        <v>2981</v>
      </c>
      <c r="N20" s="2092">
        <v>73500</v>
      </c>
      <c r="O20" s="2055" t="s">
        <v>49</v>
      </c>
      <c r="P20" s="2043" t="s">
        <v>7</v>
      </c>
      <c r="Q20" s="2056">
        <v>1</v>
      </c>
      <c r="R20" s="2058">
        <v>85375525</v>
      </c>
      <c r="S20" s="2058" t="s">
        <v>2982</v>
      </c>
      <c r="T20" s="2043">
        <v>73500</v>
      </c>
      <c r="U20" s="2043" t="s">
        <v>7</v>
      </c>
      <c r="V20" s="1797">
        <v>0</v>
      </c>
      <c r="W20" s="2058" t="s">
        <v>2983</v>
      </c>
      <c r="X20" s="2043" t="s">
        <v>1166</v>
      </c>
      <c r="Y20" s="2058" t="s">
        <v>1166</v>
      </c>
      <c r="Z20" s="2067" t="s">
        <v>1166</v>
      </c>
      <c r="AA20" s="2103" t="s">
        <v>1166</v>
      </c>
    </row>
    <row r="21" spans="1:27" s="259" customFormat="1" ht="18">
      <c r="A21" s="2543">
        <v>14</v>
      </c>
      <c r="B21" s="2551" t="s">
        <v>1255</v>
      </c>
      <c r="C21" s="2552" t="s">
        <v>1250</v>
      </c>
      <c r="D21" s="2274" t="s">
        <v>2252</v>
      </c>
      <c r="E21" s="2552" t="s">
        <v>2971</v>
      </c>
      <c r="F21" s="2553" t="s">
        <v>2972</v>
      </c>
      <c r="G21" s="2553">
        <v>8884433743</v>
      </c>
      <c r="H21" s="2576" t="s">
        <v>2973</v>
      </c>
      <c r="I21" s="2587" t="s">
        <v>2974</v>
      </c>
      <c r="J21" s="2588" t="s">
        <v>73</v>
      </c>
      <c r="K21" s="2589" t="s">
        <v>138</v>
      </c>
      <c r="L21" s="2574" t="s">
        <v>2984</v>
      </c>
      <c r="M21" s="2579" t="s">
        <v>2981</v>
      </c>
      <c r="N21" s="2590">
        <v>0</v>
      </c>
      <c r="O21" s="2543" t="s">
        <v>49</v>
      </c>
      <c r="P21" s="2543" t="s">
        <v>1166</v>
      </c>
      <c r="Q21" s="2547">
        <v>0.8</v>
      </c>
      <c r="R21" s="2569" t="s">
        <v>1166</v>
      </c>
      <c r="S21" s="2569" t="s">
        <v>1367</v>
      </c>
      <c r="T21" s="2543" t="s">
        <v>1166</v>
      </c>
      <c r="U21" s="2543" t="s">
        <v>1166</v>
      </c>
      <c r="V21" s="2570">
        <v>0</v>
      </c>
      <c r="W21" s="2569" t="s">
        <v>2959</v>
      </c>
      <c r="X21" s="2543" t="s">
        <v>1166</v>
      </c>
      <c r="Y21" s="2569" t="s">
        <v>1166</v>
      </c>
      <c r="Z21" s="2549" t="s">
        <v>1166</v>
      </c>
      <c r="AA21" s="2586" t="s">
        <v>1166</v>
      </c>
    </row>
    <row r="22" spans="1:27" s="259" customFormat="1" ht="18">
      <c r="A22" s="2043">
        <v>15</v>
      </c>
      <c r="B22" s="2044" t="s">
        <v>1255</v>
      </c>
      <c r="C22" s="2105" t="s">
        <v>1250</v>
      </c>
      <c r="D22" s="2046" t="s">
        <v>2252</v>
      </c>
      <c r="E22" s="2105" t="s">
        <v>2985</v>
      </c>
      <c r="F22" s="2106" t="s">
        <v>2986</v>
      </c>
      <c r="G22" s="2106">
        <v>8884433748</v>
      </c>
      <c r="H22" s="1801" t="s">
        <v>2987</v>
      </c>
      <c r="I22" s="2089" t="s">
        <v>2988</v>
      </c>
      <c r="J22" s="2051" t="s">
        <v>73</v>
      </c>
      <c r="K22" s="2052" t="s">
        <v>138</v>
      </c>
      <c r="L22" s="1802" t="s">
        <v>2989</v>
      </c>
      <c r="M22" s="1820" t="s">
        <v>2990</v>
      </c>
      <c r="N22" s="2055">
        <v>73500</v>
      </c>
      <c r="O22" s="2043" t="s">
        <v>49</v>
      </c>
      <c r="P22" s="2043" t="s">
        <v>18</v>
      </c>
      <c r="Q22" s="2056">
        <v>0.8</v>
      </c>
      <c r="R22" s="2109">
        <v>85380299</v>
      </c>
      <c r="S22" s="2058" t="s">
        <v>1367</v>
      </c>
      <c r="T22" s="2043">
        <v>73500</v>
      </c>
      <c r="U22" s="2043" t="s">
        <v>18</v>
      </c>
      <c r="V22" s="1797">
        <v>0</v>
      </c>
      <c r="W22" s="2058" t="s">
        <v>2909</v>
      </c>
      <c r="X22" s="2043" t="s">
        <v>1166</v>
      </c>
      <c r="Y22" s="2058" t="s">
        <v>1166</v>
      </c>
      <c r="Z22" s="2067" t="s">
        <v>1166</v>
      </c>
      <c r="AA22" s="2103" t="s">
        <v>1166</v>
      </c>
    </row>
    <row r="23" spans="1:27" s="259" customFormat="1" ht="18">
      <c r="A23" s="2043" t="s">
        <v>1166</v>
      </c>
      <c r="B23" s="2044"/>
      <c r="C23" s="2110" t="s">
        <v>1250</v>
      </c>
      <c r="D23" s="2046" t="s">
        <v>2252</v>
      </c>
      <c r="E23" s="2110" t="s">
        <v>2985</v>
      </c>
      <c r="F23" s="2111" t="s">
        <v>2986</v>
      </c>
      <c r="G23" s="2111">
        <v>8884433748</v>
      </c>
      <c r="H23" s="1804" t="s">
        <v>2987</v>
      </c>
      <c r="I23" s="2089" t="s">
        <v>2991</v>
      </c>
      <c r="J23" s="2051" t="s">
        <v>73</v>
      </c>
      <c r="K23" s="2052" t="s">
        <v>138</v>
      </c>
      <c r="L23" s="1802" t="s">
        <v>2989</v>
      </c>
      <c r="M23" s="1821" t="s">
        <v>2990</v>
      </c>
      <c r="N23" s="2055">
        <v>73500</v>
      </c>
      <c r="O23" s="2043" t="s">
        <v>49</v>
      </c>
      <c r="P23" s="2043" t="s">
        <v>18</v>
      </c>
      <c r="Q23" s="2056">
        <v>0.8</v>
      </c>
      <c r="R23" s="2109">
        <v>85380299</v>
      </c>
      <c r="S23" s="2058" t="s">
        <v>1367</v>
      </c>
      <c r="T23" s="2043">
        <v>73500</v>
      </c>
      <c r="U23" s="2043" t="s">
        <v>18</v>
      </c>
      <c r="V23" s="1797">
        <v>0</v>
      </c>
      <c r="W23" s="2058" t="s">
        <v>2909</v>
      </c>
      <c r="X23" s="2043" t="s">
        <v>1166</v>
      </c>
      <c r="Y23" s="2058" t="s">
        <v>1166</v>
      </c>
      <c r="Z23" s="2067" t="s">
        <v>1166</v>
      </c>
      <c r="AA23" s="2068" t="s">
        <v>1166</v>
      </c>
    </row>
    <row r="24" spans="1:27" s="259" customFormat="1" ht="18">
      <c r="A24" s="2043" t="s">
        <v>1166</v>
      </c>
      <c r="B24" s="2044"/>
      <c r="C24" s="2105" t="s">
        <v>1250</v>
      </c>
      <c r="D24" s="2046" t="s">
        <v>2252</v>
      </c>
      <c r="E24" s="2105" t="s">
        <v>2985</v>
      </c>
      <c r="F24" s="2106" t="s">
        <v>2986</v>
      </c>
      <c r="G24" s="2106">
        <v>8884433748</v>
      </c>
      <c r="H24" s="1801" t="s">
        <v>2987</v>
      </c>
      <c r="I24" s="2089" t="s">
        <v>2992</v>
      </c>
      <c r="J24" s="2051" t="s">
        <v>73</v>
      </c>
      <c r="K24" s="2052" t="s">
        <v>138</v>
      </c>
      <c r="L24" s="1805" t="s">
        <v>2989</v>
      </c>
      <c r="M24" s="1822" t="s">
        <v>2990</v>
      </c>
      <c r="N24" s="2112">
        <v>73500</v>
      </c>
      <c r="O24" s="2043" t="s">
        <v>49</v>
      </c>
      <c r="P24" s="2043" t="s">
        <v>18</v>
      </c>
      <c r="Q24" s="2056">
        <v>0.8</v>
      </c>
      <c r="R24" s="2109">
        <v>85380299</v>
      </c>
      <c r="S24" s="2058" t="s">
        <v>1367</v>
      </c>
      <c r="T24" s="2043">
        <v>73500</v>
      </c>
      <c r="U24" s="2043" t="s">
        <v>18</v>
      </c>
      <c r="V24" s="1797">
        <v>0</v>
      </c>
      <c r="W24" s="2058" t="s">
        <v>2909</v>
      </c>
      <c r="X24" s="2043" t="s">
        <v>1166</v>
      </c>
      <c r="Y24" s="2058" t="s">
        <v>1166</v>
      </c>
      <c r="Z24" s="2067" t="s">
        <v>1166</v>
      </c>
      <c r="AA24" s="2068" t="s">
        <v>1166</v>
      </c>
    </row>
    <row r="25" spans="1:27" s="259" customFormat="1" ht="18">
      <c r="A25" s="2043">
        <v>16</v>
      </c>
      <c r="B25" s="2044" t="s">
        <v>1255</v>
      </c>
      <c r="C25" s="2045" t="s">
        <v>614</v>
      </c>
      <c r="D25" s="2046" t="s">
        <v>2902</v>
      </c>
      <c r="E25" s="2105" t="s">
        <v>2993</v>
      </c>
      <c r="F25" s="2106" t="s">
        <v>2994</v>
      </c>
      <c r="G25" s="2106">
        <v>8333984571</v>
      </c>
      <c r="H25" s="1801" t="s">
        <v>2995</v>
      </c>
      <c r="I25" s="2089" t="s">
        <v>2996</v>
      </c>
      <c r="J25" s="2051" t="s">
        <v>83</v>
      </c>
      <c r="K25" s="2052" t="s">
        <v>157</v>
      </c>
      <c r="L25" s="2090" t="s">
        <v>2997</v>
      </c>
      <c r="M25" s="2113" t="s">
        <v>2990</v>
      </c>
      <c r="N25" s="2092">
        <v>1115460</v>
      </c>
      <c r="O25" s="2055" t="s">
        <v>49</v>
      </c>
      <c r="P25" s="2043" t="s">
        <v>25</v>
      </c>
      <c r="Q25" s="2056">
        <v>0.8</v>
      </c>
      <c r="R25" s="2058">
        <v>4000508481</v>
      </c>
      <c r="S25" s="2099">
        <v>45719</v>
      </c>
      <c r="T25" s="2043">
        <v>1003729.2</v>
      </c>
      <c r="U25" s="2043" t="s">
        <v>25</v>
      </c>
      <c r="V25" s="1797">
        <v>0</v>
      </c>
      <c r="W25" s="2058" t="s">
        <v>2909</v>
      </c>
      <c r="X25" s="2043" t="s">
        <v>1166</v>
      </c>
      <c r="Y25" s="2058" t="s">
        <v>1166</v>
      </c>
      <c r="Z25" s="2067" t="s">
        <v>157</v>
      </c>
      <c r="AA25" s="2103" t="s">
        <v>157</v>
      </c>
    </row>
    <row r="26" spans="1:27" s="259" customFormat="1" ht="18">
      <c r="A26" s="2043">
        <v>17</v>
      </c>
      <c r="B26" s="2044" t="s">
        <v>1255</v>
      </c>
      <c r="C26" s="2105" t="s">
        <v>2998</v>
      </c>
      <c r="D26" s="2046" t="s">
        <v>2999</v>
      </c>
      <c r="E26" s="2105" t="s">
        <v>873</v>
      </c>
      <c r="F26" s="2106" t="s">
        <v>3000</v>
      </c>
      <c r="G26" s="2106">
        <v>9108014538</v>
      </c>
      <c r="H26" s="1801" t="s">
        <v>3001</v>
      </c>
      <c r="I26" s="2089" t="s">
        <v>3002</v>
      </c>
      <c r="J26" s="2051" t="s">
        <v>73</v>
      </c>
      <c r="K26" s="2052" t="s">
        <v>138</v>
      </c>
      <c r="L26" s="2114" t="s">
        <v>3003</v>
      </c>
      <c r="M26" s="2115" t="s">
        <v>2990</v>
      </c>
      <c r="N26" s="2116">
        <v>157267</v>
      </c>
      <c r="O26" s="2055" t="s">
        <v>49</v>
      </c>
      <c r="P26" s="2043" t="s">
        <v>7</v>
      </c>
      <c r="Q26" s="2056">
        <v>1</v>
      </c>
      <c r="R26" s="802">
        <v>2124008372</v>
      </c>
      <c r="S26" s="2092" t="s">
        <v>3004</v>
      </c>
      <c r="T26" s="2043">
        <v>149975</v>
      </c>
      <c r="U26" s="2043" t="s">
        <v>7</v>
      </c>
      <c r="V26" s="1797">
        <v>0</v>
      </c>
      <c r="W26" s="2043" t="s">
        <v>2983</v>
      </c>
      <c r="X26" s="2043" t="s">
        <v>1166</v>
      </c>
      <c r="Y26" s="2058" t="s">
        <v>1166</v>
      </c>
      <c r="Z26" s="2067" t="s">
        <v>1166</v>
      </c>
      <c r="AA26" s="2068" t="s">
        <v>1166</v>
      </c>
    </row>
    <row r="27" spans="1:27" s="259" customFormat="1" ht="18">
      <c r="A27" s="2043" t="s">
        <v>1166</v>
      </c>
      <c r="B27" s="2044"/>
      <c r="C27" s="2110" t="s">
        <v>2998</v>
      </c>
      <c r="D27" s="2046" t="s">
        <v>2999</v>
      </c>
      <c r="E27" s="2105" t="s">
        <v>873</v>
      </c>
      <c r="F27" s="2106" t="s">
        <v>3000</v>
      </c>
      <c r="G27" s="2106">
        <v>9108014538</v>
      </c>
      <c r="H27" s="1801" t="s">
        <v>3001</v>
      </c>
      <c r="I27" s="2089" t="s">
        <v>3005</v>
      </c>
      <c r="J27" s="2051" t="s">
        <v>73</v>
      </c>
      <c r="K27" s="2052" t="s">
        <v>138</v>
      </c>
      <c r="L27" s="2117" t="s">
        <v>3003</v>
      </c>
      <c r="M27" s="2054" t="s">
        <v>2990</v>
      </c>
      <c r="N27" s="2053">
        <v>157267</v>
      </c>
      <c r="O27" s="2055" t="s">
        <v>49</v>
      </c>
      <c r="P27" s="2043" t="s">
        <v>7</v>
      </c>
      <c r="Q27" s="2056">
        <v>1</v>
      </c>
      <c r="R27" s="802">
        <v>2124008372</v>
      </c>
      <c r="S27" s="2092" t="s">
        <v>3004</v>
      </c>
      <c r="T27" s="2043">
        <v>149975</v>
      </c>
      <c r="U27" s="2043" t="s">
        <v>7</v>
      </c>
      <c r="V27" s="1797">
        <v>0</v>
      </c>
      <c r="W27" s="2043" t="s">
        <v>2983</v>
      </c>
      <c r="X27" s="2043" t="s">
        <v>1166</v>
      </c>
      <c r="Y27" s="2058" t="s">
        <v>1166</v>
      </c>
      <c r="Z27" s="2067" t="s">
        <v>1166</v>
      </c>
      <c r="AA27" s="2068" t="s">
        <v>1166</v>
      </c>
    </row>
    <row r="28" spans="1:27" s="259" customFormat="1" ht="18">
      <c r="A28" s="2043">
        <v>18</v>
      </c>
      <c r="B28" s="2044" t="s">
        <v>1255</v>
      </c>
      <c r="C28" s="2105" t="s">
        <v>3006</v>
      </c>
      <c r="D28" s="2046" t="s">
        <v>2445</v>
      </c>
      <c r="E28" s="2105" t="s">
        <v>3007</v>
      </c>
      <c r="F28" s="2106" t="s">
        <v>3008</v>
      </c>
      <c r="G28" s="2106">
        <v>9741223961</v>
      </c>
      <c r="H28" s="1801" t="s">
        <v>3009</v>
      </c>
      <c r="I28" s="2089" t="s">
        <v>3010</v>
      </c>
      <c r="J28" s="2051" t="s">
        <v>73</v>
      </c>
      <c r="K28" s="2051" t="s">
        <v>157</v>
      </c>
      <c r="L28" s="2118" t="s">
        <v>3011</v>
      </c>
      <c r="M28" s="1823" t="s">
        <v>3012</v>
      </c>
      <c r="N28" s="2092">
        <v>151305</v>
      </c>
      <c r="O28" s="2055" t="s">
        <v>49</v>
      </c>
      <c r="P28" s="2043" t="s">
        <v>28</v>
      </c>
      <c r="Q28" s="2056">
        <v>0.8</v>
      </c>
      <c r="R28" s="2058">
        <v>4100030249</v>
      </c>
      <c r="S28" s="2099">
        <v>45933</v>
      </c>
      <c r="T28" s="2043">
        <v>476000</v>
      </c>
      <c r="U28" s="2043" t="s">
        <v>28</v>
      </c>
      <c r="V28" s="1797">
        <v>0</v>
      </c>
      <c r="W28" s="2043" t="s">
        <v>3013</v>
      </c>
      <c r="X28" s="2043" t="s">
        <v>1166</v>
      </c>
      <c r="Y28" s="2058" t="s">
        <v>1166</v>
      </c>
      <c r="Z28" s="2067" t="s">
        <v>1166</v>
      </c>
      <c r="AA28" s="2068" t="s">
        <v>1166</v>
      </c>
    </row>
    <row r="29" spans="1:27" s="259" customFormat="1" ht="18">
      <c r="A29" s="2043">
        <v>19</v>
      </c>
      <c r="B29" s="2044" t="s">
        <v>1255</v>
      </c>
      <c r="C29" s="2110" t="s">
        <v>3014</v>
      </c>
      <c r="D29" s="2046" t="s">
        <v>2445</v>
      </c>
      <c r="E29" s="2110" t="s">
        <v>873</v>
      </c>
      <c r="F29" s="2111" t="s">
        <v>3015</v>
      </c>
      <c r="G29" s="2111">
        <v>9945766825</v>
      </c>
      <c r="H29" s="1804" t="s">
        <v>3016</v>
      </c>
      <c r="I29" s="2089" t="s">
        <v>3017</v>
      </c>
      <c r="J29" s="2051" t="s">
        <v>73</v>
      </c>
      <c r="K29" s="2051" t="s">
        <v>138</v>
      </c>
      <c r="L29" s="2092" t="s">
        <v>3018</v>
      </c>
      <c r="M29" s="1824" t="s">
        <v>3012</v>
      </c>
      <c r="N29" s="2119">
        <v>78045</v>
      </c>
      <c r="O29" s="2043" t="s">
        <v>49</v>
      </c>
      <c r="P29" s="2043" t="s">
        <v>18</v>
      </c>
      <c r="Q29" s="2056">
        <v>0.8</v>
      </c>
      <c r="R29" s="2066" t="s">
        <v>3019</v>
      </c>
      <c r="S29" s="2058" t="s">
        <v>1239</v>
      </c>
      <c r="T29" s="2043">
        <v>70950</v>
      </c>
      <c r="U29" s="2043" t="s">
        <v>18</v>
      </c>
      <c r="V29" s="1797">
        <v>0</v>
      </c>
      <c r="W29" s="2058" t="s">
        <v>2909</v>
      </c>
      <c r="X29" s="2043" t="s">
        <v>1166</v>
      </c>
      <c r="Y29" s="2058" t="s">
        <v>1166</v>
      </c>
      <c r="Z29" s="2067" t="s">
        <v>1166</v>
      </c>
      <c r="AA29" s="2068" t="s">
        <v>1166</v>
      </c>
    </row>
    <row r="30" spans="1:27" s="259" customFormat="1" ht="18">
      <c r="A30" s="2043" t="s">
        <v>1166</v>
      </c>
      <c r="B30" s="2044"/>
      <c r="C30" s="2105" t="s">
        <v>3014</v>
      </c>
      <c r="D30" s="2046" t="s">
        <v>2445</v>
      </c>
      <c r="E30" s="2105" t="s">
        <v>873</v>
      </c>
      <c r="F30" s="2106" t="s">
        <v>3015</v>
      </c>
      <c r="G30" s="2106">
        <v>9945766825</v>
      </c>
      <c r="H30" s="1801" t="s">
        <v>3016</v>
      </c>
      <c r="I30" s="2050" t="s">
        <v>3020</v>
      </c>
      <c r="J30" s="2120" t="s">
        <v>73</v>
      </c>
      <c r="K30" s="2120" t="s">
        <v>138</v>
      </c>
      <c r="L30" s="2092" t="s">
        <v>3018</v>
      </c>
      <c r="M30" s="1825" t="s">
        <v>3012</v>
      </c>
      <c r="N30" s="2043">
        <v>78045</v>
      </c>
      <c r="O30" s="2043" t="s">
        <v>49</v>
      </c>
      <c r="P30" s="2043" t="s">
        <v>18</v>
      </c>
      <c r="Q30" s="2056">
        <v>0.8</v>
      </c>
      <c r="R30" s="2066" t="s">
        <v>3019</v>
      </c>
      <c r="S30" s="2058" t="s">
        <v>1239</v>
      </c>
      <c r="T30" s="2043">
        <v>70950</v>
      </c>
      <c r="U30" s="2043" t="s">
        <v>18</v>
      </c>
      <c r="V30" s="1797">
        <v>0</v>
      </c>
      <c r="W30" s="2058" t="s">
        <v>2909</v>
      </c>
      <c r="X30" s="1807" t="s">
        <v>1166</v>
      </c>
      <c r="Y30" s="2058" t="s">
        <v>1166</v>
      </c>
      <c r="Z30" s="2067" t="s">
        <v>1166</v>
      </c>
      <c r="AA30" s="2068" t="s">
        <v>1166</v>
      </c>
    </row>
    <row r="31" spans="1:27" s="259" customFormat="1" ht="18">
      <c r="A31" s="2043">
        <v>20</v>
      </c>
      <c r="B31" s="2044" t="s">
        <v>1255</v>
      </c>
      <c r="C31" s="2105" t="s">
        <v>3021</v>
      </c>
      <c r="D31" s="2046" t="s">
        <v>2445</v>
      </c>
      <c r="E31" s="2105" t="s">
        <v>954</v>
      </c>
      <c r="F31" s="2106" t="s">
        <v>3022</v>
      </c>
      <c r="G31" s="2106">
        <v>9964504497</v>
      </c>
      <c r="H31" s="1801" t="s">
        <v>3023</v>
      </c>
      <c r="I31" s="2050" t="s">
        <v>3024</v>
      </c>
      <c r="J31" s="2120" t="s">
        <v>73</v>
      </c>
      <c r="K31" s="2120" t="s">
        <v>138</v>
      </c>
      <c r="L31" s="2064" t="s">
        <v>3025</v>
      </c>
      <c r="M31" s="1826" t="s">
        <v>3012</v>
      </c>
      <c r="N31" s="2043">
        <v>92400</v>
      </c>
      <c r="O31" s="2043" t="s">
        <v>49</v>
      </c>
      <c r="P31" s="2043" t="s">
        <v>25</v>
      </c>
      <c r="Q31" s="2056">
        <v>0.9</v>
      </c>
      <c r="R31" s="2058">
        <v>9200013983</v>
      </c>
      <c r="S31" s="2099">
        <v>45964</v>
      </c>
      <c r="T31" s="2043">
        <v>87360</v>
      </c>
      <c r="U31" s="2043" t="s">
        <v>25</v>
      </c>
      <c r="V31" s="1797">
        <v>0</v>
      </c>
      <c r="W31" s="2058" t="s">
        <v>2909</v>
      </c>
      <c r="X31" s="2043" t="s">
        <v>1166</v>
      </c>
      <c r="Y31" s="2058" t="s">
        <v>1166</v>
      </c>
      <c r="Z31" s="2067" t="s">
        <v>1166</v>
      </c>
      <c r="AA31" s="2068" t="s">
        <v>1166</v>
      </c>
    </row>
    <row r="32" spans="1:27" s="259" customFormat="1" ht="18">
      <c r="A32" s="2043">
        <v>21</v>
      </c>
      <c r="B32" s="2044" t="s">
        <v>1255</v>
      </c>
      <c r="C32" s="2105" t="s">
        <v>993</v>
      </c>
      <c r="D32" s="2046" t="s">
        <v>2902</v>
      </c>
      <c r="E32" s="2105" t="s">
        <v>873</v>
      </c>
      <c r="F32" s="2106" t="s">
        <v>3026</v>
      </c>
      <c r="G32" s="2106">
        <v>8888826015</v>
      </c>
      <c r="H32" s="1801" t="s">
        <v>3027</v>
      </c>
      <c r="I32" s="2089" t="s">
        <v>3028</v>
      </c>
      <c r="J32" s="2120" t="s">
        <v>73</v>
      </c>
      <c r="K32" s="2121" t="s">
        <v>138</v>
      </c>
      <c r="L32" s="1803" t="s">
        <v>3029</v>
      </c>
      <c r="M32" s="2113" t="s">
        <v>3012</v>
      </c>
      <c r="N32" s="2055">
        <v>138512</v>
      </c>
      <c r="O32" s="2043" t="s">
        <v>49</v>
      </c>
      <c r="P32" s="2043" t="s">
        <v>7</v>
      </c>
      <c r="Q32" s="2056">
        <v>1</v>
      </c>
      <c r="R32" s="2109">
        <v>4400008796</v>
      </c>
      <c r="S32" s="2099">
        <v>45839</v>
      </c>
      <c r="T32" s="2043">
        <v>132225</v>
      </c>
      <c r="U32" s="2043" t="s">
        <v>7</v>
      </c>
      <c r="V32" s="1797">
        <v>0</v>
      </c>
      <c r="W32" s="2058" t="s">
        <v>2909</v>
      </c>
      <c r="X32" s="2043" t="s">
        <v>1166</v>
      </c>
      <c r="Y32" s="2058" t="s">
        <v>723</v>
      </c>
      <c r="Z32" s="2067" t="s">
        <v>1166</v>
      </c>
      <c r="AA32" s="2068" t="s">
        <v>1166</v>
      </c>
    </row>
    <row r="33" spans="1:27" s="259" customFormat="1" ht="18">
      <c r="A33" s="2043" t="s">
        <v>1166</v>
      </c>
      <c r="B33" s="2044"/>
      <c r="C33" s="2110" t="s">
        <v>993</v>
      </c>
      <c r="D33" s="2046" t="s">
        <v>2902</v>
      </c>
      <c r="E33" s="2110" t="s">
        <v>873</v>
      </c>
      <c r="F33" s="2111" t="s">
        <v>3026</v>
      </c>
      <c r="G33" s="2111">
        <v>8888826015</v>
      </c>
      <c r="H33" s="1804" t="s">
        <v>3027</v>
      </c>
      <c r="I33" s="2050" t="s">
        <v>3030</v>
      </c>
      <c r="J33" s="2120" t="s">
        <v>73</v>
      </c>
      <c r="K33" s="2121" t="s">
        <v>138</v>
      </c>
      <c r="L33" s="1803" t="s">
        <v>3029</v>
      </c>
      <c r="M33" s="2113" t="s">
        <v>3012</v>
      </c>
      <c r="N33" s="2055">
        <v>138512</v>
      </c>
      <c r="O33" s="2043" t="s">
        <v>49</v>
      </c>
      <c r="P33" s="2043" t="s">
        <v>7</v>
      </c>
      <c r="Q33" s="2056">
        <v>1</v>
      </c>
      <c r="R33" s="2109">
        <v>4400008796</v>
      </c>
      <c r="S33" s="2099">
        <v>45839</v>
      </c>
      <c r="T33" s="2043">
        <v>132225</v>
      </c>
      <c r="U33" s="2043" t="s">
        <v>7</v>
      </c>
      <c r="V33" s="1797">
        <v>0</v>
      </c>
      <c r="W33" s="2058" t="s">
        <v>2909</v>
      </c>
      <c r="X33" s="2043" t="s">
        <v>1166</v>
      </c>
      <c r="Y33" s="2058" t="s">
        <v>723</v>
      </c>
      <c r="Z33" s="2067" t="s">
        <v>1166</v>
      </c>
      <c r="AA33" s="2103" t="s">
        <v>1166</v>
      </c>
    </row>
    <row r="34" spans="1:27" s="259" customFormat="1" ht="18">
      <c r="A34" s="2043" t="s">
        <v>1166</v>
      </c>
      <c r="B34" s="2044"/>
      <c r="C34" s="2105" t="s">
        <v>993</v>
      </c>
      <c r="D34" s="2046" t="s">
        <v>2902</v>
      </c>
      <c r="E34" s="2105" t="s">
        <v>873</v>
      </c>
      <c r="F34" s="2106" t="s">
        <v>3026</v>
      </c>
      <c r="G34" s="2106">
        <v>8888826015</v>
      </c>
      <c r="H34" s="1801" t="s">
        <v>3027</v>
      </c>
      <c r="I34" s="2050" t="s">
        <v>3031</v>
      </c>
      <c r="J34" s="2120" t="s">
        <v>73</v>
      </c>
      <c r="K34" s="2121" t="s">
        <v>138</v>
      </c>
      <c r="L34" s="1803" t="s">
        <v>3029</v>
      </c>
      <c r="M34" s="2113" t="s">
        <v>3012</v>
      </c>
      <c r="N34" s="2055">
        <v>138512</v>
      </c>
      <c r="O34" s="2043" t="s">
        <v>49</v>
      </c>
      <c r="P34" s="2043" t="s">
        <v>7</v>
      </c>
      <c r="Q34" s="2056">
        <v>1</v>
      </c>
      <c r="R34" s="2109">
        <v>4400008796</v>
      </c>
      <c r="S34" s="2099">
        <v>45839</v>
      </c>
      <c r="T34" s="2043">
        <v>132225</v>
      </c>
      <c r="U34" s="2043" t="s">
        <v>7</v>
      </c>
      <c r="V34" s="1797">
        <v>0</v>
      </c>
      <c r="W34" s="2058" t="s">
        <v>2909</v>
      </c>
      <c r="X34" s="2043" t="s">
        <v>1166</v>
      </c>
      <c r="Y34" s="2058" t="s">
        <v>723</v>
      </c>
      <c r="Z34" s="2067" t="s">
        <v>1166</v>
      </c>
      <c r="AA34" s="2103" t="s">
        <v>1166</v>
      </c>
    </row>
    <row r="35" spans="1:27" s="259" customFormat="1" ht="18">
      <c r="A35" s="2043" t="s">
        <v>1166</v>
      </c>
      <c r="B35" s="2044"/>
      <c r="C35" s="2110" t="s">
        <v>993</v>
      </c>
      <c r="D35" s="2046" t="s">
        <v>2902</v>
      </c>
      <c r="E35" s="2110" t="s">
        <v>873</v>
      </c>
      <c r="F35" s="2111" t="s">
        <v>3026</v>
      </c>
      <c r="G35" s="2111">
        <v>8888826015</v>
      </c>
      <c r="H35" s="1804" t="s">
        <v>3027</v>
      </c>
      <c r="I35" s="2089" t="s">
        <v>871</v>
      </c>
      <c r="J35" s="2120" t="s">
        <v>73</v>
      </c>
      <c r="K35" s="2121" t="s">
        <v>138</v>
      </c>
      <c r="L35" s="1803" t="s">
        <v>3029</v>
      </c>
      <c r="M35" s="2113" t="s">
        <v>3012</v>
      </c>
      <c r="N35" s="2055">
        <v>138512</v>
      </c>
      <c r="O35" s="2043" t="s">
        <v>49</v>
      </c>
      <c r="P35" s="2043" t="s">
        <v>7</v>
      </c>
      <c r="Q35" s="2056">
        <v>1</v>
      </c>
      <c r="R35" s="2109">
        <v>4400008796</v>
      </c>
      <c r="S35" s="2099">
        <v>45839</v>
      </c>
      <c r="T35" s="2043">
        <v>132225</v>
      </c>
      <c r="U35" s="2043" t="s">
        <v>7</v>
      </c>
      <c r="V35" s="1797">
        <v>0</v>
      </c>
      <c r="W35" s="2058" t="s">
        <v>2909</v>
      </c>
      <c r="X35" s="2043" t="s">
        <v>1166</v>
      </c>
      <c r="Y35" s="2058" t="s">
        <v>723</v>
      </c>
      <c r="Z35" s="2067" t="s">
        <v>1166</v>
      </c>
      <c r="AA35" s="2103" t="s">
        <v>1166</v>
      </c>
    </row>
    <row r="36" spans="1:27" s="259" customFormat="1" ht="18">
      <c r="A36" s="2043" t="s">
        <v>1166</v>
      </c>
      <c r="B36" s="2044"/>
      <c r="C36" s="2105" t="s">
        <v>993</v>
      </c>
      <c r="D36" s="2046" t="s">
        <v>2902</v>
      </c>
      <c r="E36" s="2105" t="s">
        <v>873</v>
      </c>
      <c r="F36" s="2106" t="s">
        <v>3026</v>
      </c>
      <c r="G36" s="2106">
        <v>8888826015</v>
      </c>
      <c r="H36" s="1801" t="s">
        <v>3027</v>
      </c>
      <c r="I36" s="2089" t="s">
        <v>3032</v>
      </c>
      <c r="J36" s="2120" t="s">
        <v>73</v>
      </c>
      <c r="K36" s="2121" t="s">
        <v>157</v>
      </c>
      <c r="L36" s="1803" t="s">
        <v>3029</v>
      </c>
      <c r="M36" s="2113" t="s">
        <v>3012</v>
      </c>
      <c r="N36" s="2055">
        <v>138512</v>
      </c>
      <c r="O36" s="2043" t="s">
        <v>49</v>
      </c>
      <c r="P36" s="2043" t="s">
        <v>7</v>
      </c>
      <c r="Q36" s="2056">
        <v>1</v>
      </c>
      <c r="R36" s="2109">
        <v>4400008796</v>
      </c>
      <c r="S36" s="2099">
        <v>45839</v>
      </c>
      <c r="T36" s="2043">
        <v>132225</v>
      </c>
      <c r="U36" s="2043" t="s">
        <v>7</v>
      </c>
      <c r="V36" s="1797">
        <v>0</v>
      </c>
      <c r="W36" s="2058" t="s">
        <v>2909</v>
      </c>
      <c r="X36" s="2043" t="s">
        <v>1166</v>
      </c>
      <c r="Y36" s="2058" t="s">
        <v>723</v>
      </c>
      <c r="Z36" s="2067" t="s">
        <v>1166</v>
      </c>
      <c r="AA36" s="2103" t="s">
        <v>1166</v>
      </c>
    </row>
    <row r="37" spans="1:27" s="259" customFormat="1" ht="18">
      <c r="A37" s="2043">
        <v>22</v>
      </c>
      <c r="B37" s="2044" t="s">
        <v>1255</v>
      </c>
      <c r="C37" s="2105" t="s">
        <v>3033</v>
      </c>
      <c r="D37" s="2046" t="s">
        <v>3034</v>
      </c>
      <c r="E37" s="2105" t="s">
        <v>3035</v>
      </c>
      <c r="F37" s="2106" t="s">
        <v>3036</v>
      </c>
      <c r="G37" s="2106">
        <v>8668969287</v>
      </c>
      <c r="H37" s="1801" t="s">
        <v>3037</v>
      </c>
      <c r="I37" s="2089" t="s">
        <v>3038</v>
      </c>
      <c r="J37" s="2120" t="s">
        <v>73</v>
      </c>
      <c r="K37" s="2120" t="s">
        <v>138</v>
      </c>
      <c r="L37" s="1803" t="s">
        <v>3039</v>
      </c>
      <c r="M37" s="2113" t="s">
        <v>3012</v>
      </c>
      <c r="N37" s="2043">
        <v>154560</v>
      </c>
      <c r="O37" s="2043" t="s">
        <v>49</v>
      </c>
      <c r="P37" s="2043" t="s">
        <v>28</v>
      </c>
      <c r="Q37" s="2056">
        <v>1</v>
      </c>
      <c r="R37" s="2109">
        <v>4300019018</v>
      </c>
      <c r="S37" s="2058" t="s">
        <v>3040</v>
      </c>
      <c r="T37" s="2043">
        <v>147660</v>
      </c>
      <c r="U37" s="2043" t="s">
        <v>25</v>
      </c>
      <c r="V37" s="1797">
        <v>0</v>
      </c>
      <c r="W37" s="2058" t="s">
        <v>2909</v>
      </c>
      <c r="X37" s="2043" t="s">
        <v>1166</v>
      </c>
      <c r="Y37" s="2058" t="s">
        <v>1166</v>
      </c>
      <c r="Z37" s="2067" t="s">
        <v>1166</v>
      </c>
      <c r="AA37" s="2068" t="s">
        <v>1166</v>
      </c>
    </row>
    <row r="38" spans="1:27" s="259" customFormat="1" ht="18">
      <c r="A38" s="2043" t="s">
        <v>1166</v>
      </c>
      <c r="B38" s="2044"/>
      <c r="C38" s="2105" t="s">
        <v>3033</v>
      </c>
      <c r="D38" s="2046" t="s">
        <v>3034</v>
      </c>
      <c r="E38" s="2105" t="s">
        <v>3035</v>
      </c>
      <c r="F38" s="2106" t="s">
        <v>3036</v>
      </c>
      <c r="G38" s="2106">
        <v>8668969287</v>
      </c>
      <c r="H38" s="1801" t="s">
        <v>3037</v>
      </c>
      <c r="I38" s="2089" t="s">
        <v>3041</v>
      </c>
      <c r="J38" s="2120" t="s">
        <v>73</v>
      </c>
      <c r="K38" s="2120" t="s">
        <v>138</v>
      </c>
      <c r="L38" s="1803" t="s">
        <v>3039</v>
      </c>
      <c r="M38" s="2113" t="s">
        <v>3012</v>
      </c>
      <c r="N38" s="2043">
        <v>154560</v>
      </c>
      <c r="O38" s="2043" t="s">
        <v>49</v>
      </c>
      <c r="P38" s="2043" t="s">
        <v>28</v>
      </c>
      <c r="Q38" s="2056">
        <v>1</v>
      </c>
      <c r="R38" s="2109">
        <v>4300019018</v>
      </c>
      <c r="S38" s="2058" t="s">
        <v>3042</v>
      </c>
      <c r="T38" s="2043">
        <v>147660</v>
      </c>
      <c r="U38" s="2043" t="s">
        <v>25</v>
      </c>
      <c r="V38" s="1797">
        <v>0</v>
      </c>
      <c r="W38" s="2058" t="s">
        <v>2909</v>
      </c>
      <c r="X38" s="2043" t="s">
        <v>1166</v>
      </c>
      <c r="Y38" s="2058" t="s">
        <v>1166</v>
      </c>
      <c r="Z38" s="2067" t="s">
        <v>1166</v>
      </c>
      <c r="AA38" s="2068" t="s">
        <v>1166</v>
      </c>
    </row>
    <row r="39" spans="1:27" s="259" customFormat="1" ht="18">
      <c r="A39" s="2043">
        <v>23</v>
      </c>
      <c r="B39" s="2044" t="s">
        <v>1255</v>
      </c>
      <c r="C39" s="2110" t="s">
        <v>3043</v>
      </c>
      <c r="D39" s="2046" t="s">
        <v>2252</v>
      </c>
      <c r="E39" s="2110" t="s">
        <v>873</v>
      </c>
      <c r="F39" s="2111" t="s">
        <v>3044</v>
      </c>
      <c r="G39" s="2111">
        <v>9008301410</v>
      </c>
      <c r="H39" s="1804" t="s">
        <v>3045</v>
      </c>
      <c r="I39" s="2050" t="s">
        <v>3046</v>
      </c>
      <c r="J39" s="2051" t="s">
        <v>73</v>
      </c>
      <c r="K39" s="2051" t="s">
        <v>138</v>
      </c>
      <c r="L39" s="1803" t="s">
        <v>3047</v>
      </c>
      <c r="M39" s="1827" t="s">
        <v>3048</v>
      </c>
      <c r="N39" s="2043">
        <v>71968</v>
      </c>
      <c r="O39" s="2043" t="s">
        <v>49</v>
      </c>
      <c r="P39" s="2043" t="s">
        <v>7</v>
      </c>
      <c r="Q39" s="2056">
        <v>1</v>
      </c>
      <c r="R39" s="2109">
        <v>1000036136</v>
      </c>
      <c r="S39" s="2058" t="s">
        <v>3042</v>
      </c>
      <c r="T39" s="2043">
        <v>68706.75</v>
      </c>
      <c r="U39" s="2043" t="s">
        <v>7</v>
      </c>
      <c r="V39" s="1797">
        <v>0</v>
      </c>
      <c r="W39" s="2058" t="s">
        <v>2909</v>
      </c>
      <c r="X39" s="2043" t="s">
        <v>1166</v>
      </c>
      <c r="Y39" s="2058" t="s">
        <v>1166</v>
      </c>
      <c r="Z39" s="2067" t="s">
        <v>1166</v>
      </c>
      <c r="AA39" s="2103" t="s">
        <v>1166</v>
      </c>
    </row>
    <row r="40" spans="1:27" s="259" customFormat="1" ht="18">
      <c r="A40" s="2043" t="s">
        <v>1166</v>
      </c>
      <c r="B40" s="2044"/>
      <c r="C40" s="2105" t="s">
        <v>3043</v>
      </c>
      <c r="D40" s="2046" t="s">
        <v>2252</v>
      </c>
      <c r="E40" s="2105" t="s">
        <v>873</v>
      </c>
      <c r="F40" s="2106" t="s">
        <v>3044</v>
      </c>
      <c r="G40" s="2106">
        <v>9008301410</v>
      </c>
      <c r="H40" s="1801" t="s">
        <v>3045</v>
      </c>
      <c r="I40" s="2050" t="s">
        <v>3049</v>
      </c>
      <c r="J40" s="2051" t="s">
        <v>73</v>
      </c>
      <c r="K40" s="2051" t="s">
        <v>138</v>
      </c>
      <c r="L40" s="1803" t="s">
        <v>3047</v>
      </c>
      <c r="M40" s="1827" t="s">
        <v>3048</v>
      </c>
      <c r="N40" s="2043">
        <v>71968</v>
      </c>
      <c r="O40" s="2043" t="s">
        <v>49</v>
      </c>
      <c r="P40" s="2043" t="s">
        <v>7</v>
      </c>
      <c r="Q40" s="2056">
        <v>1</v>
      </c>
      <c r="R40" s="2109">
        <v>1000036136</v>
      </c>
      <c r="S40" s="2058" t="s">
        <v>3042</v>
      </c>
      <c r="T40" s="2043">
        <v>68706.75</v>
      </c>
      <c r="U40" s="2043" t="s">
        <v>7</v>
      </c>
      <c r="V40" s="1797">
        <v>0</v>
      </c>
      <c r="W40" s="2058" t="s">
        <v>2909</v>
      </c>
      <c r="X40" s="2043" t="s">
        <v>1166</v>
      </c>
      <c r="Y40" s="2058" t="s">
        <v>1166</v>
      </c>
      <c r="Z40" s="2067" t="s">
        <v>1166</v>
      </c>
      <c r="AA40" s="2068" t="s">
        <v>1166</v>
      </c>
    </row>
    <row r="41" spans="1:27" s="259" customFormat="1" ht="18">
      <c r="A41" s="2043" t="s">
        <v>1166</v>
      </c>
      <c r="B41" s="2044"/>
      <c r="C41" s="2110" t="s">
        <v>3043</v>
      </c>
      <c r="D41" s="2046" t="s">
        <v>2252</v>
      </c>
      <c r="E41" s="2110" t="s">
        <v>873</v>
      </c>
      <c r="F41" s="2111" t="s">
        <v>3044</v>
      </c>
      <c r="G41" s="2111">
        <v>9008301410</v>
      </c>
      <c r="H41" s="1804" t="s">
        <v>3045</v>
      </c>
      <c r="I41" s="2089" t="s">
        <v>3050</v>
      </c>
      <c r="J41" s="2120" t="s">
        <v>73</v>
      </c>
      <c r="K41" s="2120" t="s">
        <v>138</v>
      </c>
      <c r="L41" s="1803" t="s">
        <v>3047</v>
      </c>
      <c r="M41" s="1827" t="s">
        <v>3048</v>
      </c>
      <c r="N41" s="2043">
        <v>71968</v>
      </c>
      <c r="O41" s="2043" t="s">
        <v>49</v>
      </c>
      <c r="P41" s="2043" t="s">
        <v>7</v>
      </c>
      <c r="Q41" s="2056">
        <v>1</v>
      </c>
      <c r="R41" s="2109">
        <v>1000036136</v>
      </c>
      <c r="S41" s="2058" t="s">
        <v>3042</v>
      </c>
      <c r="T41" s="2043">
        <v>68706.75</v>
      </c>
      <c r="U41" s="2043" t="s">
        <v>7</v>
      </c>
      <c r="V41" s="1797">
        <v>0</v>
      </c>
      <c r="W41" s="2043" t="s">
        <v>2909</v>
      </c>
      <c r="X41" s="1807" t="s">
        <v>1166</v>
      </c>
      <c r="Y41" s="2058" t="s">
        <v>1166</v>
      </c>
      <c r="Z41" s="2067" t="s">
        <v>1166</v>
      </c>
      <c r="AA41" s="2068" t="s">
        <v>1166</v>
      </c>
    </row>
    <row r="42" spans="1:27" s="259" customFormat="1" ht="18">
      <c r="A42" s="2043" t="s">
        <v>1166</v>
      </c>
      <c r="B42" s="2044"/>
      <c r="C42" s="2105" t="s">
        <v>3043</v>
      </c>
      <c r="D42" s="2046" t="s">
        <v>2252</v>
      </c>
      <c r="E42" s="2105" t="s">
        <v>873</v>
      </c>
      <c r="F42" s="2106" t="s">
        <v>3044</v>
      </c>
      <c r="G42" s="2106">
        <v>9008301410</v>
      </c>
      <c r="H42" s="1801" t="s">
        <v>3045</v>
      </c>
      <c r="I42" s="2089">
        <v>72403</v>
      </c>
      <c r="J42" s="2120" t="s">
        <v>73</v>
      </c>
      <c r="K42" s="2120" t="s">
        <v>138</v>
      </c>
      <c r="L42" s="1806" t="s">
        <v>3047</v>
      </c>
      <c r="M42" s="1826" t="s">
        <v>3048</v>
      </c>
      <c r="N42" s="2088">
        <v>71968</v>
      </c>
      <c r="O42" s="2043" t="s">
        <v>49</v>
      </c>
      <c r="P42" s="2043" t="s">
        <v>7</v>
      </c>
      <c r="Q42" s="2056">
        <v>1</v>
      </c>
      <c r="R42" s="2109">
        <v>1000036136</v>
      </c>
      <c r="S42" s="2058" t="s">
        <v>1367</v>
      </c>
      <c r="T42" s="2043">
        <v>68706.75</v>
      </c>
      <c r="U42" s="2043" t="s">
        <v>7</v>
      </c>
      <c r="V42" s="1797">
        <v>0</v>
      </c>
      <c r="W42" s="2043" t="s">
        <v>2909</v>
      </c>
      <c r="X42" s="1807" t="s">
        <v>1166</v>
      </c>
      <c r="Y42" s="2058" t="s">
        <v>1166</v>
      </c>
      <c r="Z42" s="2067" t="s">
        <v>1166</v>
      </c>
      <c r="AA42" s="2068" t="s">
        <v>1166</v>
      </c>
    </row>
    <row r="43" spans="1:27" s="259" customFormat="1" ht="18">
      <c r="A43" s="2043">
        <v>24</v>
      </c>
      <c r="B43" s="2044" t="s">
        <v>1255</v>
      </c>
      <c r="C43" s="2110" t="s">
        <v>3051</v>
      </c>
      <c r="D43" s="2046" t="s">
        <v>2252</v>
      </c>
      <c r="E43" s="2110" t="s">
        <v>954</v>
      </c>
      <c r="F43" s="2111" t="s">
        <v>3052</v>
      </c>
      <c r="G43" s="2111">
        <v>9663804313</v>
      </c>
      <c r="H43" s="1804" t="s">
        <v>3053</v>
      </c>
      <c r="I43" s="2089" t="s">
        <v>3054</v>
      </c>
      <c r="J43" s="2120" t="s">
        <v>73</v>
      </c>
      <c r="K43" s="2121" t="s">
        <v>138</v>
      </c>
      <c r="L43" s="2117" t="s">
        <v>3055</v>
      </c>
      <c r="M43" s="2122">
        <v>45424</v>
      </c>
      <c r="N43" s="2123">
        <v>111196</v>
      </c>
      <c r="O43" s="2055" t="s">
        <v>62</v>
      </c>
      <c r="P43" s="2043" t="s">
        <v>7</v>
      </c>
      <c r="Q43" s="2056">
        <v>1</v>
      </c>
      <c r="R43" s="2109">
        <v>4200249346</v>
      </c>
      <c r="S43" s="2058" t="s">
        <v>1367</v>
      </c>
      <c r="T43" s="2043">
        <v>102959</v>
      </c>
      <c r="U43" s="2043" t="s">
        <v>7</v>
      </c>
      <c r="V43" s="1797">
        <v>0</v>
      </c>
      <c r="W43" s="2043" t="s">
        <v>2909</v>
      </c>
      <c r="X43" s="2043" t="s">
        <v>1166</v>
      </c>
      <c r="Y43" s="2058" t="s">
        <v>1166</v>
      </c>
      <c r="Z43" s="2067" t="s">
        <v>1166</v>
      </c>
      <c r="AA43" s="2068" t="s">
        <v>1166</v>
      </c>
    </row>
    <row r="44" spans="1:27" s="259" customFormat="1" ht="18">
      <c r="A44" s="2043" t="s">
        <v>1166</v>
      </c>
      <c r="B44" s="2044"/>
      <c r="C44" s="2105" t="s">
        <v>3051</v>
      </c>
      <c r="D44" s="2046" t="s">
        <v>2252</v>
      </c>
      <c r="E44" s="2105" t="s">
        <v>954</v>
      </c>
      <c r="F44" s="2106" t="s">
        <v>3052</v>
      </c>
      <c r="G44" s="2106">
        <v>9663804313</v>
      </c>
      <c r="H44" s="1801" t="s">
        <v>3053</v>
      </c>
      <c r="I44" s="2089" t="s">
        <v>3056</v>
      </c>
      <c r="J44" s="2051" t="s">
        <v>73</v>
      </c>
      <c r="K44" s="2051" t="s">
        <v>138</v>
      </c>
      <c r="L44" s="2117" t="s">
        <v>3055</v>
      </c>
      <c r="M44" s="2124">
        <v>45424</v>
      </c>
      <c r="N44" s="2092">
        <v>111196</v>
      </c>
      <c r="O44" s="2043" t="s">
        <v>62</v>
      </c>
      <c r="P44" s="2043" t="s">
        <v>7</v>
      </c>
      <c r="Q44" s="2056">
        <v>1</v>
      </c>
      <c r="R44" s="2109">
        <v>4200249346</v>
      </c>
      <c r="S44" s="2058" t="s">
        <v>1367</v>
      </c>
      <c r="T44" s="2043">
        <v>102959</v>
      </c>
      <c r="U44" s="2043" t="s">
        <v>7</v>
      </c>
      <c r="V44" s="1797">
        <v>0</v>
      </c>
      <c r="W44" s="2043" t="s">
        <v>2909</v>
      </c>
      <c r="X44" s="2043" t="s">
        <v>1166</v>
      </c>
      <c r="Y44" s="2058" t="s">
        <v>1166</v>
      </c>
      <c r="Z44" s="2067" t="s">
        <v>1166</v>
      </c>
      <c r="AA44" s="2103" t="s">
        <v>1166</v>
      </c>
    </row>
    <row r="45" spans="1:27" s="259" customFormat="1" ht="18">
      <c r="A45" s="2043" t="s">
        <v>1166</v>
      </c>
      <c r="B45" s="2044"/>
      <c r="C45" s="2110" t="s">
        <v>3051</v>
      </c>
      <c r="D45" s="2046" t="s">
        <v>2252</v>
      </c>
      <c r="E45" s="2110" t="s">
        <v>954</v>
      </c>
      <c r="F45" s="2111" t="s">
        <v>3052</v>
      </c>
      <c r="G45" s="2111">
        <v>9663804313</v>
      </c>
      <c r="H45" s="1804" t="s">
        <v>3053</v>
      </c>
      <c r="I45" s="2050" t="s">
        <v>3057</v>
      </c>
      <c r="J45" s="2120" t="s">
        <v>73</v>
      </c>
      <c r="K45" s="2120" t="s">
        <v>138</v>
      </c>
      <c r="L45" s="2117" t="s">
        <v>3055</v>
      </c>
      <c r="M45" s="2122">
        <v>45424</v>
      </c>
      <c r="N45" s="2123">
        <v>111196</v>
      </c>
      <c r="O45" s="2043" t="s">
        <v>62</v>
      </c>
      <c r="P45" s="2043" t="s">
        <v>7</v>
      </c>
      <c r="Q45" s="2056">
        <v>1</v>
      </c>
      <c r="R45" s="2109">
        <v>4200249346</v>
      </c>
      <c r="S45" s="2058" t="s">
        <v>1367</v>
      </c>
      <c r="T45" s="2043">
        <v>102959</v>
      </c>
      <c r="U45" s="2043" t="s">
        <v>7</v>
      </c>
      <c r="V45" s="1797">
        <v>0</v>
      </c>
      <c r="W45" s="2043" t="s">
        <v>2909</v>
      </c>
      <c r="X45" s="2043" t="s">
        <v>1166</v>
      </c>
      <c r="Y45" s="2058" t="s">
        <v>1166</v>
      </c>
      <c r="Z45" s="2067" t="s">
        <v>1166</v>
      </c>
      <c r="AA45" s="2103" t="s">
        <v>1166</v>
      </c>
    </row>
    <row r="46" spans="1:27" s="259" customFormat="1" ht="18">
      <c r="A46" s="2043" t="s">
        <v>1166</v>
      </c>
      <c r="B46" s="2044"/>
      <c r="C46" s="2105" t="s">
        <v>3051</v>
      </c>
      <c r="D46" s="2046" t="s">
        <v>2252</v>
      </c>
      <c r="E46" s="2105" t="s">
        <v>954</v>
      </c>
      <c r="F46" s="2106" t="s">
        <v>3052</v>
      </c>
      <c r="G46" s="2106">
        <v>9663804313</v>
      </c>
      <c r="H46" s="1801" t="s">
        <v>3053</v>
      </c>
      <c r="I46" s="2050" t="s">
        <v>3058</v>
      </c>
      <c r="J46" s="2120" t="s">
        <v>73</v>
      </c>
      <c r="K46" s="2120" t="s">
        <v>138</v>
      </c>
      <c r="L46" s="2117" t="s">
        <v>3055</v>
      </c>
      <c r="M46" s="2124">
        <v>45424</v>
      </c>
      <c r="N46" s="2092">
        <v>111196</v>
      </c>
      <c r="O46" s="2043" t="s">
        <v>62</v>
      </c>
      <c r="P46" s="2043" t="s">
        <v>7</v>
      </c>
      <c r="Q46" s="2056">
        <v>1</v>
      </c>
      <c r="R46" s="2109">
        <v>4200249346</v>
      </c>
      <c r="S46" s="2058" t="s">
        <v>1367</v>
      </c>
      <c r="T46" s="2043">
        <v>102959</v>
      </c>
      <c r="U46" s="2043" t="s">
        <v>7</v>
      </c>
      <c r="V46" s="1797">
        <v>0</v>
      </c>
      <c r="W46" s="2043" t="s">
        <v>2909</v>
      </c>
      <c r="X46" s="2043" t="s">
        <v>1166</v>
      </c>
      <c r="Y46" s="2058" t="s">
        <v>1166</v>
      </c>
      <c r="Z46" s="2067" t="s">
        <v>1166</v>
      </c>
      <c r="AA46" s="2068" t="s">
        <v>1166</v>
      </c>
    </row>
    <row r="47" spans="1:27" s="259" customFormat="1" ht="18">
      <c r="A47" s="2043" t="s">
        <v>1166</v>
      </c>
      <c r="B47" s="2044"/>
      <c r="C47" s="2110" t="s">
        <v>3051</v>
      </c>
      <c r="D47" s="2046" t="s">
        <v>2252</v>
      </c>
      <c r="E47" s="2110" t="s">
        <v>954</v>
      </c>
      <c r="F47" s="2111" t="s">
        <v>3052</v>
      </c>
      <c r="G47" s="2111">
        <v>9663804313</v>
      </c>
      <c r="H47" s="1804" t="s">
        <v>3053</v>
      </c>
      <c r="I47" s="2061" t="s">
        <v>3059</v>
      </c>
      <c r="J47" s="2051" t="s">
        <v>73</v>
      </c>
      <c r="K47" s="2051" t="s">
        <v>138</v>
      </c>
      <c r="L47" s="2117" t="s">
        <v>3055</v>
      </c>
      <c r="M47" s="2122">
        <v>45424</v>
      </c>
      <c r="N47" s="2123">
        <v>111196</v>
      </c>
      <c r="O47" s="2043" t="s">
        <v>62</v>
      </c>
      <c r="P47" s="2043" t="s">
        <v>7</v>
      </c>
      <c r="Q47" s="2056">
        <v>1</v>
      </c>
      <c r="R47" s="2109">
        <v>4200249346</v>
      </c>
      <c r="S47" s="2058" t="s">
        <v>3060</v>
      </c>
      <c r="T47" s="2043">
        <v>102959</v>
      </c>
      <c r="U47" s="2043" t="s">
        <v>7</v>
      </c>
      <c r="V47" s="1797">
        <v>0</v>
      </c>
      <c r="W47" s="2043" t="s">
        <v>2909</v>
      </c>
      <c r="X47" s="1807" t="s">
        <v>1166</v>
      </c>
      <c r="Y47" s="2058" t="s">
        <v>1166</v>
      </c>
      <c r="Z47" s="2067" t="s">
        <v>1166</v>
      </c>
      <c r="AA47" s="2103" t="s">
        <v>1166</v>
      </c>
    </row>
    <row r="48" spans="1:27" s="259" customFormat="1" ht="18">
      <c r="A48" s="2043">
        <v>25</v>
      </c>
      <c r="B48" s="2044" t="s">
        <v>1255</v>
      </c>
      <c r="C48" s="2105" t="s">
        <v>2901</v>
      </c>
      <c r="D48" s="2105" t="s">
        <v>2902</v>
      </c>
      <c r="E48" s="2105" t="s">
        <v>873</v>
      </c>
      <c r="F48" s="2106" t="s">
        <v>2903</v>
      </c>
      <c r="G48" s="2106">
        <v>9494899118</v>
      </c>
      <c r="H48" s="1801" t="s">
        <v>2904</v>
      </c>
      <c r="I48" s="2061" t="s">
        <v>2905</v>
      </c>
      <c r="J48" s="2051" t="s">
        <v>73</v>
      </c>
      <c r="K48" s="2051" t="s">
        <v>138</v>
      </c>
      <c r="L48" s="1808" t="s">
        <v>3061</v>
      </c>
      <c r="M48" s="1828">
        <v>45424</v>
      </c>
      <c r="N48" s="2043">
        <v>141112</v>
      </c>
      <c r="O48" s="2043" t="s">
        <v>62</v>
      </c>
      <c r="P48" s="2043" t="s">
        <v>7</v>
      </c>
      <c r="Q48" s="2056">
        <v>1</v>
      </c>
      <c r="R48" s="2057" t="s">
        <v>3062</v>
      </c>
      <c r="S48" s="2058" t="s">
        <v>3063</v>
      </c>
      <c r="T48" s="2043">
        <v>134698</v>
      </c>
      <c r="U48" s="2043" t="s">
        <v>7</v>
      </c>
      <c r="V48" s="1797">
        <v>0</v>
      </c>
      <c r="W48" s="2043" t="s">
        <v>2909</v>
      </c>
      <c r="X48" s="1807" t="s">
        <v>1166</v>
      </c>
      <c r="Y48" s="2058" t="s">
        <v>1166</v>
      </c>
      <c r="Z48" s="2067" t="s">
        <v>1166</v>
      </c>
      <c r="AA48" s="2103" t="s">
        <v>1166</v>
      </c>
    </row>
    <row r="49" spans="1:27" s="259" customFormat="1" ht="18">
      <c r="A49" s="2043">
        <v>26</v>
      </c>
      <c r="B49" s="2044" t="s">
        <v>1255</v>
      </c>
      <c r="C49" s="2125" t="s">
        <v>1250</v>
      </c>
      <c r="D49" s="2105" t="s">
        <v>2252</v>
      </c>
      <c r="E49" s="2105" t="s">
        <v>3064</v>
      </c>
      <c r="F49" s="2106" t="s">
        <v>3065</v>
      </c>
      <c r="G49" s="2106">
        <v>9113802057</v>
      </c>
      <c r="H49" s="1801" t="s">
        <v>3066</v>
      </c>
      <c r="I49" s="2061" t="s">
        <v>3067</v>
      </c>
      <c r="J49" s="2051" t="s">
        <v>81</v>
      </c>
      <c r="K49" s="2052" t="s">
        <v>157</v>
      </c>
      <c r="L49" s="2064" t="s">
        <v>3068</v>
      </c>
      <c r="M49" s="2065">
        <v>45455</v>
      </c>
      <c r="N49" s="2112">
        <v>317000</v>
      </c>
      <c r="O49" s="2043" t="s">
        <v>62</v>
      </c>
      <c r="P49" s="2043" t="s">
        <v>25</v>
      </c>
      <c r="Q49" s="2056">
        <v>1</v>
      </c>
      <c r="R49" s="2043">
        <v>85385589</v>
      </c>
      <c r="S49" s="2043" t="s">
        <v>3069</v>
      </c>
      <c r="T49" s="2043">
        <v>317000</v>
      </c>
      <c r="U49" s="2043" t="s">
        <v>25</v>
      </c>
      <c r="V49" s="1797">
        <v>0</v>
      </c>
      <c r="W49" s="2043" t="s">
        <v>1323</v>
      </c>
      <c r="X49" s="2126" t="s">
        <v>1166</v>
      </c>
      <c r="Y49" s="2127" t="s">
        <v>1166</v>
      </c>
      <c r="Z49" s="2128" t="s">
        <v>1166</v>
      </c>
      <c r="AA49" s="2129" t="s">
        <v>1166</v>
      </c>
    </row>
    <row r="50" spans="1:27" s="259" customFormat="1" ht="18">
      <c r="A50" s="2043">
        <v>27</v>
      </c>
      <c r="B50" s="2044" t="s">
        <v>1255</v>
      </c>
      <c r="C50" s="2045" t="s">
        <v>3043</v>
      </c>
      <c r="D50" s="2105" t="s">
        <v>2252</v>
      </c>
      <c r="E50" s="2105" t="s">
        <v>873</v>
      </c>
      <c r="F50" s="2106" t="s">
        <v>3044</v>
      </c>
      <c r="G50" s="2106">
        <v>9008301410</v>
      </c>
      <c r="H50" s="1801" t="s">
        <v>3045</v>
      </c>
      <c r="I50" s="2061" t="s">
        <v>3049</v>
      </c>
      <c r="J50" s="2051" t="s">
        <v>75</v>
      </c>
      <c r="K50" s="2052" t="s">
        <v>157</v>
      </c>
      <c r="L50" s="2092" t="s">
        <v>3070</v>
      </c>
      <c r="M50" s="2124">
        <v>45608</v>
      </c>
      <c r="N50" s="2092">
        <v>228500</v>
      </c>
      <c r="O50" s="2055" t="s">
        <v>62</v>
      </c>
      <c r="P50" s="2043" t="s">
        <v>18</v>
      </c>
      <c r="Q50" s="2056">
        <v>0.8</v>
      </c>
      <c r="R50" s="2043">
        <v>1000037624</v>
      </c>
      <c r="S50" s="2043" t="s">
        <v>3071</v>
      </c>
      <c r="T50" s="2043">
        <v>228500</v>
      </c>
      <c r="U50" s="2043" t="s">
        <v>7</v>
      </c>
      <c r="V50" s="1797">
        <v>0</v>
      </c>
      <c r="W50" s="2043" t="s">
        <v>2909</v>
      </c>
      <c r="X50" s="2043" t="s">
        <v>1166</v>
      </c>
      <c r="Y50" s="2058" t="s">
        <v>1763</v>
      </c>
      <c r="Z50" s="2067" t="s">
        <v>1166</v>
      </c>
      <c r="AA50" s="2103" t="s">
        <v>1166</v>
      </c>
    </row>
    <row r="51" spans="1:27" s="259" customFormat="1" ht="18">
      <c r="A51" s="2043">
        <v>28</v>
      </c>
      <c r="B51" s="2043" t="s">
        <v>1343</v>
      </c>
      <c r="C51" s="2125" t="s">
        <v>1250</v>
      </c>
      <c r="D51" s="2125" t="s">
        <v>2252</v>
      </c>
      <c r="E51" s="2125" t="s">
        <v>3072</v>
      </c>
      <c r="F51" s="2125" t="s">
        <v>3073</v>
      </c>
      <c r="G51" s="2125">
        <v>8884438789</v>
      </c>
      <c r="H51" s="1809" t="s">
        <v>3074</v>
      </c>
      <c r="I51" s="2046" t="s">
        <v>3075</v>
      </c>
      <c r="J51" s="2051" t="s">
        <v>73</v>
      </c>
      <c r="K51" s="2051" t="s">
        <v>138</v>
      </c>
      <c r="L51" s="2125" t="s">
        <v>3076</v>
      </c>
      <c r="M51" s="2130">
        <v>45717</v>
      </c>
      <c r="N51" s="2119">
        <v>73500</v>
      </c>
      <c r="O51" s="2043" t="s">
        <v>7</v>
      </c>
      <c r="P51" s="2043" t="s">
        <v>7</v>
      </c>
      <c r="Q51" s="2056">
        <v>0.9</v>
      </c>
      <c r="R51" s="2043">
        <v>85378929</v>
      </c>
      <c r="S51" s="2043" t="s">
        <v>1355</v>
      </c>
      <c r="T51" s="2043">
        <v>73500</v>
      </c>
      <c r="U51" s="2043" t="s">
        <v>7</v>
      </c>
      <c r="V51" s="1797">
        <v>0</v>
      </c>
      <c r="W51" s="2043" t="s">
        <v>2909</v>
      </c>
      <c r="X51" s="2043" t="s">
        <v>1166</v>
      </c>
      <c r="Y51" s="2058" t="s">
        <v>1166</v>
      </c>
      <c r="Z51" s="2067" t="s">
        <v>1166</v>
      </c>
      <c r="AA51" s="2103" t="s">
        <v>1166</v>
      </c>
    </row>
    <row r="52" spans="1:27" s="259" customFormat="1" ht="18">
      <c r="A52" s="2043">
        <v>29</v>
      </c>
      <c r="B52" s="2043" t="s">
        <v>1343</v>
      </c>
      <c r="C52" s="2046" t="s">
        <v>3077</v>
      </c>
      <c r="D52" s="2046" t="s">
        <v>2252</v>
      </c>
      <c r="E52" s="2046" t="s">
        <v>873</v>
      </c>
      <c r="F52" s="2046" t="s">
        <v>3078</v>
      </c>
      <c r="G52" s="2046">
        <v>9739056664</v>
      </c>
      <c r="H52" s="1810" t="s">
        <v>3079</v>
      </c>
      <c r="I52" s="2046" t="s">
        <v>3080</v>
      </c>
      <c r="J52" s="2051" t="s">
        <v>81</v>
      </c>
      <c r="K52" s="2051" t="s">
        <v>157</v>
      </c>
      <c r="L52" s="2046" t="s">
        <v>3081</v>
      </c>
      <c r="M52" s="2131" t="s">
        <v>1255</v>
      </c>
      <c r="N52" s="2043">
        <v>456040</v>
      </c>
      <c r="O52" s="2043" t="s">
        <v>7</v>
      </c>
      <c r="P52" s="2043" t="s">
        <v>7</v>
      </c>
      <c r="Q52" s="2056">
        <v>0.9</v>
      </c>
      <c r="R52" s="2132" t="s">
        <v>3082</v>
      </c>
      <c r="S52" s="2043" t="s">
        <v>1328</v>
      </c>
      <c r="T52" s="2043">
        <v>456040</v>
      </c>
      <c r="U52" s="2043" t="s">
        <v>7</v>
      </c>
      <c r="V52" s="1797">
        <v>0</v>
      </c>
      <c r="W52" s="2043" t="s">
        <v>2909</v>
      </c>
      <c r="X52" s="2043" t="s">
        <v>1166</v>
      </c>
      <c r="Y52" s="2058" t="s">
        <v>1763</v>
      </c>
      <c r="Z52" s="2067" t="s">
        <v>157</v>
      </c>
      <c r="AA52" s="2103" t="s">
        <v>157</v>
      </c>
    </row>
    <row r="53" spans="1:27" s="259" customFormat="1" ht="18">
      <c r="A53" s="2043">
        <v>30</v>
      </c>
      <c r="B53" s="2043" t="s">
        <v>1343</v>
      </c>
      <c r="C53" s="2046" t="s">
        <v>993</v>
      </c>
      <c r="D53" s="2046" t="s">
        <v>2902</v>
      </c>
      <c r="E53" s="2046" t="s">
        <v>873</v>
      </c>
      <c r="F53" s="2046" t="s">
        <v>3026</v>
      </c>
      <c r="G53" s="2106">
        <v>8888826015</v>
      </c>
      <c r="H53" s="1801" t="s">
        <v>3027</v>
      </c>
      <c r="I53" s="2046" t="s">
        <v>3030</v>
      </c>
      <c r="J53" s="2051" t="s">
        <v>75</v>
      </c>
      <c r="K53" s="2051" t="s">
        <v>157</v>
      </c>
      <c r="L53" s="2046" t="s">
        <v>3083</v>
      </c>
      <c r="M53" s="2133">
        <v>45748</v>
      </c>
      <c r="N53" s="2043">
        <v>303780</v>
      </c>
      <c r="O53" s="2043" t="s">
        <v>7</v>
      </c>
      <c r="P53" s="2043" t="s">
        <v>7</v>
      </c>
      <c r="Q53" s="2056">
        <v>0.8</v>
      </c>
      <c r="R53" s="2043">
        <v>4400008953</v>
      </c>
      <c r="S53" s="2043" t="s">
        <v>1328</v>
      </c>
      <c r="T53" s="2043">
        <v>331911</v>
      </c>
      <c r="U53" s="2043" t="s">
        <v>7</v>
      </c>
      <c r="V53" s="1797">
        <v>0</v>
      </c>
      <c r="W53" s="2043" t="s">
        <v>2909</v>
      </c>
      <c r="X53" s="2043" t="s">
        <v>1166</v>
      </c>
      <c r="Y53" s="2058" t="s">
        <v>1763</v>
      </c>
      <c r="Z53" s="2067" t="s">
        <v>1166</v>
      </c>
      <c r="AA53" s="2103" t="s">
        <v>1166</v>
      </c>
    </row>
    <row r="54" spans="1:27" s="259" customFormat="1" ht="18">
      <c r="A54" s="2043">
        <v>31</v>
      </c>
      <c r="B54" s="2043" t="s">
        <v>1343</v>
      </c>
      <c r="C54" s="2046" t="s">
        <v>2998</v>
      </c>
      <c r="D54" s="2046" t="s">
        <v>2999</v>
      </c>
      <c r="E54" s="2046" t="s">
        <v>873</v>
      </c>
      <c r="F54" s="2046" t="s">
        <v>3000</v>
      </c>
      <c r="G54" s="2106">
        <v>9108014538</v>
      </c>
      <c r="H54" s="1801" t="s">
        <v>3001</v>
      </c>
      <c r="I54" s="2046" t="s">
        <v>3002</v>
      </c>
      <c r="J54" s="2051" t="s">
        <v>75</v>
      </c>
      <c r="K54" s="2051" t="s">
        <v>157</v>
      </c>
      <c r="L54" s="2046" t="s">
        <v>3084</v>
      </c>
      <c r="M54" s="2133">
        <v>45748</v>
      </c>
      <c r="N54" s="2043">
        <v>322340</v>
      </c>
      <c r="O54" s="2043" t="s">
        <v>7</v>
      </c>
      <c r="P54" s="2043" t="s">
        <v>25</v>
      </c>
      <c r="Q54" s="2056">
        <v>0.7</v>
      </c>
      <c r="R54" s="2043">
        <v>2124010775</v>
      </c>
      <c r="S54" s="2043" t="s">
        <v>3085</v>
      </c>
      <c r="T54" s="2043">
        <v>286022</v>
      </c>
      <c r="U54" s="2043" t="s">
        <v>25</v>
      </c>
      <c r="V54" s="1797">
        <v>0</v>
      </c>
      <c r="W54" s="2043" t="s">
        <v>2909</v>
      </c>
      <c r="X54" s="1807" t="s">
        <v>1166</v>
      </c>
      <c r="Y54" s="2058" t="s">
        <v>1166</v>
      </c>
      <c r="Z54" s="2067" t="s">
        <v>1166</v>
      </c>
      <c r="AA54" s="2103" t="s">
        <v>1166</v>
      </c>
    </row>
    <row r="55" spans="1:27" s="259" customFormat="1" ht="18">
      <c r="A55" s="2069">
        <v>32</v>
      </c>
      <c r="B55" s="2069"/>
      <c r="C55" s="2070" t="s">
        <v>1387</v>
      </c>
      <c r="D55" s="2070" t="s">
        <v>2252</v>
      </c>
      <c r="E55" s="2070" t="s">
        <v>3086</v>
      </c>
      <c r="F55" s="2070" t="s">
        <v>3087</v>
      </c>
      <c r="G55" s="2070">
        <v>9620262387</v>
      </c>
      <c r="H55" s="1846" t="s">
        <v>3088</v>
      </c>
      <c r="I55" s="2070" t="s">
        <v>3089</v>
      </c>
      <c r="J55" s="2108" t="s">
        <v>74</v>
      </c>
      <c r="K55" s="2108" t="s">
        <v>138</v>
      </c>
      <c r="L55" s="2070" t="s">
        <v>3090</v>
      </c>
      <c r="M55" s="2134">
        <v>45901</v>
      </c>
      <c r="N55" s="2069">
        <v>0</v>
      </c>
      <c r="O55" s="2069" t="s">
        <v>7</v>
      </c>
      <c r="P55" s="2069" t="s">
        <v>1166</v>
      </c>
      <c r="Q55" s="2071">
        <v>0.6</v>
      </c>
      <c r="R55" s="2069" t="s">
        <v>1166</v>
      </c>
      <c r="S55" s="2069" t="s">
        <v>1166</v>
      </c>
      <c r="T55" s="2069" t="s">
        <v>1166</v>
      </c>
      <c r="U55" s="2069" t="s">
        <v>1166</v>
      </c>
      <c r="V55" s="1848">
        <v>0</v>
      </c>
      <c r="W55" s="2069" t="s">
        <v>3091</v>
      </c>
      <c r="X55" s="1849" t="s">
        <v>1166</v>
      </c>
      <c r="Y55" s="2072" t="s">
        <v>1166</v>
      </c>
      <c r="Z55" s="2073" t="s">
        <v>1166</v>
      </c>
      <c r="AA55" s="2104" t="s">
        <v>1166</v>
      </c>
    </row>
    <row r="56" spans="1:27" s="259" customFormat="1" ht="18">
      <c r="A56" s="2043">
        <v>33</v>
      </c>
      <c r="B56" s="2043" t="s">
        <v>1343</v>
      </c>
      <c r="C56" s="2046" t="s">
        <v>3092</v>
      </c>
      <c r="D56" s="2046" t="s">
        <v>2252</v>
      </c>
      <c r="E56" s="2046" t="s">
        <v>954</v>
      </c>
      <c r="F56" s="2046" t="s">
        <v>3093</v>
      </c>
      <c r="G56" s="2046">
        <v>9945569866</v>
      </c>
      <c r="H56" s="1810" t="s">
        <v>3094</v>
      </c>
      <c r="I56" s="2046" t="s">
        <v>3095</v>
      </c>
      <c r="J56" s="2051" t="s">
        <v>79</v>
      </c>
      <c r="K56" s="2051" t="s">
        <v>138</v>
      </c>
      <c r="L56" s="2046" t="s">
        <v>3096</v>
      </c>
      <c r="M56" s="2133">
        <v>45809</v>
      </c>
      <c r="N56" s="2043">
        <v>38500</v>
      </c>
      <c r="O56" s="2043" t="s">
        <v>7</v>
      </c>
      <c r="P56" s="2043" t="s">
        <v>7</v>
      </c>
      <c r="Q56" s="2056">
        <v>1</v>
      </c>
      <c r="R56" s="2057" t="s">
        <v>3097</v>
      </c>
      <c r="S56" s="2135">
        <v>45840</v>
      </c>
      <c r="T56" s="2043">
        <v>38500</v>
      </c>
      <c r="U56" s="2043" t="s">
        <v>7</v>
      </c>
      <c r="V56" s="1797">
        <v>0</v>
      </c>
      <c r="W56" s="2043" t="s">
        <v>2909</v>
      </c>
      <c r="X56" s="2043" t="s">
        <v>1166</v>
      </c>
      <c r="Y56" s="2099">
        <v>45667</v>
      </c>
      <c r="Z56" s="2067" t="s">
        <v>1166</v>
      </c>
      <c r="AA56" s="2103" t="s">
        <v>1166</v>
      </c>
    </row>
    <row r="57" spans="1:27" s="259" customFormat="1" ht="18">
      <c r="A57" s="2043">
        <v>34</v>
      </c>
      <c r="B57" s="2043" t="s">
        <v>1343</v>
      </c>
      <c r="C57" s="2045" t="s">
        <v>1387</v>
      </c>
      <c r="D57" s="2045" t="s">
        <v>2252</v>
      </c>
      <c r="E57" s="2045" t="s">
        <v>873</v>
      </c>
      <c r="F57" s="2045" t="s">
        <v>3087</v>
      </c>
      <c r="G57" s="2045">
        <v>9620262387</v>
      </c>
      <c r="H57" s="1810" t="s">
        <v>3088</v>
      </c>
      <c r="I57" s="2045" t="s">
        <v>3089</v>
      </c>
      <c r="J57" s="2120" t="s">
        <v>73</v>
      </c>
      <c r="K57" s="2120" t="s">
        <v>157</v>
      </c>
      <c r="L57" s="2046" t="s">
        <v>3098</v>
      </c>
      <c r="M57" s="2136">
        <v>45901</v>
      </c>
      <c r="N57" s="2043">
        <v>135000</v>
      </c>
      <c r="O57" s="2043" t="s">
        <v>7</v>
      </c>
      <c r="P57" s="2043" t="s">
        <v>18</v>
      </c>
      <c r="Q57" s="2056">
        <v>0.8</v>
      </c>
      <c r="R57" s="2137">
        <v>3791225209</v>
      </c>
      <c r="S57" s="2135">
        <v>45840</v>
      </c>
      <c r="T57" s="2043">
        <v>129600</v>
      </c>
      <c r="U57" s="2043" t="s">
        <v>18</v>
      </c>
      <c r="V57" s="1797">
        <v>0</v>
      </c>
      <c r="W57" s="2043" t="s">
        <v>2909</v>
      </c>
      <c r="X57" s="2043" t="s">
        <v>1166</v>
      </c>
      <c r="Y57" s="2058" t="s">
        <v>1166</v>
      </c>
      <c r="Z57" s="2067" t="s">
        <v>1166</v>
      </c>
      <c r="AA57" s="2068" t="s">
        <v>1166</v>
      </c>
    </row>
    <row r="58" spans="1:27" s="259" customFormat="1" ht="18">
      <c r="A58" s="2043" t="s">
        <v>1166</v>
      </c>
      <c r="B58" s="2043"/>
      <c r="C58" s="2045" t="s">
        <v>1387</v>
      </c>
      <c r="D58" s="2045" t="s">
        <v>2252</v>
      </c>
      <c r="E58" s="2045" t="s">
        <v>873</v>
      </c>
      <c r="F58" s="2045" t="s">
        <v>3087</v>
      </c>
      <c r="G58" s="2045">
        <v>9620262387</v>
      </c>
      <c r="H58" s="1810" t="s">
        <v>3088</v>
      </c>
      <c r="I58" s="2045" t="s">
        <v>3099</v>
      </c>
      <c r="J58" s="2120" t="s">
        <v>73</v>
      </c>
      <c r="K58" s="2120" t="s">
        <v>157</v>
      </c>
      <c r="L58" s="2046" t="s">
        <v>3098</v>
      </c>
      <c r="M58" s="2136">
        <v>45901</v>
      </c>
      <c r="N58" s="2043">
        <v>135000</v>
      </c>
      <c r="O58" s="2043" t="s">
        <v>7</v>
      </c>
      <c r="P58" s="2043" t="s">
        <v>18</v>
      </c>
      <c r="Q58" s="2056">
        <v>0.8</v>
      </c>
      <c r="R58" s="2137">
        <v>3791225209</v>
      </c>
      <c r="S58" s="2135">
        <v>45840</v>
      </c>
      <c r="T58" s="2043">
        <v>129600</v>
      </c>
      <c r="U58" s="2043" t="s">
        <v>18</v>
      </c>
      <c r="V58" s="1797">
        <v>0</v>
      </c>
      <c r="W58" s="2043" t="s">
        <v>2909</v>
      </c>
      <c r="X58" s="2043" t="s">
        <v>1166</v>
      </c>
      <c r="Y58" s="2058" t="s">
        <v>1166</v>
      </c>
      <c r="Z58" s="2067" t="s">
        <v>1166</v>
      </c>
      <c r="AA58" s="2103" t="s">
        <v>1166</v>
      </c>
    </row>
    <row r="59" spans="1:27" s="259" customFormat="1" ht="18">
      <c r="A59" s="2043">
        <v>35</v>
      </c>
      <c r="B59" s="2043" t="s">
        <v>1343</v>
      </c>
      <c r="C59" s="2045" t="s">
        <v>2910</v>
      </c>
      <c r="D59" s="2045" t="s">
        <v>2252</v>
      </c>
      <c r="E59" s="2051" t="s">
        <v>3100</v>
      </c>
      <c r="F59" s="2063" t="s">
        <v>2912</v>
      </c>
      <c r="G59" s="2063">
        <v>9845660933</v>
      </c>
      <c r="H59" s="1798" t="s">
        <v>2913</v>
      </c>
      <c r="I59" s="2045" t="s">
        <v>3101</v>
      </c>
      <c r="J59" s="2051" t="s">
        <v>81</v>
      </c>
      <c r="K59" s="2120" t="s">
        <v>157</v>
      </c>
      <c r="L59" s="2046" t="s">
        <v>3102</v>
      </c>
      <c r="M59" s="2136">
        <v>45931</v>
      </c>
      <c r="N59" s="2043">
        <v>1391632</v>
      </c>
      <c r="O59" s="2043" t="s">
        <v>7</v>
      </c>
      <c r="P59" s="2043" t="s">
        <v>28</v>
      </c>
      <c r="Q59" s="2056">
        <v>0.8</v>
      </c>
      <c r="R59" s="2043" t="s">
        <v>3103</v>
      </c>
      <c r="S59" s="2043" t="s">
        <v>3104</v>
      </c>
      <c r="T59" s="2043">
        <v>1391632</v>
      </c>
      <c r="U59" s="2043" t="s">
        <v>28</v>
      </c>
      <c r="V59" s="1797">
        <v>0</v>
      </c>
      <c r="W59" s="2043" t="s">
        <v>2909</v>
      </c>
      <c r="X59" s="2043" t="s">
        <v>1166</v>
      </c>
      <c r="Y59" s="2058" t="s">
        <v>1166</v>
      </c>
      <c r="Z59" s="2067" t="s">
        <v>157</v>
      </c>
      <c r="AA59" s="2103" t="s">
        <v>157</v>
      </c>
    </row>
    <row r="60" spans="1:27" s="259" customFormat="1" ht="18">
      <c r="A60" s="2043">
        <v>36</v>
      </c>
      <c r="B60" s="2043" t="s">
        <v>1343</v>
      </c>
      <c r="C60" s="2045" t="s">
        <v>3043</v>
      </c>
      <c r="D60" s="2045" t="s">
        <v>2252</v>
      </c>
      <c r="E60" s="2105" t="s">
        <v>873</v>
      </c>
      <c r="F60" s="2106" t="s">
        <v>3044</v>
      </c>
      <c r="G60" s="2106">
        <v>9008301410</v>
      </c>
      <c r="H60" s="1801" t="s">
        <v>3045</v>
      </c>
      <c r="I60" s="2045">
        <v>72403</v>
      </c>
      <c r="J60" s="2051" t="s">
        <v>75</v>
      </c>
      <c r="K60" s="2120" t="s">
        <v>157</v>
      </c>
      <c r="L60" s="2046" t="s">
        <v>3105</v>
      </c>
      <c r="M60" s="2136">
        <v>45690</v>
      </c>
      <c r="N60" s="2043">
        <v>370916</v>
      </c>
      <c r="O60" s="2043" t="s">
        <v>18</v>
      </c>
      <c r="P60" s="2043" t="s">
        <v>30</v>
      </c>
      <c r="Q60" s="2056">
        <v>0.8</v>
      </c>
      <c r="R60" s="2043">
        <v>1000064729</v>
      </c>
      <c r="S60" s="2043" t="s">
        <v>3106</v>
      </c>
      <c r="T60" s="2043">
        <v>370916</v>
      </c>
      <c r="U60" s="2043" t="s">
        <v>30</v>
      </c>
      <c r="V60" s="1797">
        <v>0</v>
      </c>
      <c r="W60" s="2043" t="s">
        <v>3107</v>
      </c>
      <c r="X60" s="2043" t="s">
        <v>1166</v>
      </c>
      <c r="Y60" s="2058" t="s">
        <v>1166</v>
      </c>
      <c r="Z60" s="2067" t="s">
        <v>1166</v>
      </c>
      <c r="AA60" s="2068" t="s">
        <v>1166</v>
      </c>
    </row>
    <row r="61" spans="1:27" s="259" customFormat="1" ht="18">
      <c r="A61" s="2043">
        <v>37</v>
      </c>
      <c r="B61" s="2138">
        <v>45779</v>
      </c>
      <c r="C61" s="2045" t="s">
        <v>993</v>
      </c>
      <c r="D61" s="2045" t="s">
        <v>2902</v>
      </c>
      <c r="E61" s="2051" t="s">
        <v>954</v>
      </c>
      <c r="F61" s="2045" t="s">
        <v>3108</v>
      </c>
      <c r="G61" s="2045">
        <v>9172282348</v>
      </c>
      <c r="H61" s="1810" t="s">
        <v>3109</v>
      </c>
      <c r="I61" s="2045" t="s">
        <v>3032</v>
      </c>
      <c r="J61" s="2051" t="s">
        <v>81</v>
      </c>
      <c r="K61" s="2120" t="s">
        <v>157</v>
      </c>
      <c r="L61" s="2046" t="s">
        <v>3110</v>
      </c>
      <c r="M61" s="2139" t="s">
        <v>3111</v>
      </c>
      <c r="N61" s="2043">
        <v>528900</v>
      </c>
      <c r="O61" s="2043" t="s">
        <v>7</v>
      </c>
      <c r="P61" s="2043" t="s">
        <v>25</v>
      </c>
      <c r="Q61" s="2056">
        <v>1</v>
      </c>
      <c r="R61" s="2043">
        <v>4400009667</v>
      </c>
      <c r="S61" s="2135">
        <v>45963</v>
      </c>
      <c r="T61" s="2043">
        <v>507744</v>
      </c>
      <c r="U61" s="2043" t="s">
        <v>25</v>
      </c>
      <c r="V61" s="1797">
        <v>0</v>
      </c>
      <c r="W61" s="2043" t="s">
        <v>2909</v>
      </c>
      <c r="X61" s="2043" t="s">
        <v>1166</v>
      </c>
      <c r="Y61" s="2058" t="s">
        <v>1166</v>
      </c>
      <c r="Z61" s="2067" t="s">
        <v>157</v>
      </c>
      <c r="AA61" s="2068" t="s">
        <v>157</v>
      </c>
    </row>
    <row r="62" spans="1:27" s="259" customFormat="1" ht="31.2">
      <c r="A62" s="2043">
        <v>38</v>
      </c>
      <c r="B62" s="2138">
        <v>45779</v>
      </c>
      <c r="C62" s="2120" t="s">
        <v>3112</v>
      </c>
      <c r="D62" s="2045" t="s">
        <v>2252</v>
      </c>
      <c r="E62" s="2105" t="s">
        <v>873</v>
      </c>
      <c r="F62" s="2106" t="s">
        <v>3113</v>
      </c>
      <c r="G62" s="2106">
        <v>7892349057</v>
      </c>
      <c r="H62" s="1801" t="s">
        <v>3114</v>
      </c>
      <c r="I62" s="2051" t="s">
        <v>3115</v>
      </c>
      <c r="J62" s="2051" t="s">
        <v>75</v>
      </c>
      <c r="K62" s="2051" t="s">
        <v>157</v>
      </c>
      <c r="L62" s="2140" t="s">
        <v>3116</v>
      </c>
      <c r="M62" s="2141" t="s">
        <v>3111</v>
      </c>
      <c r="N62" s="2043">
        <v>420000</v>
      </c>
      <c r="O62" s="2043" t="s">
        <v>7</v>
      </c>
      <c r="P62" s="2043" t="s">
        <v>30</v>
      </c>
      <c r="Q62" s="2056">
        <v>0.6</v>
      </c>
      <c r="R62" s="2058">
        <v>1000046276</v>
      </c>
      <c r="S62" s="2099">
        <v>45963</v>
      </c>
      <c r="T62" s="2043">
        <v>87360</v>
      </c>
      <c r="U62" s="2043" t="s">
        <v>18</v>
      </c>
      <c r="V62" s="1797">
        <v>332640</v>
      </c>
      <c r="W62" s="2043" t="s">
        <v>3117</v>
      </c>
      <c r="X62" s="2043" t="s">
        <v>1166</v>
      </c>
      <c r="Y62" s="2058" t="s">
        <v>1166</v>
      </c>
      <c r="Z62" s="2067" t="s">
        <v>157</v>
      </c>
      <c r="AA62" s="2068" t="s">
        <v>157</v>
      </c>
    </row>
    <row r="63" spans="1:27" s="259" customFormat="1" ht="18">
      <c r="A63" s="2043">
        <v>39</v>
      </c>
      <c r="B63" s="2138">
        <v>45779</v>
      </c>
      <c r="C63" s="2045" t="s">
        <v>614</v>
      </c>
      <c r="D63" s="2045" t="s">
        <v>2932</v>
      </c>
      <c r="E63" s="2051" t="s">
        <v>954</v>
      </c>
      <c r="F63" s="2051" t="s">
        <v>3118</v>
      </c>
      <c r="G63" s="2045">
        <v>9492487256</v>
      </c>
      <c r="H63" s="1810" t="s">
        <v>3119</v>
      </c>
      <c r="I63" s="2051" t="s">
        <v>2935</v>
      </c>
      <c r="J63" s="2120" t="s">
        <v>73</v>
      </c>
      <c r="K63" s="2121" t="s">
        <v>138</v>
      </c>
      <c r="L63" s="1811" t="s">
        <v>3120</v>
      </c>
      <c r="M63" s="2142" t="s">
        <v>3121</v>
      </c>
      <c r="N63" s="2043">
        <v>86434</v>
      </c>
      <c r="O63" s="2043" t="s">
        <v>30</v>
      </c>
      <c r="P63" s="2043" t="s">
        <v>37</v>
      </c>
      <c r="Q63" s="2056">
        <v>0.7</v>
      </c>
      <c r="R63" s="2109">
        <v>4800088634</v>
      </c>
      <c r="S63" s="2058" t="s">
        <v>3122</v>
      </c>
      <c r="T63" s="2043">
        <v>82976.5</v>
      </c>
      <c r="U63" s="2043" t="s">
        <v>37</v>
      </c>
      <c r="V63" s="1797">
        <v>0</v>
      </c>
      <c r="W63" s="2043" t="s">
        <v>3123</v>
      </c>
      <c r="X63" s="2043" t="s">
        <v>1166</v>
      </c>
      <c r="Y63" s="2058" t="s">
        <v>1166</v>
      </c>
      <c r="Z63" s="2067" t="s">
        <v>1166</v>
      </c>
      <c r="AA63" s="2068" t="s">
        <v>1166</v>
      </c>
    </row>
    <row r="64" spans="1:27" s="259" customFormat="1" ht="18">
      <c r="A64" s="2043" t="s">
        <v>1166</v>
      </c>
      <c r="B64" s="2043"/>
      <c r="C64" s="2045" t="s">
        <v>614</v>
      </c>
      <c r="D64" s="2045" t="s">
        <v>2932</v>
      </c>
      <c r="E64" s="2051" t="s">
        <v>954</v>
      </c>
      <c r="F64" s="2051" t="s">
        <v>3118</v>
      </c>
      <c r="G64" s="2045">
        <v>9492487256</v>
      </c>
      <c r="H64" s="1810" t="s">
        <v>3119</v>
      </c>
      <c r="I64" s="2051" t="s">
        <v>3124</v>
      </c>
      <c r="J64" s="2051" t="s">
        <v>73</v>
      </c>
      <c r="K64" s="2052" t="s">
        <v>138</v>
      </c>
      <c r="L64" s="1811" t="s">
        <v>3120</v>
      </c>
      <c r="M64" s="2142" t="s">
        <v>3121</v>
      </c>
      <c r="N64" s="2043">
        <v>86434</v>
      </c>
      <c r="O64" s="2043" t="s">
        <v>30</v>
      </c>
      <c r="P64" s="2043" t="s">
        <v>37</v>
      </c>
      <c r="Q64" s="2056">
        <v>0.7</v>
      </c>
      <c r="R64" s="2109">
        <v>4800088634</v>
      </c>
      <c r="S64" s="2058" t="s">
        <v>3122</v>
      </c>
      <c r="T64" s="2043">
        <v>82976.5</v>
      </c>
      <c r="U64" s="2043" t="s">
        <v>37</v>
      </c>
      <c r="V64" s="1797">
        <v>0</v>
      </c>
      <c r="W64" s="2143" t="s">
        <v>3125</v>
      </c>
      <c r="X64" s="2043" t="s">
        <v>1166</v>
      </c>
      <c r="Y64" s="2058" t="s">
        <v>1166</v>
      </c>
      <c r="Z64" s="2067" t="s">
        <v>1166</v>
      </c>
      <c r="AA64" s="2068" t="s">
        <v>1166</v>
      </c>
    </row>
    <row r="65" spans="1:27" s="259" customFormat="1" ht="18">
      <c r="A65" s="2043" t="s">
        <v>1166</v>
      </c>
      <c r="B65" s="2043"/>
      <c r="C65" s="2045" t="s">
        <v>614</v>
      </c>
      <c r="D65" s="2045" t="s">
        <v>2932</v>
      </c>
      <c r="E65" s="2051" t="s">
        <v>954</v>
      </c>
      <c r="F65" s="2051" t="s">
        <v>3118</v>
      </c>
      <c r="G65" s="2045">
        <v>9492487256</v>
      </c>
      <c r="H65" s="1810" t="s">
        <v>3119</v>
      </c>
      <c r="I65" s="2051" t="s">
        <v>3126</v>
      </c>
      <c r="J65" s="2051" t="s">
        <v>73</v>
      </c>
      <c r="K65" s="2051" t="s">
        <v>138</v>
      </c>
      <c r="L65" s="1811" t="s">
        <v>3120</v>
      </c>
      <c r="M65" s="2142" t="s">
        <v>3121</v>
      </c>
      <c r="N65" s="2043">
        <v>86434</v>
      </c>
      <c r="O65" s="2043" t="s">
        <v>30</v>
      </c>
      <c r="P65" s="2043" t="s">
        <v>37</v>
      </c>
      <c r="Q65" s="2056">
        <v>0.7</v>
      </c>
      <c r="R65" s="2109">
        <v>4800088634</v>
      </c>
      <c r="S65" s="2058" t="s">
        <v>3122</v>
      </c>
      <c r="T65" s="2043">
        <v>82976.5</v>
      </c>
      <c r="U65" s="2043" t="s">
        <v>37</v>
      </c>
      <c r="V65" s="1797">
        <v>0</v>
      </c>
      <c r="W65" s="2143" t="s">
        <v>3125</v>
      </c>
      <c r="X65" s="2043" t="s">
        <v>1166</v>
      </c>
      <c r="Y65" s="2058" t="s">
        <v>1166</v>
      </c>
      <c r="Z65" s="2067" t="s">
        <v>1166</v>
      </c>
      <c r="AA65" s="2068" t="s">
        <v>1166</v>
      </c>
    </row>
    <row r="66" spans="1:27" s="259" customFormat="1" ht="18">
      <c r="A66" s="2043" t="s">
        <v>1166</v>
      </c>
      <c r="B66" s="2043"/>
      <c r="C66" s="2045" t="s">
        <v>614</v>
      </c>
      <c r="D66" s="2045" t="s">
        <v>2932</v>
      </c>
      <c r="E66" s="2051" t="s">
        <v>954</v>
      </c>
      <c r="F66" s="2051" t="s">
        <v>3118</v>
      </c>
      <c r="G66" s="2045">
        <v>9492487256</v>
      </c>
      <c r="H66" s="1810" t="s">
        <v>3119</v>
      </c>
      <c r="I66" s="2051" t="s">
        <v>3127</v>
      </c>
      <c r="J66" s="2051" t="s">
        <v>73</v>
      </c>
      <c r="K66" s="2051" t="s">
        <v>138</v>
      </c>
      <c r="L66" s="1811" t="s">
        <v>3120</v>
      </c>
      <c r="M66" s="2142" t="s">
        <v>3121</v>
      </c>
      <c r="N66" s="2043">
        <v>86434</v>
      </c>
      <c r="O66" s="2043" t="s">
        <v>30</v>
      </c>
      <c r="P66" s="2043" t="s">
        <v>37</v>
      </c>
      <c r="Q66" s="2056">
        <v>0.7</v>
      </c>
      <c r="R66" s="2109">
        <v>4800088634</v>
      </c>
      <c r="S66" s="2043" t="s">
        <v>3122</v>
      </c>
      <c r="T66" s="2043">
        <v>82976.5</v>
      </c>
      <c r="U66" s="2043" t="s">
        <v>37</v>
      </c>
      <c r="V66" s="1797">
        <v>0</v>
      </c>
      <c r="W66" s="2143" t="s">
        <v>3125</v>
      </c>
      <c r="X66" s="2043" t="s">
        <v>1166</v>
      </c>
      <c r="Y66" s="2058" t="s">
        <v>1166</v>
      </c>
      <c r="Z66" s="2067" t="s">
        <v>1166</v>
      </c>
      <c r="AA66" s="2103" t="s">
        <v>1166</v>
      </c>
    </row>
    <row r="67" spans="1:27" s="259" customFormat="1" ht="18">
      <c r="A67" s="2043" t="s">
        <v>1166</v>
      </c>
      <c r="B67" s="2043"/>
      <c r="C67" s="2045" t="s">
        <v>614</v>
      </c>
      <c r="D67" s="2045" t="s">
        <v>2932</v>
      </c>
      <c r="E67" s="2051" t="s">
        <v>954</v>
      </c>
      <c r="F67" s="2051" t="s">
        <v>3118</v>
      </c>
      <c r="G67" s="2045">
        <v>9492487256</v>
      </c>
      <c r="H67" s="1810" t="s">
        <v>3119</v>
      </c>
      <c r="I67" s="2051" t="s">
        <v>3128</v>
      </c>
      <c r="J67" s="2051" t="s">
        <v>73</v>
      </c>
      <c r="K67" s="2051" t="s">
        <v>138</v>
      </c>
      <c r="L67" s="1811" t="s">
        <v>3120</v>
      </c>
      <c r="M67" s="2142" t="s">
        <v>3121</v>
      </c>
      <c r="N67" s="2043">
        <v>86434</v>
      </c>
      <c r="O67" s="2043" t="s">
        <v>30</v>
      </c>
      <c r="P67" s="2043" t="s">
        <v>37</v>
      </c>
      <c r="Q67" s="2056">
        <v>0.7</v>
      </c>
      <c r="R67" s="2109">
        <v>4800088634</v>
      </c>
      <c r="S67" s="2043" t="s">
        <v>3122</v>
      </c>
      <c r="T67" s="2043">
        <v>82976.5</v>
      </c>
      <c r="U67" s="2043" t="s">
        <v>37</v>
      </c>
      <c r="V67" s="1797">
        <v>0</v>
      </c>
      <c r="W67" s="2143" t="s">
        <v>3125</v>
      </c>
      <c r="X67" s="2043" t="s">
        <v>1166</v>
      </c>
      <c r="Y67" s="2058" t="s">
        <v>1166</v>
      </c>
      <c r="Z67" s="2067" t="s">
        <v>1166</v>
      </c>
      <c r="AA67" s="2103" t="s">
        <v>1166</v>
      </c>
    </row>
    <row r="68" spans="1:27" s="259" customFormat="1" ht="18">
      <c r="A68" s="2043" t="s">
        <v>1166</v>
      </c>
      <c r="B68" s="2043"/>
      <c r="C68" s="2045" t="s">
        <v>614</v>
      </c>
      <c r="D68" s="2045" t="s">
        <v>2932</v>
      </c>
      <c r="E68" s="2051" t="s">
        <v>954</v>
      </c>
      <c r="F68" s="2051" t="s">
        <v>3118</v>
      </c>
      <c r="G68" s="2045">
        <v>9492487256</v>
      </c>
      <c r="H68" s="1810" t="s">
        <v>3119</v>
      </c>
      <c r="I68" s="2051" t="s">
        <v>3129</v>
      </c>
      <c r="J68" s="2051" t="s">
        <v>73</v>
      </c>
      <c r="K68" s="2051" t="s">
        <v>138</v>
      </c>
      <c r="L68" s="1811" t="s">
        <v>3120</v>
      </c>
      <c r="M68" s="2142" t="s">
        <v>3121</v>
      </c>
      <c r="N68" s="2043">
        <v>86434</v>
      </c>
      <c r="O68" s="2043" t="s">
        <v>30</v>
      </c>
      <c r="P68" s="2043" t="s">
        <v>37</v>
      </c>
      <c r="Q68" s="2056">
        <v>0.7</v>
      </c>
      <c r="R68" s="2109">
        <v>4800088634</v>
      </c>
      <c r="S68" s="2058" t="s">
        <v>3122</v>
      </c>
      <c r="T68" s="2043">
        <v>82976.5</v>
      </c>
      <c r="U68" s="2043" t="s">
        <v>37</v>
      </c>
      <c r="V68" s="1797">
        <v>0</v>
      </c>
      <c r="W68" s="2143" t="s">
        <v>3125</v>
      </c>
      <c r="X68" s="2043" t="s">
        <v>1166</v>
      </c>
      <c r="Y68" s="2058" t="s">
        <v>1166</v>
      </c>
      <c r="Z68" s="2067" t="s">
        <v>1166</v>
      </c>
      <c r="AA68" s="2103" t="s">
        <v>1166</v>
      </c>
    </row>
    <row r="69" spans="1:27" s="259" customFormat="1" ht="18">
      <c r="A69" s="2043">
        <v>40</v>
      </c>
      <c r="B69" s="2138">
        <v>45779</v>
      </c>
      <c r="C69" s="2046" t="s">
        <v>3130</v>
      </c>
      <c r="D69" s="2045" t="s">
        <v>2252</v>
      </c>
      <c r="E69" s="2045" t="s">
        <v>3086</v>
      </c>
      <c r="F69" s="2045" t="s">
        <v>3131</v>
      </c>
      <c r="G69" s="2045">
        <v>8147685871</v>
      </c>
      <c r="H69" s="1810" t="s">
        <v>3132</v>
      </c>
      <c r="I69" s="2045" t="s">
        <v>3133</v>
      </c>
      <c r="J69" s="2051" t="s">
        <v>73</v>
      </c>
      <c r="K69" s="2051" t="s">
        <v>157</v>
      </c>
      <c r="L69" s="1812" t="s">
        <v>3134</v>
      </c>
      <c r="M69" s="2144">
        <v>45659</v>
      </c>
      <c r="N69" s="2043">
        <v>145000</v>
      </c>
      <c r="O69" s="2043" t="s">
        <v>18</v>
      </c>
      <c r="P69" s="2043" t="s">
        <v>28</v>
      </c>
      <c r="Q69" s="2056">
        <v>0.9</v>
      </c>
      <c r="R69" s="2145" t="s">
        <v>3135</v>
      </c>
      <c r="S69" s="2132" t="s">
        <v>3136</v>
      </c>
      <c r="T69" s="2146">
        <v>145000</v>
      </c>
      <c r="U69" s="2043" t="s">
        <v>30</v>
      </c>
      <c r="V69" s="1797">
        <v>0</v>
      </c>
      <c r="W69" s="2043" t="s">
        <v>2909</v>
      </c>
      <c r="X69" s="2043" t="s">
        <v>1166</v>
      </c>
      <c r="Y69" s="2058" t="s">
        <v>1166</v>
      </c>
      <c r="Z69" s="2067" t="s">
        <v>1166</v>
      </c>
      <c r="AA69" s="2068" t="s">
        <v>1166</v>
      </c>
    </row>
    <row r="70" spans="1:27" s="259" customFormat="1" ht="18">
      <c r="A70" s="2043" t="s">
        <v>1166</v>
      </c>
      <c r="B70" s="2043"/>
      <c r="C70" s="2046" t="s">
        <v>3130</v>
      </c>
      <c r="D70" s="2045" t="s">
        <v>2252</v>
      </c>
      <c r="E70" s="2045" t="s">
        <v>3086</v>
      </c>
      <c r="F70" s="2045" t="s">
        <v>3131</v>
      </c>
      <c r="G70" s="2045">
        <v>8147685871</v>
      </c>
      <c r="H70" s="1810" t="s">
        <v>3132</v>
      </c>
      <c r="I70" s="2051" t="s">
        <v>3137</v>
      </c>
      <c r="J70" s="2051" t="s">
        <v>73</v>
      </c>
      <c r="K70" s="2051" t="s">
        <v>157</v>
      </c>
      <c r="L70" s="1812" t="s">
        <v>3134</v>
      </c>
      <c r="M70" s="2144">
        <v>45659</v>
      </c>
      <c r="N70" s="2043">
        <v>145000</v>
      </c>
      <c r="O70" s="2043" t="s">
        <v>18</v>
      </c>
      <c r="P70" s="2043" t="s">
        <v>28</v>
      </c>
      <c r="Q70" s="2056">
        <v>0.9</v>
      </c>
      <c r="R70" s="2145" t="s">
        <v>3135</v>
      </c>
      <c r="S70" s="2132" t="s">
        <v>3136</v>
      </c>
      <c r="T70" s="2146">
        <v>145000</v>
      </c>
      <c r="U70" s="2043" t="s">
        <v>30</v>
      </c>
      <c r="V70" s="1797">
        <v>0</v>
      </c>
      <c r="W70" s="2043" t="s">
        <v>2909</v>
      </c>
      <c r="X70" s="2043" t="s">
        <v>1166</v>
      </c>
      <c r="Y70" s="2058" t="s">
        <v>1166</v>
      </c>
      <c r="Z70" s="2067" t="s">
        <v>1166</v>
      </c>
      <c r="AA70" s="2103" t="s">
        <v>1166</v>
      </c>
    </row>
    <row r="71" spans="1:27" s="259" customFormat="1" ht="18">
      <c r="A71" s="2043" t="s">
        <v>1166</v>
      </c>
      <c r="B71" s="2043"/>
      <c r="C71" s="2046" t="s">
        <v>3130</v>
      </c>
      <c r="D71" s="2045" t="s">
        <v>2252</v>
      </c>
      <c r="E71" s="2045" t="s">
        <v>3086</v>
      </c>
      <c r="F71" s="2045" t="s">
        <v>3131</v>
      </c>
      <c r="G71" s="2045">
        <v>8147685871</v>
      </c>
      <c r="H71" s="1810" t="s">
        <v>3132</v>
      </c>
      <c r="I71" s="2051" t="s">
        <v>3138</v>
      </c>
      <c r="J71" s="2051" t="s">
        <v>73</v>
      </c>
      <c r="K71" s="2051" t="s">
        <v>157</v>
      </c>
      <c r="L71" s="1812" t="s">
        <v>3134</v>
      </c>
      <c r="M71" s="2144">
        <v>45659</v>
      </c>
      <c r="N71" s="2043">
        <v>145000</v>
      </c>
      <c r="O71" s="2043" t="s">
        <v>18</v>
      </c>
      <c r="P71" s="2043" t="s">
        <v>28</v>
      </c>
      <c r="Q71" s="2056">
        <v>0.9</v>
      </c>
      <c r="R71" s="2145" t="s">
        <v>3135</v>
      </c>
      <c r="S71" s="2132" t="s">
        <v>3136</v>
      </c>
      <c r="T71" s="2146">
        <v>145000</v>
      </c>
      <c r="U71" s="2043" t="s">
        <v>30</v>
      </c>
      <c r="V71" s="1797">
        <v>0</v>
      </c>
      <c r="W71" s="2043" t="s">
        <v>2909</v>
      </c>
      <c r="X71" s="2043" t="s">
        <v>1166</v>
      </c>
      <c r="Y71" s="2058" t="s">
        <v>1166</v>
      </c>
      <c r="Z71" s="2067" t="s">
        <v>1166</v>
      </c>
      <c r="AA71" s="2103" t="s">
        <v>1166</v>
      </c>
    </row>
    <row r="72" spans="1:27" s="259" customFormat="1" ht="18">
      <c r="A72" s="2043">
        <v>41</v>
      </c>
      <c r="B72" s="2138">
        <v>45779</v>
      </c>
      <c r="C72" s="2046" t="s">
        <v>3130</v>
      </c>
      <c r="D72" s="2045" t="s">
        <v>2252</v>
      </c>
      <c r="E72" s="2045" t="s">
        <v>3086</v>
      </c>
      <c r="F72" s="2045" t="s">
        <v>3131</v>
      </c>
      <c r="G72" s="2045">
        <v>8147685871</v>
      </c>
      <c r="H72" s="1810" t="s">
        <v>3132</v>
      </c>
      <c r="I72" s="2051" t="s">
        <v>3133</v>
      </c>
      <c r="J72" s="2051" t="s">
        <v>75</v>
      </c>
      <c r="K72" s="2051" t="s">
        <v>157</v>
      </c>
      <c r="L72" s="2046" t="s">
        <v>3139</v>
      </c>
      <c r="M72" s="2144">
        <v>45659</v>
      </c>
      <c r="N72" s="2043">
        <v>2246136</v>
      </c>
      <c r="O72" s="2043" t="s">
        <v>18</v>
      </c>
      <c r="P72" s="2043" t="s">
        <v>39</v>
      </c>
      <c r="Q72" s="2056">
        <v>0.6</v>
      </c>
      <c r="R72" s="2132" t="s">
        <v>3140</v>
      </c>
      <c r="S72" s="2713">
        <v>45842</v>
      </c>
      <c r="T72" s="2146">
        <v>48200</v>
      </c>
      <c r="U72" s="2043" t="s">
        <v>28</v>
      </c>
      <c r="V72" s="1797">
        <v>0</v>
      </c>
      <c r="W72" s="2043" t="s">
        <v>3141</v>
      </c>
      <c r="X72" s="2043" t="s">
        <v>1166</v>
      </c>
      <c r="Y72" s="2058" t="s">
        <v>1166</v>
      </c>
      <c r="Z72" s="2067" t="s">
        <v>157</v>
      </c>
      <c r="AA72" s="2103" t="s">
        <v>157</v>
      </c>
    </row>
    <row r="73" spans="1:27" s="259" customFormat="1" ht="18">
      <c r="A73" s="2043">
        <v>42</v>
      </c>
      <c r="B73" s="2138">
        <v>45932</v>
      </c>
      <c r="C73" s="2045" t="s">
        <v>3142</v>
      </c>
      <c r="D73" s="2046" t="s">
        <v>3143</v>
      </c>
      <c r="E73" s="2051" t="s">
        <v>3035</v>
      </c>
      <c r="F73" s="2111" t="s">
        <v>3144</v>
      </c>
      <c r="G73" s="2111">
        <v>7337323289</v>
      </c>
      <c r="H73" s="1804" t="s">
        <v>3145</v>
      </c>
      <c r="I73" s="2051" t="s">
        <v>3146</v>
      </c>
      <c r="J73" s="2051" t="s">
        <v>73</v>
      </c>
      <c r="K73" s="2051" t="s">
        <v>138</v>
      </c>
      <c r="L73" s="2051" t="s">
        <v>3147</v>
      </c>
      <c r="M73" s="2141" t="s">
        <v>3148</v>
      </c>
      <c r="N73" s="2043">
        <v>99864</v>
      </c>
      <c r="O73" s="2043" t="s">
        <v>49</v>
      </c>
      <c r="P73" s="2043" t="s">
        <v>18</v>
      </c>
      <c r="Q73" s="2056">
        <v>1</v>
      </c>
      <c r="R73" s="2066" t="s">
        <v>3149</v>
      </c>
      <c r="S73" s="2058" t="s">
        <v>3150</v>
      </c>
      <c r="T73" s="2043">
        <v>99864</v>
      </c>
      <c r="U73" s="2043" t="s">
        <v>18</v>
      </c>
      <c r="V73" s="1797">
        <v>0</v>
      </c>
      <c r="W73" s="2043" t="s">
        <v>3151</v>
      </c>
      <c r="X73" s="2043" t="s">
        <v>1166</v>
      </c>
      <c r="Y73" s="2058" t="s">
        <v>1166</v>
      </c>
      <c r="Z73" s="2067" t="s">
        <v>1166</v>
      </c>
      <c r="AA73" s="2147" t="s">
        <v>1166</v>
      </c>
    </row>
    <row r="74" spans="1:27" s="259" customFormat="1" ht="18">
      <c r="A74" s="2043" t="s">
        <v>1166</v>
      </c>
      <c r="B74" s="2043"/>
      <c r="C74" s="2045" t="s">
        <v>3142</v>
      </c>
      <c r="D74" s="2046" t="s">
        <v>3143</v>
      </c>
      <c r="E74" s="2051" t="s">
        <v>3035</v>
      </c>
      <c r="F74" s="2111" t="s">
        <v>3144</v>
      </c>
      <c r="G74" s="2111">
        <v>7337323289</v>
      </c>
      <c r="H74" s="1804" t="s">
        <v>3145</v>
      </c>
      <c r="I74" s="2051" t="s">
        <v>3152</v>
      </c>
      <c r="J74" s="2051" t="s">
        <v>73</v>
      </c>
      <c r="K74" s="2051" t="s">
        <v>138</v>
      </c>
      <c r="L74" s="2051" t="s">
        <v>3147</v>
      </c>
      <c r="M74" s="2141" t="s">
        <v>3148</v>
      </c>
      <c r="N74" s="2043">
        <v>99864</v>
      </c>
      <c r="O74" s="2043" t="s">
        <v>49</v>
      </c>
      <c r="P74" s="2043" t="s">
        <v>18</v>
      </c>
      <c r="Q74" s="2056">
        <v>1</v>
      </c>
      <c r="R74" s="2066" t="s">
        <v>3149</v>
      </c>
      <c r="S74" s="2058" t="s">
        <v>3150</v>
      </c>
      <c r="T74" s="2043">
        <v>99864</v>
      </c>
      <c r="U74" s="2043" t="s">
        <v>18</v>
      </c>
      <c r="V74" s="1797">
        <v>0</v>
      </c>
      <c r="W74" s="2043" t="s">
        <v>3151</v>
      </c>
      <c r="X74" s="2043" t="s">
        <v>1166</v>
      </c>
      <c r="Y74" s="2058" t="s">
        <v>1166</v>
      </c>
      <c r="Z74" s="2067" t="s">
        <v>1166</v>
      </c>
      <c r="AA74" s="2103" t="s">
        <v>1166</v>
      </c>
    </row>
    <row r="75" spans="1:27" s="259" customFormat="1" ht="18">
      <c r="A75" s="2043" t="s">
        <v>1166</v>
      </c>
      <c r="B75" s="2043"/>
      <c r="C75" s="2045" t="s">
        <v>3142</v>
      </c>
      <c r="D75" s="2046" t="s">
        <v>3143</v>
      </c>
      <c r="E75" s="2051" t="s">
        <v>3035</v>
      </c>
      <c r="F75" s="2111" t="s">
        <v>3144</v>
      </c>
      <c r="G75" s="2111">
        <v>7337323289</v>
      </c>
      <c r="H75" s="1804" t="s">
        <v>3145</v>
      </c>
      <c r="I75" s="2051" t="s">
        <v>3153</v>
      </c>
      <c r="J75" s="2051" t="s">
        <v>73</v>
      </c>
      <c r="K75" s="2051" t="s">
        <v>138</v>
      </c>
      <c r="L75" s="2051" t="s">
        <v>3147</v>
      </c>
      <c r="M75" s="2141" t="s">
        <v>3148</v>
      </c>
      <c r="N75" s="2043">
        <v>99864</v>
      </c>
      <c r="O75" s="2043" t="s">
        <v>49</v>
      </c>
      <c r="P75" s="2043" t="s">
        <v>18</v>
      </c>
      <c r="Q75" s="2056">
        <v>1</v>
      </c>
      <c r="R75" s="2066" t="s">
        <v>3149</v>
      </c>
      <c r="S75" s="2058" t="s">
        <v>3150</v>
      </c>
      <c r="T75" s="2043">
        <v>99864</v>
      </c>
      <c r="U75" s="2043" t="s">
        <v>18</v>
      </c>
      <c r="V75" s="1797">
        <v>0</v>
      </c>
      <c r="W75" s="2043" t="s">
        <v>3151</v>
      </c>
      <c r="X75" s="2043" t="s">
        <v>1166</v>
      </c>
      <c r="Y75" s="2058" t="s">
        <v>1166</v>
      </c>
      <c r="Z75" s="2067" t="s">
        <v>1166</v>
      </c>
      <c r="AA75" s="2147" t="s">
        <v>1166</v>
      </c>
    </row>
    <row r="76" spans="1:27" s="259" customFormat="1" ht="18">
      <c r="A76" s="2043" t="s">
        <v>1166</v>
      </c>
      <c r="B76" s="2043"/>
      <c r="C76" s="2045" t="s">
        <v>3142</v>
      </c>
      <c r="D76" s="2046" t="s">
        <v>3143</v>
      </c>
      <c r="E76" s="2051" t="s">
        <v>3035</v>
      </c>
      <c r="F76" s="2111" t="s">
        <v>3144</v>
      </c>
      <c r="G76" s="2111">
        <v>7337323289</v>
      </c>
      <c r="H76" s="1804" t="s">
        <v>3145</v>
      </c>
      <c r="I76" s="2051" t="s">
        <v>3154</v>
      </c>
      <c r="J76" s="2051" t="s">
        <v>73</v>
      </c>
      <c r="K76" s="2051" t="s">
        <v>138</v>
      </c>
      <c r="L76" s="2051" t="s">
        <v>3147</v>
      </c>
      <c r="M76" s="2141" t="s">
        <v>3148</v>
      </c>
      <c r="N76" s="2043">
        <v>99864</v>
      </c>
      <c r="O76" s="2043" t="s">
        <v>49</v>
      </c>
      <c r="P76" s="2043" t="s">
        <v>18</v>
      </c>
      <c r="Q76" s="2056">
        <v>1</v>
      </c>
      <c r="R76" s="2066" t="s">
        <v>3149</v>
      </c>
      <c r="S76" s="2058" t="s">
        <v>3150</v>
      </c>
      <c r="T76" s="2043">
        <v>99864</v>
      </c>
      <c r="U76" s="2043" t="s">
        <v>18</v>
      </c>
      <c r="V76" s="1797">
        <v>0</v>
      </c>
      <c r="W76" s="2043" t="s">
        <v>3151</v>
      </c>
      <c r="X76" s="2043" t="s">
        <v>1166</v>
      </c>
      <c r="Y76" s="2058" t="s">
        <v>1166</v>
      </c>
      <c r="Z76" s="2067" t="s">
        <v>1166</v>
      </c>
      <c r="AA76" s="2103" t="s">
        <v>1166</v>
      </c>
    </row>
    <row r="77" spans="1:27" s="259" customFormat="1" ht="18">
      <c r="A77" s="2043" t="s">
        <v>1166</v>
      </c>
      <c r="B77" s="2043"/>
      <c r="C77" s="2045" t="s">
        <v>3142</v>
      </c>
      <c r="D77" s="2046" t="s">
        <v>3143</v>
      </c>
      <c r="E77" s="2051" t="s">
        <v>3035</v>
      </c>
      <c r="F77" s="2111" t="s">
        <v>3144</v>
      </c>
      <c r="G77" s="2111">
        <v>7337323289</v>
      </c>
      <c r="H77" s="1804" t="s">
        <v>3145</v>
      </c>
      <c r="I77" s="2051" t="s">
        <v>3155</v>
      </c>
      <c r="J77" s="2051" t="s">
        <v>73</v>
      </c>
      <c r="K77" s="2051" t="s">
        <v>138</v>
      </c>
      <c r="L77" s="2051" t="s">
        <v>3147</v>
      </c>
      <c r="M77" s="2141" t="s">
        <v>3148</v>
      </c>
      <c r="N77" s="2043">
        <v>99864</v>
      </c>
      <c r="O77" s="2043" t="s">
        <v>49</v>
      </c>
      <c r="P77" s="2043" t="s">
        <v>18</v>
      </c>
      <c r="Q77" s="2056">
        <v>1</v>
      </c>
      <c r="R77" s="2066" t="s">
        <v>3149</v>
      </c>
      <c r="S77" s="2058" t="s">
        <v>3150</v>
      </c>
      <c r="T77" s="2043">
        <v>99864</v>
      </c>
      <c r="U77" s="2043" t="s">
        <v>18</v>
      </c>
      <c r="V77" s="1797">
        <v>0</v>
      </c>
      <c r="W77" s="2043" t="s">
        <v>3151</v>
      </c>
      <c r="X77" s="2043" t="s">
        <v>1166</v>
      </c>
      <c r="Y77" s="2058" t="s">
        <v>1166</v>
      </c>
      <c r="Z77" s="2067" t="s">
        <v>1166</v>
      </c>
      <c r="AA77" s="2147" t="s">
        <v>1166</v>
      </c>
    </row>
    <row r="78" spans="1:27" s="259" customFormat="1" ht="18">
      <c r="A78" s="2043" t="s">
        <v>1166</v>
      </c>
      <c r="B78" s="2043"/>
      <c r="C78" s="2045" t="s">
        <v>3142</v>
      </c>
      <c r="D78" s="2046" t="s">
        <v>3143</v>
      </c>
      <c r="E78" s="2051" t="s">
        <v>3035</v>
      </c>
      <c r="F78" s="2111" t="s">
        <v>3144</v>
      </c>
      <c r="G78" s="2111">
        <v>7337323289</v>
      </c>
      <c r="H78" s="1804" t="s">
        <v>3145</v>
      </c>
      <c r="I78" s="2051" t="s">
        <v>3156</v>
      </c>
      <c r="J78" s="2051" t="s">
        <v>73</v>
      </c>
      <c r="K78" s="2051" t="s">
        <v>138</v>
      </c>
      <c r="L78" s="2051" t="s">
        <v>3147</v>
      </c>
      <c r="M78" s="2141" t="s">
        <v>3148</v>
      </c>
      <c r="N78" s="2043">
        <v>99864</v>
      </c>
      <c r="O78" s="2043" t="s">
        <v>49</v>
      </c>
      <c r="P78" s="2043" t="s">
        <v>18</v>
      </c>
      <c r="Q78" s="2056">
        <v>1</v>
      </c>
      <c r="R78" s="2066" t="s">
        <v>3149</v>
      </c>
      <c r="S78" s="2058" t="s">
        <v>3150</v>
      </c>
      <c r="T78" s="2043">
        <v>99864</v>
      </c>
      <c r="U78" s="2043" t="s">
        <v>18</v>
      </c>
      <c r="V78" s="1797">
        <v>0</v>
      </c>
      <c r="W78" s="2043" t="s">
        <v>3151</v>
      </c>
      <c r="X78" s="2043" t="s">
        <v>1166</v>
      </c>
      <c r="Y78" s="2058" t="s">
        <v>1166</v>
      </c>
      <c r="Z78" s="2067" t="s">
        <v>1166</v>
      </c>
      <c r="AA78" s="2103" t="s">
        <v>1166</v>
      </c>
    </row>
    <row r="79" spans="1:27" s="259" customFormat="1" ht="18">
      <c r="A79" s="2043" t="s">
        <v>1166</v>
      </c>
      <c r="B79" s="2043"/>
      <c r="C79" s="2045" t="s">
        <v>3142</v>
      </c>
      <c r="D79" s="2046" t="s">
        <v>3143</v>
      </c>
      <c r="E79" s="2051" t="s">
        <v>3035</v>
      </c>
      <c r="F79" s="2111" t="s">
        <v>3144</v>
      </c>
      <c r="G79" s="2111">
        <v>7337323289</v>
      </c>
      <c r="H79" s="1804" t="s">
        <v>3145</v>
      </c>
      <c r="I79" s="2051" t="s">
        <v>3157</v>
      </c>
      <c r="J79" s="2051" t="s">
        <v>73</v>
      </c>
      <c r="K79" s="2051" t="s">
        <v>138</v>
      </c>
      <c r="L79" s="2051" t="s">
        <v>3147</v>
      </c>
      <c r="M79" s="2141" t="s">
        <v>3148</v>
      </c>
      <c r="N79" s="2043">
        <v>99864</v>
      </c>
      <c r="O79" s="2043" t="s">
        <v>49</v>
      </c>
      <c r="P79" s="2043" t="s">
        <v>18</v>
      </c>
      <c r="Q79" s="2056">
        <v>1</v>
      </c>
      <c r="R79" s="2066" t="s">
        <v>3149</v>
      </c>
      <c r="S79" s="2058" t="s">
        <v>3150</v>
      </c>
      <c r="T79" s="2043">
        <v>99864</v>
      </c>
      <c r="U79" s="2043" t="s">
        <v>18</v>
      </c>
      <c r="V79" s="1797">
        <v>0</v>
      </c>
      <c r="W79" s="2043" t="s">
        <v>3151</v>
      </c>
      <c r="X79" s="2043" t="s">
        <v>1166</v>
      </c>
      <c r="Y79" s="2058" t="s">
        <v>1166</v>
      </c>
      <c r="Z79" s="2067" t="s">
        <v>1166</v>
      </c>
      <c r="AA79" s="2148" t="s">
        <v>1166</v>
      </c>
    </row>
    <row r="80" spans="1:27" s="259" customFormat="1" ht="18">
      <c r="A80" s="2043" t="s">
        <v>1166</v>
      </c>
      <c r="B80" s="2043"/>
      <c r="C80" s="2045" t="s">
        <v>3142</v>
      </c>
      <c r="D80" s="2046" t="s">
        <v>3143</v>
      </c>
      <c r="E80" s="2051" t="s">
        <v>3035</v>
      </c>
      <c r="F80" s="2111" t="s">
        <v>3144</v>
      </c>
      <c r="G80" s="2111">
        <v>7337323289</v>
      </c>
      <c r="H80" s="1804" t="s">
        <v>3145</v>
      </c>
      <c r="I80" s="2051" t="s">
        <v>3146</v>
      </c>
      <c r="J80" s="2051" t="s">
        <v>73</v>
      </c>
      <c r="K80" s="2051" t="s">
        <v>138</v>
      </c>
      <c r="L80" s="2051" t="s">
        <v>3147</v>
      </c>
      <c r="M80" s="2141" t="s">
        <v>3148</v>
      </c>
      <c r="N80" s="2043">
        <v>99864</v>
      </c>
      <c r="O80" s="2043" t="s">
        <v>49</v>
      </c>
      <c r="P80" s="2043" t="s">
        <v>18</v>
      </c>
      <c r="Q80" s="2056">
        <v>1</v>
      </c>
      <c r="R80" s="2066" t="s">
        <v>3149</v>
      </c>
      <c r="S80" s="2058" t="s">
        <v>3150</v>
      </c>
      <c r="T80" s="2043">
        <v>99864</v>
      </c>
      <c r="U80" s="2043" t="s">
        <v>18</v>
      </c>
      <c r="V80" s="1797">
        <v>0</v>
      </c>
      <c r="W80" s="2043" t="s">
        <v>3151</v>
      </c>
      <c r="X80" s="2043" t="s">
        <v>1166</v>
      </c>
      <c r="Y80" s="2058" t="s">
        <v>1166</v>
      </c>
      <c r="Z80" s="2067" t="s">
        <v>1166</v>
      </c>
      <c r="AA80" s="2149" t="s">
        <v>1166</v>
      </c>
    </row>
    <row r="81" spans="1:27" s="259" customFormat="1" ht="18">
      <c r="A81" s="2043" t="s">
        <v>1166</v>
      </c>
      <c r="B81" s="2043"/>
      <c r="C81" s="2045" t="s">
        <v>3142</v>
      </c>
      <c r="D81" s="2046" t="s">
        <v>3143</v>
      </c>
      <c r="E81" s="2051" t="s">
        <v>3035</v>
      </c>
      <c r="F81" s="2111" t="s">
        <v>3144</v>
      </c>
      <c r="G81" s="2111">
        <v>7337323289</v>
      </c>
      <c r="H81" s="1804" t="s">
        <v>3145</v>
      </c>
      <c r="I81" s="2051" t="s">
        <v>3158</v>
      </c>
      <c r="J81" s="2051" t="s">
        <v>73</v>
      </c>
      <c r="K81" s="2051" t="s">
        <v>138</v>
      </c>
      <c r="L81" s="2051" t="s">
        <v>3147</v>
      </c>
      <c r="M81" s="2141" t="s">
        <v>3148</v>
      </c>
      <c r="N81" s="2043">
        <v>99864</v>
      </c>
      <c r="O81" s="2043" t="s">
        <v>49</v>
      </c>
      <c r="P81" s="2043" t="s">
        <v>18</v>
      </c>
      <c r="Q81" s="2056">
        <v>1</v>
      </c>
      <c r="R81" s="2066" t="s">
        <v>3149</v>
      </c>
      <c r="S81" s="2058" t="s">
        <v>3159</v>
      </c>
      <c r="T81" s="2043">
        <v>99864</v>
      </c>
      <c r="U81" s="2043" t="s">
        <v>18</v>
      </c>
      <c r="V81" s="1797">
        <v>0</v>
      </c>
      <c r="W81" s="2043" t="s">
        <v>3151</v>
      </c>
      <c r="X81" s="2043" t="s">
        <v>1166</v>
      </c>
      <c r="Y81" s="2058" t="s">
        <v>1166</v>
      </c>
      <c r="Z81" s="2067" t="s">
        <v>1166</v>
      </c>
      <c r="AA81" s="2148" t="s">
        <v>1166</v>
      </c>
    </row>
    <row r="82" spans="1:27" s="259" customFormat="1" ht="18">
      <c r="A82" s="2043">
        <v>43</v>
      </c>
      <c r="B82" s="2138">
        <v>45932</v>
      </c>
      <c r="C82" s="2120" t="s">
        <v>2910</v>
      </c>
      <c r="D82" s="2045" t="s">
        <v>2252</v>
      </c>
      <c r="E82" s="2051" t="s">
        <v>3100</v>
      </c>
      <c r="F82" s="2051" t="s">
        <v>2912</v>
      </c>
      <c r="G82" s="2051">
        <v>9845660933</v>
      </c>
      <c r="H82" s="1813" t="s">
        <v>2913</v>
      </c>
      <c r="I82" s="2051" t="s">
        <v>3160</v>
      </c>
      <c r="J82" s="2051" t="s">
        <v>3161</v>
      </c>
      <c r="K82" s="2051" t="s">
        <v>138</v>
      </c>
      <c r="L82" s="2051" t="s">
        <v>3162</v>
      </c>
      <c r="M82" s="2144">
        <v>45170</v>
      </c>
      <c r="N82" s="2043">
        <v>33387</v>
      </c>
      <c r="O82" s="2043" t="s">
        <v>7</v>
      </c>
      <c r="P82" s="2043" t="s">
        <v>18</v>
      </c>
      <c r="Q82" s="2056">
        <v>1</v>
      </c>
      <c r="R82" s="2066" t="s">
        <v>3163</v>
      </c>
      <c r="S82" s="2058" t="s">
        <v>3159</v>
      </c>
      <c r="T82" s="2043">
        <v>33387</v>
      </c>
      <c r="U82" s="2043" t="s">
        <v>7</v>
      </c>
      <c r="V82" s="1797">
        <v>0</v>
      </c>
      <c r="W82" s="2043" t="s">
        <v>3164</v>
      </c>
      <c r="X82" s="2043" t="s">
        <v>1166</v>
      </c>
      <c r="Y82" s="2058" t="s">
        <v>723</v>
      </c>
      <c r="Z82" s="2067" t="s">
        <v>1166</v>
      </c>
      <c r="AA82" s="2149" t="s">
        <v>1166</v>
      </c>
    </row>
    <row r="83" spans="1:27" s="259" customFormat="1" ht="18">
      <c r="A83" s="2043" t="s">
        <v>1166</v>
      </c>
      <c r="B83" s="2043"/>
      <c r="C83" s="2120" t="s">
        <v>2910</v>
      </c>
      <c r="D83" s="2045" t="s">
        <v>2252</v>
      </c>
      <c r="E83" s="2051" t="s">
        <v>3100</v>
      </c>
      <c r="F83" s="2051" t="s">
        <v>2912</v>
      </c>
      <c r="G83" s="2051">
        <v>9845660933</v>
      </c>
      <c r="H83" s="1813" t="s">
        <v>2913</v>
      </c>
      <c r="I83" s="2051" t="s">
        <v>1166</v>
      </c>
      <c r="J83" s="2051" t="s">
        <v>3161</v>
      </c>
      <c r="K83" s="2051" t="s">
        <v>138</v>
      </c>
      <c r="L83" s="2051" t="s">
        <v>3162</v>
      </c>
      <c r="M83" s="2144">
        <v>45170</v>
      </c>
      <c r="N83" s="2043">
        <v>33387</v>
      </c>
      <c r="O83" s="2043" t="s">
        <v>7</v>
      </c>
      <c r="P83" s="2043" t="s">
        <v>18</v>
      </c>
      <c r="Q83" s="2056">
        <v>1</v>
      </c>
      <c r="R83" s="2066" t="s">
        <v>3163</v>
      </c>
      <c r="S83" s="2058" t="s">
        <v>3159</v>
      </c>
      <c r="T83" s="2043">
        <v>33387</v>
      </c>
      <c r="U83" s="2058" t="s">
        <v>7</v>
      </c>
      <c r="V83" s="1797">
        <v>0</v>
      </c>
      <c r="W83" s="2043" t="s">
        <v>3164</v>
      </c>
      <c r="X83" s="2043" t="s">
        <v>1166</v>
      </c>
      <c r="Y83" s="2058" t="s">
        <v>723</v>
      </c>
      <c r="Z83" s="2067" t="s">
        <v>1166</v>
      </c>
      <c r="AA83" s="2148" t="s">
        <v>1166</v>
      </c>
    </row>
    <row r="84" spans="1:27" s="259" customFormat="1" ht="18">
      <c r="A84" s="2043" t="s">
        <v>1166</v>
      </c>
      <c r="B84" s="2043"/>
      <c r="C84" s="2120" t="s">
        <v>2910</v>
      </c>
      <c r="D84" s="2045" t="s">
        <v>2252</v>
      </c>
      <c r="E84" s="2051" t="s">
        <v>3100</v>
      </c>
      <c r="F84" s="2051" t="s">
        <v>2912</v>
      </c>
      <c r="G84" s="2051">
        <v>9845660933</v>
      </c>
      <c r="H84" s="1813" t="s">
        <v>2913</v>
      </c>
      <c r="I84" s="2051" t="s">
        <v>3165</v>
      </c>
      <c r="J84" s="2051" t="s">
        <v>3161</v>
      </c>
      <c r="K84" s="2051" t="s">
        <v>138</v>
      </c>
      <c r="L84" s="2051" t="s">
        <v>3162</v>
      </c>
      <c r="M84" s="2144">
        <v>45170</v>
      </c>
      <c r="N84" s="2043">
        <v>33387</v>
      </c>
      <c r="O84" s="2043" t="s">
        <v>7</v>
      </c>
      <c r="P84" s="2043" t="s">
        <v>18</v>
      </c>
      <c r="Q84" s="2056">
        <v>1</v>
      </c>
      <c r="R84" s="2066" t="s">
        <v>3163</v>
      </c>
      <c r="S84" s="2058" t="s">
        <v>3159</v>
      </c>
      <c r="T84" s="2043">
        <v>33387</v>
      </c>
      <c r="U84" s="2058" t="s">
        <v>7</v>
      </c>
      <c r="V84" s="1797">
        <v>0</v>
      </c>
      <c r="W84" s="2043" t="s">
        <v>3164</v>
      </c>
      <c r="X84" s="2043" t="s">
        <v>1166</v>
      </c>
      <c r="Y84" s="2058" t="s">
        <v>723</v>
      </c>
      <c r="Z84" s="2067" t="s">
        <v>1166</v>
      </c>
      <c r="AA84" s="2103" t="s">
        <v>1166</v>
      </c>
    </row>
    <row r="85" spans="1:27" s="259" customFormat="1" ht="18">
      <c r="A85" s="2043" t="s">
        <v>1166</v>
      </c>
      <c r="B85" s="2043"/>
      <c r="C85" s="2120" t="s">
        <v>2910</v>
      </c>
      <c r="D85" s="2045" t="s">
        <v>2252</v>
      </c>
      <c r="E85" s="2051" t="s">
        <v>3100</v>
      </c>
      <c r="F85" s="2051" t="s">
        <v>2912</v>
      </c>
      <c r="G85" s="2051">
        <v>9845660933</v>
      </c>
      <c r="H85" s="1813" t="s">
        <v>2913</v>
      </c>
      <c r="I85" s="2051" t="s">
        <v>3166</v>
      </c>
      <c r="J85" s="2051" t="s">
        <v>3161</v>
      </c>
      <c r="K85" s="2051" t="s">
        <v>138</v>
      </c>
      <c r="L85" s="2051" t="s">
        <v>3162</v>
      </c>
      <c r="M85" s="2144">
        <v>45170</v>
      </c>
      <c r="N85" s="2043">
        <v>33387</v>
      </c>
      <c r="O85" s="2043" t="s">
        <v>7</v>
      </c>
      <c r="P85" s="2043" t="s">
        <v>18</v>
      </c>
      <c r="Q85" s="2056">
        <v>1</v>
      </c>
      <c r="R85" s="2066" t="s">
        <v>3163</v>
      </c>
      <c r="S85" s="2058" t="s">
        <v>3159</v>
      </c>
      <c r="T85" s="2043">
        <v>33387</v>
      </c>
      <c r="U85" s="2058" t="s">
        <v>7</v>
      </c>
      <c r="V85" s="1797">
        <v>0</v>
      </c>
      <c r="W85" s="2043" t="s">
        <v>3164</v>
      </c>
      <c r="X85" s="2043" t="s">
        <v>1166</v>
      </c>
      <c r="Y85" s="2058" t="s">
        <v>723</v>
      </c>
      <c r="Z85" s="2067" t="s">
        <v>1166</v>
      </c>
      <c r="AA85" s="2147" t="s">
        <v>1166</v>
      </c>
    </row>
    <row r="86" spans="1:27" s="259" customFormat="1" ht="18">
      <c r="A86" s="2043" t="s">
        <v>1166</v>
      </c>
      <c r="B86" s="2043"/>
      <c r="C86" s="2120" t="s">
        <v>2910</v>
      </c>
      <c r="D86" s="2045" t="s">
        <v>2252</v>
      </c>
      <c r="E86" s="2051" t="s">
        <v>3100</v>
      </c>
      <c r="F86" s="2051" t="s">
        <v>2912</v>
      </c>
      <c r="G86" s="2051">
        <v>9845660933</v>
      </c>
      <c r="H86" s="1813" t="s">
        <v>2913</v>
      </c>
      <c r="I86" s="2051" t="s">
        <v>3167</v>
      </c>
      <c r="J86" s="2051" t="s">
        <v>3161</v>
      </c>
      <c r="K86" s="2051" t="s">
        <v>138</v>
      </c>
      <c r="L86" s="2051" t="s">
        <v>3162</v>
      </c>
      <c r="M86" s="2144">
        <v>45170</v>
      </c>
      <c r="N86" s="2043">
        <v>33387</v>
      </c>
      <c r="O86" s="2043" t="s">
        <v>7</v>
      </c>
      <c r="P86" s="2043" t="s">
        <v>18</v>
      </c>
      <c r="Q86" s="2056">
        <v>1</v>
      </c>
      <c r="R86" s="2066" t="s">
        <v>3163</v>
      </c>
      <c r="S86" s="2058" t="s">
        <v>3159</v>
      </c>
      <c r="T86" s="2043">
        <v>33387</v>
      </c>
      <c r="U86" s="2058" t="s">
        <v>7</v>
      </c>
      <c r="V86" s="1797">
        <v>0</v>
      </c>
      <c r="W86" s="2043" t="s">
        <v>3164</v>
      </c>
      <c r="X86" s="2043" t="s">
        <v>1166</v>
      </c>
      <c r="Y86" s="2058" t="s">
        <v>723</v>
      </c>
      <c r="Z86" s="2067" t="s">
        <v>1166</v>
      </c>
      <c r="AA86" s="2103" t="s">
        <v>1166</v>
      </c>
    </row>
    <row r="87" spans="1:27" s="259" customFormat="1" ht="18">
      <c r="A87" s="2043" t="s">
        <v>1166</v>
      </c>
      <c r="B87" s="2043"/>
      <c r="C87" s="2120" t="s">
        <v>2910</v>
      </c>
      <c r="D87" s="2045" t="s">
        <v>2252</v>
      </c>
      <c r="E87" s="2051" t="s">
        <v>3100</v>
      </c>
      <c r="F87" s="2051" t="s">
        <v>2912</v>
      </c>
      <c r="G87" s="2051">
        <v>9845660933</v>
      </c>
      <c r="H87" s="1813" t="s">
        <v>2913</v>
      </c>
      <c r="I87" s="2051" t="s">
        <v>3168</v>
      </c>
      <c r="J87" s="2051" t="s">
        <v>3161</v>
      </c>
      <c r="K87" s="2051" t="s">
        <v>138</v>
      </c>
      <c r="L87" s="2051" t="s">
        <v>3162</v>
      </c>
      <c r="M87" s="2144">
        <v>45170</v>
      </c>
      <c r="N87" s="2043">
        <v>33387</v>
      </c>
      <c r="O87" s="2043" t="s">
        <v>7</v>
      </c>
      <c r="P87" s="2043" t="s">
        <v>18</v>
      </c>
      <c r="Q87" s="2056">
        <v>1</v>
      </c>
      <c r="R87" s="2066" t="s">
        <v>3163</v>
      </c>
      <c r="S87" s="2058" t="s">
        <v>3159</v>
      </c>
      <c r="T87" s="2043">
        <v>33387</v>
      </c>
      <c r="U87" s="2058" t="s">
        <v>7</v>
      </c>
      <c r="V87" s="1797">
        <v>0</v>
      </c>
      <c r="W87" s="2043" t="s">
        <v>3164</v>
      </c>
      <c r="X87" s="2043" t="s">
        <v>1166</v>
      </c>
      <c r="Y87" s="2058" t="s">
        <v>723</v>
      </c>
      <c r="Z87" s="2067" t="s">
        <v>1166</v>
      </c>
      <c r="AA87" s="2147" t="s">
        <v>1166</v>
      </c>
    </row>
    <row r="88" spans="1:27" s="259" customFormat="1" ht="18">
      <c r="A88" s="2043" t="s">
        <v>1166</v>
      </c>
      <c r="B88" s="2043"/>
      <c r="C88" s="2120" t="s">
        <v>2910</v>
      </c>
      <c r="D88" s="2045" t="s">
        <v>2252</v>
      </c>
      <c r="E88" s="2051" t="s">
        <v>3100</v>
      </c>
      <c r="F88" s="2051" t="s">
        <v>2912</v>
      </c>
      <c r="G88" s="2051">
        <v>9845660933</v>
      </c>
      <c r="H88" s="1813" t="s">
        <v>2913</v>
      </c>
      <c r="I88" s="2051" t="s">
        <v>3169</v>
      </c>
      <c r="J88" s="2051" t="s">
        <v>3161</v>
      </c>
      <c r="K88" s="2051" t="s">
        <v>138</v>
      </c>
      <c r="L88" s="2051" t="s">
        <v>3162</v>
      </c>
      <c r="M88" s="2144">
        <v>45170</v>
      </c>
      <c r="N88" s="2043">
        <v>33387</v>
      </c>
      <c r="O88" s="2043" t="s">
        <v>7</v>
      </c>
      <c r="P88" s="2043" t="s">
        <v>18</v>
      </c>
      <c r="Q88" s="2056">
        <v>1</v>
      </c>
      <c r="R88" s="2066" t="s">
        <v>3163</v>
      </c>
      <c r="S88" s="2058" t="s">
        <v>3159</v>
      </c>
      <c r="T88" s="2043">
        <v>33387</v>
      </c>
      <c r="U88" s="2058" t="s">
        <v>7</v>
      </c>
      <c r="V88" s="1797">
        <v>0</v>
      </c>
      <c r="W88" s="2043" t="s">
        <v>3164</v>
      </c>
      <c r="X88" s="2043" t="s">
        <v>1166</v>
      </c>
      <c r="Y88" s="2058" t="s">
        <v>723</v>
      </c>
      <c r="Z88" s="2067" t="s">
        <v>1166</v>
      </c>
      <c r="AA88" s="2103" t="s">
        <v>1166</v>
      </c>
    </row>
    <row r="89" spans="1:27" s="259" customFormat="1" ht="18">
      <c r="A89" s="2043" t="s">
        <v>1166</v>
      </c>
      <c r="B89" s="2043"/>
      <c r="C89" s="2120" t="s">
        <v>2910</v>
      </c>
      <c r="D89" s="2045" t="s">
        <v>2252</v>
      </c>
      <c r="E89" s="2051" t="s">
        <v>3100</v>
      </c>
      <c r="F89" s="2051" t="s">
        <v>2912</v>
      </c>
      <c r="G89" s="2051">
        <v>9845660933</v>
      </c>
      <c r="H89" s="1813" t="s">
        <v>2913</v>
      </c>
      <c r="I89" s="2051" t="s">
        <v>3170</v>
      </c>
      <c r="J89" s="2051" t="s">
        <v>3161</v>
      </c>
      <c r="K89" s="2051" t="s">
        <v>138</v>
      </c>
      <c r="L89" s="2051" t="s">
        <v>3162</v>
      </c>
      <c r="M89" s="2144">
        <v>45170</v>
      </c>
      <c r="N89" s="2043">
        <v>40176</v>
      </c>
      <c r="O89" s="2043" t="s">
        <v>7</v>
      </c>
      <c r="P89" s="2043" t="s">
        <v>18</v>
      </c>
      <c r="Q89" s="2056">
        <v>1</v>
      </c>
      <c r="R89" s="2066" t="s">
        <v>3163</v>
      </c>
      <c r="S89" s="2058" t="s">
        <v>3159</v>
      </c>
      <c r="T89" s="2043">
        <v>40176</v>
      </c>
      <c r="U89" s="2058" t="s">
        <v>7</v>
      </c>
      <c r="V89" s="1797">
        <v>0</v>
      </c>
      <c r="W89" s="2043" t="s">
        <v>3164</v>
      </c>
      <c r="X89" s="2043" t="s">
        <v>1166</v>
      </c>
      <c r="Y89" s="2058" t="s">
        <v>723</v>
      </c>
      <c r="Z89" s="2067" t="s">
        <v>1166</v>
      </c>
      <c r="AA89" s="2147" t="s">
        <v>1166</v>
      </c>
    </row>
    <row r="90" spans="1:27" s="259" customFormat="1" ht="18">
      <c r="A90" s="2043" t="s">
        <v>1166</v>
      </c>
      <c r="B90" s="2043"/>
      <c r="C90" s="2120" t="s">
        <v>2910</v>
      </c>
      <c r="D90" s="2045" t="s">
        <v>2252</v>
      </c>
      <c r="E90" s="2051" t="s">
        <v>3100</v>
      </c>
      <c r="F90" s="2051" t="s">
        <v>2912</v>
      </c>
      <c r="G90" s="2051">
        <v>9845660933</v>
      </c>
      <c r="H90" s="1813" t="s">
        <v>2913</v>
      </c>
      <c r="I90" s="2051" t="s">
        <v>3171</v>
      </c>
      <c r="J90" s="2051" t="s">
        <v>3161</v>
      </c>
      <c r="K90" s="2051" t="s">
        <v>138</v>
      </c>
      <c r="L90" s="2051" t="s">
        <v>3162</v>
      </c>
      <c r="M90" s="2144">
        <v>45170</v>
      </c>
      <c r="N90" s="2043">
        <v>40176</v>
      </c>
      <c r="O90" s="2043" t="s">
        <v>7</v>
      </c>
      <c r="P90" s="2043" t="s">
        <v>18</v>
      </c>
      <c r="Q90" s="2056">
        <v>1</v>
      </c>
      <c r="R90" s="2066" t="s">
        <v>3163</v>
      </c>
      <c r="S90" s="2058" t="s">
        <v>3159</v>
      </c>
      <c r="T90" s="2043">
        <v>40176</v>
      </c>
      <c r="U90" s="2043" t="s">
        <v>7</v>
      </c>
      <c r="V90" s="1814">
        <v>-163208</v>
      </c>
      <c r="W90" s="2043" t="s">
        <v>3164</v>
      </c>
      <c r="X90" s="2043" t="s">
        <v>1166</v>
      </c>
      <c r="Y90" s="2058" t="s">
        <v>723</v>
      </c>
      <c r="Z90" s="2067" t="s">
        <v>1166</v>
      </c>
      <c r="AA90" s="2149" t="s">
        <v>1166</v>
      </c>
    </row>
    <row r="91" spans="1:27" s="259" customFormat="1" ht="18">
      <c r="A91" s="2043" t="s">
        <v>1166</v>
      </c>
      <c r="B91" s="2043"/>
      <c r="C91" s="2120" t="s">
        <v>2910</v>
      </c>
      <c r="D91" s="2045" t="s">
        <v>2252</v>
      </c>
      <c r="E91" s="2051" t="s">
        <v>3100</v>
      </c>
      <c r="F91" s="2051" t="s">
        <v>2912</v>
      </c>
      <c r="G91" s="2051">
        <v>9845660933</v>
      </c>
      <c r="H91" s="1813" t="s">
        <v>2913</v>
      </c>
      <c r="I91" s="2051" t="s">
        <v>3172</v>
      </c>
      <c r="J91" s="2051" t="s">
        <v>3161</v>
      </c>
      <c r="K91" s="2051" t="s">
        <v>138</v>
      </c>
      <c r="L91" s="2051" t="s">
        <v>3162</v>
      </c>
      <c r="M91" s="2144">
        <v>45170</v>
      </c>
      <c r="N91" s="2043">
        <v>40176</v>
      </c>
      <c r="O91" s="2043" t="s">
        <v>7</v>
      </c>
      <c r="P91" s="2043" t="s">
        <v>18</v>
      </c>
      <c r="Q91" s="2056">
        <v>1</v>
      </c>
      <c r="R91" s="2066" t="s">
        <v>3163</v>
      </c>
      <c r="S91" s="2058" t="s">
        <v>3159</v>
      </c>
      <c r="T91" s="2043">
        <v>40176</v>
      </c>
      <c r="U91" s="2043" t="s">
        <v>7</v>
      </c>
      <c r="V91" s="1814">
        <v>-125930</v>
      </c>
      <c r="W91" s="2043" t="s">
        <v>3164</v>
      </c>
      <c r="X91" s="2043" t="s">
        <v>1166</v>
      </c>
      <c r="Y91" s="2058" t="s">
        <v>723</v>
      </c>
      <c r="Z91" s="2067" t="s">
        <v>1166</v>
      </c>
      <c r="AA91" s="2148" t="s">
        <v>1166</v>
      </c>
    </row>
    <row r="92" spans="1:27" s="259" customFormat="1" ht="18">
      <c r="A92" s="2043" t="s">
        <v>1166</v>
      </c>
      <c r="B92" s="2043"/>
      <c r="C92" s="2120" t="s">
        <v>2910</v>
      </c>
      <c r="D92" s="2045" t="s">
        <v>2252</v>
      </c>
      <c r="E92" s="2051" t="s">
        <v>3100</v>
      </c>
      <c r="F92" s="2051" t="s">
        <v>2912</v>
      </c>
      <c r="G92" s="2051">
        <v>9845660933</v>
      </c>
      <c r="H92" s="1813" t="s">
        <v>2913</v>
      </c>
      <c r="I92" s="2051" t="s">
        <v>3173</v>
      </c>
      <c r="J92" s="2051" t="s">
        <v>3161</v>
      </c>
      <c r="K92" s="2051" t="s">
        <v>138</v>
      </c>
      <c r="L92" s="2051" t="s">
        <v>3162</v>
      </c>
      <c r="M92" s="2144">
        <v>45170</v>
      </c>
      <c r="N92" s="2043">
        <v>40176</v>
      </c>
      <c r="O92" s="2043" t="s">
        <v>7</v>
      </c>
      <c r="P92" s="2043" t="s">
        <v>18</v>
      </c>
      <c r="Q92" s="2056">
        <v>1</v>
      </c>
      <c r="R92" s="2066" t="s">
        <v>3163</v>
      </c>
      <c r="S92" s="2058" t="s">
        <v>3159</v>
      </c>
      <c r="T92" s="2043">
        <v>40176</v>
      </c>
      <c r="U92" s="2058" t="s">
        <v>7</v>
      </c>
      <c r="V92" s="1814">
        <v>-670080</v>
      </c>
      <c r="W92" s="2043" t="s">
        <v>3164</v>
      </c>
      <c r="X92" s="2043" t="s">
        <v>1166</v>
      </c>
      <c r="Y92" s="2058" t="s">
        <v>723</v>
      </c>
      <c r="Z92" s="2067" t="s">
        <v>1166</v>
      </c>
      <c r="AA92" s="2149" t="s">
        <v>1166</v>
      </c>
    </row>
    <row r="93" spans="1:27" s="259" customFormat="1" ht="18">
      <c r="A93" s="2043" t="s">
        <v>1166</v>
      </c>
      <c r="B93" s="2043"/>
      <c r="C93" s="2120" t="s">
        <v>2910</v>
      </c>
      <c r="D93" s="2045" t="s">
        <v>2252</v>
      </c>
      <c r="E93" s="2051" t="s">
        <v>3100</v>
      </c>
      <c r="F93" s="2051" t="s">
        <v>2912</v>
      </c>
      <c r="G93" s="2051">
        <v>9845660933</v>
      </c>
      <c r="H93" s="1813" t="s">
        <v>2913</v>
      </c>
      <c r="I93" s="2051" t="s">
        <v>3174</v>
      </c>
      <c r="J93" s="2051" t="s">
        <v>3161</v>
      </c>
      <c r="K93" s="2051" t="s">
        <v>138</v>
      </c>
      <c r="L93" s="2051" t="s">
        <v>3162</v>
      </c>
      <c r="M93" s="2144">
        <v>45170</v>
      </c>
      <c r="N93" s="2043">
        <v>40176</v>
      </c>
      <c r="O93" s="2043" t="s">
        <v>7</v>
      </c>
      <c r="P93" s="2043" t="s">
        <v>18</v>
      </c>
      <c r="Q93" s="2056">
        <v>1</v>
      </c>
      <c r="R93" s="2066" t="s">
        <v>3163</v>
      </c>
      <c r="S93" s="2058" t="s">
        <v>3159</v>
      </c>
      <c r="T93" s="2043">
        <v>40176</v>
      </c>
      <c r="U93" s="2058" t="s">
        <v>7</v>
      </c>
      <c r="V93" s="1814">
        <v>-419000</v>
      </c>
      <c r="W93" s="2043" t="s">
        <v>3164</v>
      </c>
      <c r="X93" s="2043" t="s">
        <v>1166</v>
      </c>
      <c r="Y93" s="2058" t="s">
        <v>723</v>
      </c>
      <c r="Z93" s="2067" t="s">
        <v>1166</v>
      </c>
      <c r="AA93" s="2148" t="s">
        <v>1166</v>
      </c>
    </row>
    <row r="94" spans="1:27" s="259" customFormat="1" ht="18">
      <c r="A94" s="2043" t="s">
        <v>1166</v>
      </c>
      <c r="B94" s="2043"/>
      <c r="C94" s="2120" t="s">
        <v>2910</v>
      </c>
      <c r="D94" s="2045" t="s">
        <v>2252</v>
      </c>
      <c r="E94" s="2051" t="s">
        <v>3100</v>
      </c>
      <c r="F94" s="2051" t="s">
        <v>2912</v>
      </c>
      <c r="G94" s="2051">
        <v>9845660933</v>
      </c>
      <c r="H94" s="1813" t="s">
        <v>2913</v>
      </c>
      <c r="I94" s="2051" t="s">
        <v>3175</v>
      </c>
      <c r="J94" s="2051" t="s">
        <v>3161</v>
      </c>
      <c r="K94" s="2051" t="s">
        <v>138</v>
      </c>
      <c r="L94" s="2051" t="s">
        <v>3162</v>
      </c>
      <c r="M94" s="2144">
        <v>45170</v>
      </c>
      <c r="N94" s="2043">
        <v>40176</v>
      </c>
      <c r="O94" s="2043" t="s">
        <v>7</v>
      </c>
      <c r="P94" s="2043" t="s">
        <v>18</v>
      </c>
      <c r="Q94" s="2056">
        <v>1</v>
      </c>
      <c r="R94" s="2066" t="s">
        <v>3163</v>
      </c>
      <c r="S94" s="2058" t="s">
        <v>3159</v>
      </c>
      <c r="T94" s="2043">
        <v>40176</v>
      </c>
      <c r="U94" s="2058" t="s">
        <v>7</v>
      </c>
      <c r="V94" s="1814">
        <v>-2362</v>
      </c>
      <c r="W94" s="2043" t="s">
        <v>3164</v>
      </c>
      <c r="X94" s="2043" t="s">
        <v>1166</v>
      </c>
      <c r="Y94" s="2058" t="s">
        <v>723</v>
      </c>
      <c r="Z94" s="2067" t="s">
        <v>1166</v>
      </c>
      <c r="AA94" s="2149" t="s">
        <v>1166</v>
      </c>
    </row>
    <row r="95" spans="1:27" s="259" customFormat="1" ht="18">
      <c r="A95" s="2043" t="s">
        <v>1166</v>
      </c>
      <c r="B95" s="2043"/>
      <c r="C95" s="2120" t="s">
        <v>2910</v>
      </c>
      <c r="D95" s="2045" t="s">
        <v>2252</v>
      </c>
      <c r="E95" s="2051" t="s">
        <v>3100</v>
      </c>
      <c r="F95" s="2051" t="s">
        <v>2912</v>
      </c>
      <c r="G95" s="2051">
        <v>9845660933</v>
      </c>
      <c r="H95" s="1813" t="s">
        <v>2913</v>
      </c>
      <c r="I95" s="2051" t="s">
        <v>3176</v>
      </c>
      <c r="J95" s="2051" t="s">
        <v>3161</v>
      </c>
      <c r="K95" s="2051" t="s">
        <v>138</v>
      </c>
      <c r="L95" s="2051" t="s">
        <v>3162</v>
      </c>
      <c r="M95" s="2144">
        <v>45170</v>
      </c>
      <c r="N95" s="2043">
        <v>40176</v>
      </c>
      <c r="O95" s="2043" t="s">
        <v>7</v>
      </c>
      <c r="P95" s="2043" t="s">
        <v>18</v>
      </c>
      <c r="Q95" s="2056">
        <v>1</v>
      </c>
      <c r="R95" s="2066" t="s">
        <v>3163</v>
      </c>
      <c r="S95" s="2058" t="s">
        <v>3159</v>
      </c>
      <c r="T95" s="2043">
        <v>40176</v>
      </c>
      <c r="U95" s="2058" t="s">
        <v>7</v>
      </c>
      <c r="V95" s="1814">
        <v>0</v>
      </c>
      <c r="W95" s="2043" t="s">
        <v>3164</v>
      </c>
      <c r="X95" s="2043" t="s">
        <v>1166</v>
      </c>
      <c r="Y95" s="2058" t="s">
        <v>723</v>
      </c>
      <c r="Z95" s="2067" t="s">
        <v>1166</v>
      </c>
      <c r="AA95" s="2148" t="s">
        <v>1166</v>
      </c>
    </row>
    <row r="96" spans="1:27" s="259" customFormat="1" ht="18">
      <c r="A96" s="2043" t="s">
        <v>1166</v>
      </c>
      <c r="B96" s="2043"/>
      <c r="C96" s="2120" t="s">
        <v>2910</v>
      </c>
      <c r="D96" s="2045" t="s">
        <v>2252</v>
      </c>
      <c r="E96" s="2051" t="s">
        <v>3100</v>
      </c>
      <c r="F96" s="2051" t="s">
        <v>2912</v>
      </c>
      <c r="G96" s="2051">
        <v>9845660933</v>
      </c>
      <c r="H96" s="1813" t="s">
        <v>2913</v>
      </c>
      <c r="I96" s="2051" t="s">
        <v>3177</v>
      </c>
      <c r="J96" s="2051" t="s">
        <v>3161</v>
      </c>
      <c r="K96" s="2051" t="s">
        <v>138</v>
      </c>
      <c r="L96" s="2051" t="s">
        <v>3162</v>
      </c>
      <c r="M96" s="2144">
        <v>45170</v>
      </c>
      <c r="N96" s="2043">
        <v>40176</v>
      </c>
      <c r="O96" s="2043" t="s">
        <v>7</v>
      </c>
      <c r="P96" s="2043" t="s">
        <v>18</v>
      </c>
      <c r="Q96" s="2056">
        <v>1</v>
      </c>
      <c r="R96" s="2066" t="s">
        <v>3163</v>
      </c>
      <c r="S96" s="2058" t="s">
        <v>3159</v>
      </c>
      <c r="T96" s="2043">
        <v>40176</v>
      </c>
      <c r="U96" s="2058" t="s">
        <v>7</v>
      </c>
      <c r="V96" s="1814">
        <v>0</v>
      </c>
      <c r="W96" s="2043" t="s">
        <v>3164</v>
      </c>
      <c r="X96" s="2043" t="s">
        <v>1166</v>
      </c>
      <c r="Y96" s="2058" t="s">
        <v>723</v>
      </c>
      <c r="Z96" s="2067" t="s">
        <v>1166</v>
      </c>
      <c r="AA96" s="2149" t="s">
        <v>1166</v>
      </c>
    </row>
    <row r="97" spans="1:27" s="259" customFormat="1" ht="18">
      <c r="A97" s="2043" t="s">
        <v>1166</v>
      </c>
      <c r="B97" s="2043"/>
      <c r="C97" s="2120" t="s">
        <v>2910</v>
      </c>
      <c r="D97" s="2045" t="s">
        <v>2252</v>
      </c>
      <c r="E97" s="2051" t="s">
        <v>3100</v>
      </c>
      <c r="F97" s="2051" t="s">
        <v>2912</v>
      </c>
      <c r="G97" s="2051">
        <v>9845660933</v>
      </c>
      <c r="H97" s="1813" t="s">
        <v>2913</v>
      </c>
      <c r="I97" s="2051" t="s">
        <v>3178</v>
      </c>
      <c r="J97" s="2051" t="s">
        <v>3161</v>
      </c>
      <c r="K97" s="2051" t="s">
        <v>138</v>
      </c>
      <c r="L97" s="2051" t="s">
        <v>3162</v>
      </c>
      <c r="M97" s="2144">
        <v>45170</v>
      </c>
      <c r="N97" s="2043">
        <v>40176</v>
      </c>
      <c r="O97" s="2043" t="s">
        <v>7</v>
      </c>
      <c r="P97" s="2043" t="s">
        <v>18</v>
      </c>
      <c r="Q97" s="2056">
        <v>1</v>
      </c>
      <c r="R97" s="2066" t="s">
        <v>3163</v>
      </c>
      <c r="S97" s="2058" t="s">
        <v>3159</v>
      </c>
      <c r="T97" s="2043">
        <v>40176</v>
      </c>
      <c r="U97" s="2058" t="s">
        <v>7</v>
      </c>
      <c r="V97" s="1814">
        <v>0</v>
      </c>
      <c r="W97" s="2043" t="s">
        <v>3164</v>
      </c>
      <c r="X97" s="2043" t="s">
        <v>1166</v>
      </c>
      <c r="Y97" s="2058" t="s">
        <v>723</v>
      </c>
      <c r="Z97" s="2067" t="s">
        <v>1166</v>
      </c>
      <c r="AA97" s="2148" t="s">
        <v>1166</v>
      </c>
    </row>
    <row r="98" spans="1:27" s="259" customFormat="1" ht="18">
      <c r="A98" s="2043" t="s">
        <v>1166</v>
      </c>
      <c r="B98" s="2043"/>
      <c r="C98" s="2120" t="s">
        <v>2910</v>
      </c>
      <c r="D98" s="2045" t="s">
        <v>2252</v>
      </c>
      <c r="E98" s="2051" t="s">
        <v>3100</v>
      </c>
      <c r="F98" s="2051" t="s">
        <v>2912</v>
      </c>
      <c r="G98" s="2051">
        <v>9845660933</v>
      </c>
      <c r="H98" s="1813" t="s">
        <v>2913</v>
      </c>
      <c r="I98" s="2051" t="s">
        <v>3179</v>
      </c>
      <c r="J98" s="2051" t="s">
        <v>3161</v>
      </c>
      <c r="K98" s="2051" t="s">
        <v>138</v>
      </c>
      <c r="L98" s="2051" t="s">
        <v>3162</v>
      </c>
      <c r="M98" s="2144">
        <v>45170</v>
      </c>
      <c r="N98" s="2043">
        <v>40176</v>
      </c>
      <c r="O98" s="2043" t="s">
        <v>7</v>
      </c>
      <c r="P98" s="2043" t="s">
        <v>18</v>
      </c>
      <c r="Q98" s="2056">
        <v>1</v>
      </c>
      <c r="R98" s="2066" t="s">
        <v>3163</v>
      </c>
      <c r="S98" s="2058" t="s">
        <v>3159</v>
      </c>
      <c r="T98" s="2043">
        <v>40176</v>
      </c>
      <c r="U98" s="2058" t="s">
        <v>7</v>
      </c>
      <c r="V98" s="1814">
        <v>0</v>
      </c>
      <c r="W98" s="2043" t="s">
        <v>3164</v>
      </c>
      <c r="X98" s="2043" t="s">
        <v>1166</v>
      </c>
      <c r="Y98" s="2058" t="s">
        <v>723</v>
      </c>
      <c r="Z98" s="2067" t="s">
        <v>1166</v>
      </c>
      <c r="AA98" s="2149" t="s">
        <v>1166</v>
      </c>
    </row>
    <row r="99" spans="1:27" s="259" customFormat="1" ht="18">
      <c r="A99" s="2043" t="s">
        <v>1166</v>
      </c>
      <c r="B99" s="2043"/>
      <c r="C99" s="2120" t="s">
        <v>2910</v>
      </c>
      <c r="D99" s="2045" t="s">
        <v>2252</v>
      </c>
      <c r="E99" s="2051" t="s">
        <v>3100</v>
      </c>
      <c r="F99" s="2051" t="s">
        <v>2912</v>
      </c>
      <c r="G99" s="2051">
        <v>9845660933</v>
      </c>
      <c r="H99" s="1813" t="s">
        <v>2913</v>
      </c>
      <c r="I99" s="2051" t="s">
        <v>3180</v>
      </c>
      <c r="J99" s="2051" t="s">
        <v>3161</v>
      </c>
      <c r="K99" s="2051" t="s">
        <v>138</v>
      </c>
      <c r="L99" s="2051" t="s">
        <v>3162</v>
      </c>
      <c r="M99" s="2144">
        <v>45170</v>
      </c>
      <c r="N99" s="2043">
        <v>40176</v>
      </c>
      <c r="O99" s="2043" t="s">
        <v>7</v>
      </c>
      <c r="P99" s="2043" t="s">
        <v>18</v>
      </c>
      <c r="Q99" s="2056">
        <v>1</v>
      </c>
      <c r="R99" s="2066" t="s">
        <v>3163</v>
      </c>
      <c r="S99" s="2058" t="s">
        <v>3159</v>
      </c>
      <c r="T99" s="2043">
        <v>40176</v>
      </c>
      <c r="U99" s="2058" t="s">
        <v>7</v>
      </c>
      <c r="V99" s="1814">
        <v>0</v>
      </c>
      <c r="W99" s="2043" t="s">
        <v>3164</v>
      </c>
      <c r="X99" s="2043" t="s">
        <v>1166</v>
      </c>
      <c r="Y99" s="2058" t="s">
        <v>723</v>
      </c>
      <c r="Z99" s="2067" t="s">
        <v>1166</v>
      </c>
      <c r="AA99" s="2148" t="s">
        <v>1166</v>
      </c>
    </row>
    <row r="100" spans="1:27" s="259" customFormat="1" ht="18">
      <c r="A100" s="2043" t="s">
        <v>1166</v>
      </c>
      <c r="B100" s="2043"/>
      <c r="C100" s="2120" t="s">
        <v>2910</v>
      </c>
      <c r="D100" s="2045" t="s">
        <v>2252</v>
      </c>
      <c r="E100" s="2051" t="s">
        <v>3100</v>
      </c>
      <c r="F100" s="2051" t="s">
        <v>2912</v>
      </c>
      <c r="G100" s="2051">
        <v>9845660933</v>
      </c>
      <c r="H100" s="1813" t="s">
        <v>2913</v>
      </c>
      <c r="I100" s="2051" t="s">
        <v>3181</v>
      </c>
      <c r="J100" s="2051" t="s">
        <v>3161</v>
      </c>
      <c r="K100" s="2051" t="s">
        <v>138</v>
      </c>
      <c r="L100" s="2051" t="s">
        <v>3162</v>
      </c>
      <c r="M100" s="2144">
        <v>45170</v>
      </c>
      <c r="N100" s="2043">
        <v>40176</v>
      </c>
      <c r="O100" s="2043" t="s">
        <v>7</v>
      </c>
      <c r="P100" s="2043" t="s">
        <v>18</v>
      </c>
      <c r="Q100" s="2056">
        <v>1</v>
      </c>
      <c r="R100" s="2066" t="s">
        <v>3163</v>
      </c>
      <c r="S100" s="2058" t="s">
        <v>3159</v>
      </c>
      <c r="T100" s="2043">
        <v>40176</v>
      </c>
      <c r="U100" s="2058" t="s">
        <v>7</v>
      </c>
      <c r="V100" s="1814">
        <v>0</v>
      </c>
      <c r="W100" s="2043" t="s">
        <v>3164</v>
      </c>
      <c r="X100" s="2043" t="s">
        <v>1166</v>
      </c>
      <c r="Y100" s="2058" t="s">
        <v>723</v>
      </c>
      <c r="Z100" s="2067" t="s">
        <v>1166</v>
      </c>
      <c r="AA100" s="2103" t="s">
        <v>1166</v>
      </c>
    </row>
    <row r="101" spans="1:27" s="259" customFormat="1" ht="18">
      <c r="A101" s="2043" t="s">
        <v>1166</v>
      </c>
      <c r="B101" s="2043"/>
      <c r="C101" s="2120" t="s">
        <v>2910</v>
      </c>
      <c r="D101" s="2045" t="s">
        <v>2252</v>
      </c>
      <c r="E101" s="2051" t="s">
        <v>3100</v>
      </c>
      <c r="F101" s="2051" t="s">
        <v>2912</v>
      </c>
      <c r="G101" s="2051">
        <v>9845660933</v>
      </c>
      <c r="H101" s="1813" t="s">
        <v>2913</v>
      </c>
      <c r="I101" s="2046" t="s">
        <v>3182</v>
      </c>
      <c r="J101" s="2051" t="s">
        <v>3161</v>
      </c>
      <c r="K101" s="2051" t="s">
        <v>138</v>
      </c>
      <c r="L101" s="2051" t="s">
        <v>3162</v>
      </c>
      <c r="M101" s="2144">
        <v>45170</v>
      </c>
      <c r="N101" s="2043">
        <v>40176</v>
      </c>
      <c r="O101" s="2043" t="s">
        <v>7</v>
      </c>
      <c r="P101" s="2043" t="s">
        <v>18</v>
      </c>
      <c r="Q101" s="2056">
        <v>1</v>
      </c>
      <c r="R101" s="2066" t="s">
        <v>3163</v>
      </c>
      <c r="S101" s="2058" t="s">
        <v>3159</v>
      </c>
      <c r="T101" s="2043">
        <v>40176</v>
      </c>
      <c r="U101" s="2058" t="s">
        <v>7</v>
      </c>
      <c r="V101" s="1814">
        <v>0</v>
      </c>
      <c r="W101" s="2043" t="s">
        <v>3164</v>
      </c>
      <c r="X101" s="2043" t="s">
        <v>1166</v>
      </c>
      <c r="Y101" s="2058" t="s">
        <v>723</v>
      </c>
      <c r="Z101" s="2067" t="s">
        <v>1166</v>
      </c>
      <c r="AA101" s="2150" t="s">
        <v>1166</v>
      </c>
    </row>
    <row r="102" spans="1:27" s="259" customFormat="1" ht="18">
      <c r="A102" s="2043" t="s">
        <v>1166</v>
      </c>
      <c r="B102" s="2043"/>
      <c r="C102" s="2120" t="s">
        <v>2910</v>
      </c>
      <c r="D102" s="2045" t="s">
        <v>2252</v>
      </c>
      <c r="E102" s="2051" t="s">
        <v>3100</v>
      </c>
      <c r="F102" s="2051" t="s">
        <v>2912</v>
      </c>
      <c r="G102" s="2051">
        <v>9845660933</v>
      </c>
      <c r="H102" s="1813" t="s">
        <v>2913</v>
      </c>
      <c r="I102" s="2046" t="s">
        <v>3183</v>
      </c>
      <c r="J102" s="2051" t="s">
        <v>3161</v>
      </c>
      <c r="K102" s="2051" t="s">
        <v>138</v>
      </c>
      <c r="L102" s="2051" t="s">
        <v>3162</v>
      </c>
      <c r="M102" s="2144">
        <v>45170</v>
      </c>
      <c r="N102" s="2043">
        <v>40176</v>
      </c>
      <c r="O102" s="2043" t="s">
        <v>7</v>
      </c>
      <c r="P102" s="2043" t="s">
        <v>18</v>
      </c>
      <c r="Q102" s="2056">
        <v>1</v>
      </c>
      <c r="R102" s="2066" t="s">
        <v>3163</v>
      </c>
      <c r="S102" s="2058" t="s">
        <v>3159</v>
      </c>
      <c r="T102" s="2043">
        <v>40176</v>
      </c>
      <c r="U102" s="2043" t="s">
        <v>7</v>
      </c>
      <c r="V102" s="1814">
        <v>0</v>
      </c>
      <c r="W102" s="2043" t="s">
        <v>3164</v>
      </c>
      <c r="X102" s="2043" t="s">
        <v>1166</v>
      </c>
      <c r="Y102" s="2058" t="s">
        <v>723</v>
      </c>
      <c r="Z102" s="2067" t="s">
        <v>1166</v>
      </c>
      <c r="AA102" s="2151" t="s">
        <v>1166</v>
      </c>
    </row>
    <row r="103" spans="1:27" s="259" customFormat="1" ht="18">
      <c r="A103" s="2043" t="s">
        <v>1166</v>
      </c>
      <c r="B103" s="2043"/>
      <c r="C103" s="2120" t="s">
        <v>2910</v>
      </c>
      <c r="D103" s="2045" t="s">
        <v>2252</v>
      </c>
      <c r="E103" s="2051" t="s">
        <v>3100</v>
      </c>
      <c r="F103" s="2051" t="s">
        <v>2912</v>
      </c>
      <c r="G103" s="2051">
        <v>9845660933</v>
      </c>
      <c r="H103" s="1813" t="s">
        <v>2913</v>
      </c>
      <c r="I103" s="2046" t="s">
        <v>2914</v>
      </c>
      <c r="J103" s="2051" t="s">
        <v>3161</v>
      </c>
      <c r="K103" s="2051" t="s">
        <v>138</v>
      </c>
      <c r="L103" s="2051" t="s">
        <v>3162</v>
      </c>
      <c r="M103" s="2144">
        <v>45170</v>
      </c>
      <c r="N103" s="2043">
        <v>40176</v>
      </c>
      <c r="O103" s="2043" t="s">
        <v>7</v>
      </c>
      <c r="P103" s="2043" t="s">
        <v>18</v>
      </c>
      <c r="Q103" s="2056">
        <v>1</v>
      </c>
      <c r="R103" s="2066" t="s">
        <v>3163</v>
      </c>
      <c r="S103" s="2058" t="s">
        <v>3159</v>
      </c>
      <c r="T103" s="2043">
        <v>40176</v>
      </c>
      <c r="U103" s="2043" t="s">
        <v>7</v>
      </c>
      <c r="V103" s="1814">
        <v>0</v>
      </c>
      <c r="W103" s="2043" t="s">
        <v>3164</v>
      </c>
      <c r="X103" s="2043" t="s">
        <v>1166</v>
      </c>
      <c r="Y103" s="2058" t="s">
        <v>723</v>
      </c>
      <c r="Z103" s="2067" t="s">
        <v>1166</v>
      </c>
      <c r="AA103" s="2152" t="s">
        <v>1166</v>
      </c>
    </row>
    <row r="104" spans="1:27" s="259" customFormat="1" ht="18">
      <c r="A104" s="2043" t="s">
        <v>1166</v>
      </c>
      <c r="B104" s="2043"/>
      <c r="C104" s="2120" t="s">
        <v>2910</v>
      </c>
      <c r="D104" s="2045" t="s">
        <v>2252</v>
      </c>
      <c r="E104" s="2051" t="s">
        <v>3100</v>
      </c>
      <c r="F104" s="2051" t="s">
        <v>2912</v>
      </c>
      <c r="G104" s="2051">
        <v>9845660933</v>
      </c>
      <c r="H104" s="1813" t="s">
        <v>2913</v>
      </c>
      <c r="I104" s="2046" t="s">
        <v>3184</v>
      </c>
      <c r="J104" s="2051" t="s">
        <v>3161</v>
      </c>
      <c r="K104" s="2051" t="s">
        <v>138</v>
      </c>
      <c r="L104" s="2051" t="s">
        <v>3162</v>
      </c>
      <c r="M104" s="2144">
        <v>45170</v>
      </c>
      <c r="N104" s="2043">
        <v>40176</v>
      </c>
      <c r="O104" s="2043" t="s">
        <v>7</v>
      </c>
      <c r="P104" s="2043" t="s">
        <v>18</v>
      </c>
      <c r="Q104" s="2056">
        <v>1</v>
      </c>
      <c r="R104" s="2066" t="s">
        <v>3163</v>
      </c>
      <c r="S104" s="2058" t="s">
        <v>3159</v>
      </c>
      <c r="T104" s="2043">
        <v>40176</v>
      </c>
      <c r="U104" s="2043" t="s">
        <v>7</v>
      </c>
      <c r="V104" s="1814">
        <v>-9295</v>
      </c>
      <c r="W104" s="2043" t="s">
        <v>3164</v>
      </c>
      <c r="X104" s="2043" t="s">
        <v>1166</v>
      </c>
      <c r="Y104" s="2058" t="s">
        <v>723</v>
      </c>
      <c r="Z104" s="2067" t="s">
        <v>1166</v>
      </c>
      <c r="AA104" s="2153" t="s">
        <v>1166</v>
      </c>
    </row>
    <row r="105" spans="1:27" s="259" customFormat="1" ht="18">
      <c r="A105" s="2043" t="s">
        <v>1166</v>
      </c>
      <c r="B105" s="2043"/>
      <c r="C105" s="2120" t="s">
        <v>2910</v>
      </c>
      <c r="D105" s="2045" t="s">
        <v>2252</v>
      </c>
      <c r="E105" s="2051" t="s">
        <v>3100</v>
      </c>
      <c r="F105" s="2051" t="s">
        <v>2912</v>
      </c>
      <c r="G105" s="2051">
        <v>9845660933</v>
      </c>
      <c r="H105" s="1813" t="s">
        <v>2913</v>
      </c>
      <c r="I105" s="2046" t="s">
        <v>3185</v>
      </c>
      <c r="J105" s="2051" t="s">
        <v>3161</v>
      </c>
      <c r="K105" s="2051" t="s">
        <v>138</v>
      </c>
      <c r="L105" s="2051" t="s">
        <v>3162</v>
      </c>
      <c r="M105" s="2144">
        <v>45170</v>
      </c>
      <c r="N105" s="2043">
        <v>40176</v>
      </c>
      <c r="O105" s="2043" t="s">
        <v>7</v>
      </c>
      <c r="P105" s="2043" t="s">
        <v>18</v>
      </c>
      <c r="Q105" s="2056">
        <v>1</v>
      </c>
      <c r="R105" s="2066" t="s">
        <v>3163</v>
      </c>
      <c r="S105" s="2058" t="s">
        <v>3159</v>
      </c>
      <c r="T105" s="2043">
        <v>40176</v>
      </c>
      <c r="U105" s="2043" t="s">
        <v>7</v>
      </c>
      <c r="V105" s="1814">
        <v>-285600</v>
      </c>
      <c r="W105" s="2043" t="s">
        <v>3164</v>
      </c>
      <c r="X105" s="2043" t="s">
        <v>1166</v>
      </c>
      <c r="Y105" s="2058" t="s">
        <v>723</v>
      </c>
      <c r="Z105" s="2067" t="s">
        <v>1166</v>
      </c>
      <c r="AA105" s="2154" t="s">
        <v>1166</v>
      </c>
    </row>
    <row r="106" spans="1:27" s="259" customFormat="1" ht="18">
      <c r="A106" s="2043" t="s">
        <v>1166</v>
      </c>
      <c r="B106" s="2043"/>
      <c r="C106" s="2120" t="s">
        <v>2910</v>
      </c>
      <c r="D106" s="2045" t="s">
        <v>2252</v>
      </c>
      <c r="E106" s="2051" t="s">
        <v>3100</v>
      </c>
      <c r="F106" s="2051" t="s">
        <v>2912</v>
      </c>
      <c r="G106" s="2051">
        <v>9845660933</v>
      </c>
      <c r="H106" s="1813" t="s">
        <v>2913</v>
      </c>
      <c r="I106" s="2046" t="s">
        <v>3186</v>
      </c>
      <c r="J106" s="2051" t="s">
        <v>3161</v>
      </c>
      <c r="K106" s="2051" t="s">
        <v>138</v>
      </c>
      <c r="L106" s="2051" t="s">
        <v>3162</v>
      </c>
      <c r="M106" s="2144">
        <v>45170</v>
      </c>
      <c r="N106" s="2043">
        <v>87648</v>
      </c>
      <c r="O106" s="2043" t="s">
        <v>7</v>
      </c>
      <c r="P106" s="2043" t="s">
        <v>18</v>
      </c>
      <c r="Q106" s="2056">
        <v>1</v>
      </c>
      <c r="R106" s="2066" t="s">
        <v>3163</v>
      </c>
      <c r="S106" s="2058" t="s">
        <v>3159</v>
      </c>
      <c r="T106" s="2043">
        <v>87648</v>
      </c>
      <c r="U106" s="2043" t="s">
        <v>7</v>
      </c>
      <c r="V106" s="1814">
        <v>-3400</v>
      </c>
      <c r="W106" s="2043" t="s">
        <v>3164</v>
      </c>
      <c r="X106" s="2043" t="s">
        <v>1166</v>
      </c>
      <c r="Y106" s="2058" t="s">
        <v>723</v>
      </c>
      <c r="Z106" s="2067" t="s">
        <v>1166</v>
      </c>
      <c r="AA106" s="2067" t="s">
        <v>1166</v>
      </c>
    </row>
    <row r="107" spans="1:27" s="259" customFormat="1" ht="18">
      <c r="A107" s="2043" t="s">
        <v>1166</v>
      </c>
      <c r="B107" s="2043"/>
      <c r="C107" s="2120" t="s">
        <v>2910</v>
      </c>
      <c r="D107" s="2045" t="s">
        <v>2252</v>
      </c>
      <c r="E107" s="2051" t="s">
        <v>3100</v>
      </c>
      <c r="F107" s="2051" t="s">
        <v>2912</v>
      </c>
      <c r="G107" s="2051">
        <v>9845660933</v>
      </c>
      <c r="H107" s="1813" t="s">
        <v>2913</v>
      </c>
      <c r="I107" s="2051" t="s">
        <v>3187</v>
      </c>
      <c r="J107" s="2051" t="s">
        <v>3161</v>
      </c>
      <c r="K107" s="2051" t="s">
        <v>138</v>
      </c>
      <c r="L107" s="2051" t="s">
        <v>3162</v>
      </c>
      <c r="M107" s="2144">
        <v>45170</v>
      </c>
      <c r="N107" s="2043">
        <v>94320</v>
      </c>
      <c r="O107" s="2043" t="s">
        <v>7</v>
      </c>
      <c r="P107" s="2043" t="s">
        <v>18</v>
      </c>
      <c r="Q107" s="2056">
        <v>1</v>
      </c>
      <c r="R107" s="2066" t="s">
        <v>3163</v>
      </c>
      <c r="S107" s="2058" t="s">
        <v>3159</v>
      </c>
      <c r="T107" s="2043">
        <v>94320</v>
      </c>
      <c r="U107" s="2043" t="s">
        <v>7</v>
      </c>
      <c r="V107" s="1814">
        <v>-3400</v>
      </c>
      <c r="W107" s="2043" t="s">
        <v>3164</v>
      </c>
      <c r="X107" s="2043" t="s">
        <v>1166</v>
      </c>
      <c r="Y107" s="2058" t="s">
        <v>723</v>
      </c>
      <c r="Z107" s="2067" t="s">
        <v>1166</v>
      </c>
      <c r="AA107" s="2154" t="s">
        <v>1166</v>
      </c>
    </row>
    <row r="108" spans="1:27" s="259" customFormat="1" ht="18">
      <c r="A108" s="2043" t="s">
        <v>1166</v>
      </c>
      <c r="B108" s="2043"/>
      <c r="C108" s="2120" t="s">
        <v>2910</v>
      </c>
      <c r="D108" s="2045" t="s">
        <v>2252</v>
      </c>
      <c r="E108" s="2051" t="s">
        <v>3100</v>
      </c>
      <c r="F108" s="2051" t="s">
        <v>2912</v>
      </c>
      <c r="G108" s="2051">
        <v>9845660933</v>
      </c>
      <c r="H108" s="1813" t="s">
        <v>2913</v>
      </c>
      <c r="I108" s="2051" t="s">
        <v>3188</v>
      </c>
      <c r="J108" s="2051" t="s">
        <v>3161</v>
      </c>
      <c r="K108" s="2051" t="s">
        <v>138</v>
      </c>
      <c r="L108" s="2051" t="s">
        <v>3162</v>
      </c>
      <c r="M108" s="2144">
        <v>45170</v>
      </c>
      <c r="N108" s="2043">
        <v>94320</v>
      </c>
      <c r="O108" s="2043" t="s">
        <v>7</v>
      </c>
      <c r="P108" s="2043" t="s">
        <v>18</v>
      </c>
      <c r="Q108" s="2056">
        <v>1</v>
      </c>
      <c r="R108" s="2066" t="s">
        <v>3163</v>
      </c>
      <c r="S108" s="2058" t="s">
        <v>3159</v>
      </c>
      <c r="T108" s="2043">
        <v>94320</v>
      </c>
      <c r="U108" s="2043" t="s">
        <v>7</v>
      </c>
      <c r="V108" s="1814">
        <v>-3400</v>
      </c>
      <c r="W108" s="2043" t="s">
        <v>3164</v>
      </c>
      <c r="X108" s="2043" t="s">
        <v>1166</v>
      </c>
      <c r="Y108" s="2058" t="s">
        <v>723</v>
      </c>
      <c r="Z108" s="2067" t="s">
        <v>1166</v>
      </c>
      <c r="AA108" s="2067" t="s">
        <v>1166</v>
      </c>
    </row>
    <row r="109" spans="1:27" s="259" customFormat="1" ht="18">
      <c r="A109" s="2043" t="s">
        <v>1166</v>
      </c>
      <c r="B109" s="2043"/>
      <c r="C109" s="2120" t="s">
        <v>2910</v>
      </c>
      <c r="D109" s="2045" t="s">
        <v>2252</v>
      </c>
      <c r="E109" s="2051" t="s">
        <v>3100</v>
      </c>
      <c r="F109" s="2051" t="s">
        <v>2912</v>
      </c>
      <c r="G109" s="2051">
        <v>9845660933</v>
      </c>
      <c r="H109" s="1813" t="s">
        <v>2913</v>
      </c>
      <c r="I109" s="2045" t="s">
        <v>3189</v>
      </c>
      <c r="J109" s="2051" t="s">
        <v>3161</v>
      </c>
      <c r="K109" s="2051" t="s">
        <v>138</v>
      </c>
      <c r="L109" s="2051" t="s">
        <v>3162</v>
      </c>
      <c r="M109" s="2144">
        <v>45170</v>
      </c>
      <c r="N109" s="2043">
        <v>94320</v>
      </c>
      <c r="O109" s="2043" t="s">
        <v>7</v>
      </c>
      <c r="P109" s="2043" t="s">
        <v>18</v>
      </c>
      <c r="Q109" s="2056">
        <v>1</v>
      </c>
      <c r="R109" s="2066" t="s">
        <v>3163</v>
      </c>
      <c r="S109" s="2058" t="s">
        <v>3159</v>
      </c>
      <c r="T109" s="2043">
        <v>94320</v>
      </c>
      <c r="U109" s="2043" t="s">
        <v>7</v>
      </c>
      <c r="V109" s="1814">
        <v>-9930</v>
      </c>
      <c r="W109" s="2043" t="s">
        <v>3164</v>
      </c>
      <c r="X109" s="2043" t="s">
        <v>1166</v>
      </c>
      <c r="Y109" s="2058" t="s">
        <v>723</v>
      </c>
      <c r="Z109" s="2067" t="s">
        <v>1166</v>
      </c>
      <c r="AA109" s="2154" t="s">
        <v>1166</v>
      </c>
    </row>
    <row r="110" spans="1:27" s="259" customFormat="1" ht="18">
      <c r="A110" s="2043" t="s">
        <v>1166</v>
      </c>
      <c r="B110" s="2043"/>
      <c r="C110" s="2120" t="s">
        <v>2910</v>
      </c>
      <c r="D110" s="2045" t="s">
        <v>2252</v>
      </c>
      <c r="E110" s="2051" t="s">
        <v>3100</v>
      </c>
      <c r="F110" s="2051" t="s">
        <v>2912</v>
      </c>
      <c r="G110" s="2051">
        <v>9845660933</v>
      </c>
      <c r="H110" s="1813" t="s">
        <v>2913</v>
      </c>
      <c r="I110" s="2045" t="s">
        <v>2967</v>
      </c>
      <c r="J110" s="2051" t="s">
        <v>3161</v>
      </c>
      <c r="K110" s="2051" t="s">
        <v>138</v>
      </c>
      <c r="L110" s="2051" t="s">
        <v>3162</v>
      </c>
      <c r="M110" s="2144">
        <v>45170</v>
      </c>
      <c r="N110" s="2043">
        <v>94320</v>
      </c>
      <c r="O110" s="2043" t="s">
        <v>7</v>
      </c>
      <c r="P110" s="2043" t="s">
        <v>18</v>
      </c>
      <c r="Q110" s="2056">
        <v>1</v>
      </c>
      <c r="R110" s="2066" t="s">
        <v>3163</v>
      </c>
      <c r="S110" s="2058" t="s">
        <v>3159</v>
      </c>
      <c r="T110" s="2043">
        <v>94320</v>
      </c>
      <c r="U110" s="2043" t="s">
        <v>7</v>
      </c>
      <c r="V110" s="1814">
        <v>-270705</v>
      </c>
      <c r="W110" s="2043" t="s">
        <v>3164</v>
      </c>
      <c r="X110" s="2043" t="s">
        <v>1166</v>
      </c>
      <c r="Y110" s="2058" t="s">
        <v>723</v>
      </c>
      <c r="Z110" s="2067" t="s">
        <v>1166</v>
      </c>
      <c r="AA110" s="2067" t="s">
        <v>1166</v>
      </c>
    </row>
    <row r="111" spans="1:27" s="259" customFormat="1" ht="18">
      <c r="A111" s="2043" t="s">
        <v>1166</v>
      </c>
      <c r="B111" s="2043"/>
      <c r="C111" s="2120" t="s">
        <v>2910</v>
      </c>
      <c r="D111" s="2045" t="s">
        <v>2252</v>
      </c>
      <c r="E111" s="2051" t="s">
        <v>3100</v>
      </c>
      <c r="F111" s="2051" t="s">
        <v>2912</v>
      </c>
      <c r="G111" s="2051">
        <v>9845660933</v>
      </c>
      <c r="H111" s="1813" t="s">
        <v>2913</v>
      </c>
      <c r="I111" s="2051" t="s">
        <v>3101</v>
      </c>
      <c r="J111" s="2051" t="s">
        <v>3161</v>
      </c>
      <c r="K111" s="2051" t="s">
        <v>138</v>
      </c>
      <c r="L111" s="2051" t="s">
        <v>3162</v>
      </c>
      <c r="M111" s="2144">
        <v>45170</v>
      </c>
      <c r="N111" s="2043">
        <v>178635</v>
      </c>
      <c r="O111" s="2043" t="s">
        <v>7</v>
      </c>
      <c r="P111" s="2043" t="s">
        <v>18</v>
      </c>
      <c r="Q111" s="2056">
        <v>1</v>
      </c>
      <c r="R111" s="2066" t="s">
        <v>3163</v>
      </c>
      <c r="S111" s="2058" t="s">
        <v>3159</v>
      </c>
      <c r="T111" s="2043">
        <v>178635</v>
      </c>
      <c r="U111" s="2043" t="s">
        <v>7</v>
      </c>
      <c r="V111" s="1814">
        <v>-212140</v>
      </c>
      <c r="W111" s="2043" t="s">
        <v>3164</v>
      </c>
      <c r="X111" s="2043" t="s">
        <v>1166</v>
      </c>
      <c r="Y111" s="2058" t="s">
        <v>723</v>
      </c>
      <c r="Z111" s="2067" t="s">
        <v>1166</v>
      </c>
      <c r="AA111" s="2154" t="s">
        <v>1166</v>
      </c>
    </row>
    <row r="112" spans="1:27" s="259" customFormat="1" ht="18">
      <c r="A112" s="2043" t="s">
        <v>1166</v>
      </c>
      <c r="B112" s="2043"/>
      <c r="C112" s="2120" t="s">
        <v>2910</v>
      </c>
      <c r="D112" s="2045" t="s">
        <v>2252</v>
      </c>
      <c r="E112" s="2051" t="s">
        <v>3100</v>
      </c>
      <c r="F112" s="2051" t="s">
        <v>2912</v>
      </c>
      <c r="G112" s="2051">
        <v>9845660933</v>
      </c>
      <c r="H112" s="1813" t="s">
        <v>2913</v>
      </c>
      <c r="I112" s="2046" t="s">
        <v>2957</v>
      </c>
      <c r="J112" s="2051" t="s">
        <v>3161</v>
      </c>
      <c r="K112" s="2051" t="s">
        <v>138</v>
      </c>
      <c r="L112" s="2051" t="s">
        <v>3162</v>
      </c>
      <c r="M112" s="2144">
        <v>45170</v>
      </c>
      <c r="N112" s="2043">
        <v>178635</v>
      </c>
      <c r="O112" s="2043" t="s">
        <v>7</v>
      </c>
      <c r="P112" s="2043" t="s">
        <v>18</v>
      </c>
      <c r="Q112" s="2056">
        <v>1</v>
      </c>
      <c r="R112" s="2066" t="s">
        <v>3163</v>
      </c>
      <c r="S112" s="2058" t="s">
        <v>3159</v>
      </c>
      <c r="T112" s="2043">
        <v>178635</v>
      </c>
      <c r="U112" s="2043" t="s">
        <v>7</v>
      </c>
      <c r="V112" s="1814">
        <v>-1883</v>
      </c>
      <c r="W112" s="2043" t="s">
        <v>3164</v>
      </c>
      <c r="X112" s="2043" t="s">
        <v>1166</v>
      </c>
      <c r="Y112" s="2058" t="s">
        <v>723</v>
      </c>
      <c r="Z112" s="2067" t="s">
        <v>1166</v>
      </c>
      <c r="AA112" s="2067" t="s">
        <v>1166</v>
      </c>
    </row>
    <row r="113" spans="1:27" s="259" customFormat="1" ht="18">
      <c r="A113" s="2043" t="s">
        <v>1166</v>
      </c>
      <c r="B113" s="2043"/>
      <c r="C113" s="2120" t="s">
        <v>2910</v>
      </c>
      <c r="D113" s="2045" t="s">
        <v>2252</v>
      </c>
      <c r="E113" s="2051" t="s">
        <v>3100</v>
      </c>
      <c r="F113" s="2051" t="s">
        <v>2912</v>
      </c>
      <c r="G113" s="2051">
        <v>9845660933</v>
      </c>
      <c r="H113" s="1813" t="s">
        <v>2913</v>
      </c>
      <c r="I113" s="2046" t="s">
        <v>3190</v>
      </c>
      <c r="J113" s="2051" t="s">
        <v>3161</v>
      </c>
      <c r="K113" s="2051" t="s">
        <v>138</v>
      </c>
      <c r="L113" s="2051" t="s">
        <v>3162</v>
      </c>
      <c r="M113" s="2144">
        <v>45170</v>
      </c>
      <c r="N113" s="2043">
        <v>178635</v>
      </c>
      <c r="O113" s="2043" t="s">
        <v>7</v>
      </c>
      <c r="P113" s="2043" t="s">
        <v>18</v>
      </c>
      <c r="Q113" s="2056">
        <v>1</v>
      </c>
      <c r="R113" s="2066" t="s">
        <v>3163</v>
      </c>
      <c r="S113" s="2058" t="s">
        <v>3159</v>
      </c>
      <c r="T113" s="2043">
        <v>178635</v>
      </c>
      <c r="U113" s="2043" t="s">
        <v>7</v>
      </c>
      <c r="V113" s="1814">
        <v>0</v>
      </c>
      <c r="W113" s="2043" t="s">
        <v>3164</v>
      </c>
      <c r="X113" s="2043" t="s">
        <v>1166</v>
      </c>
      <c r="Y113" s="2058" t="s">
        <v>723</v>
      </c>
      <c r="Z113" s="2067" t="s">
        <v>1166</v>
      </c>
      <c r="AA113" s="2154" t="s">
        <v>1166</v>
      </c>
    </row>
    <row r="114" spans="1:27" s="259" customFormat="1" ht="18">
      <c r="A114" s="2043" t="s">
        <v>1166</v>
      </c>
      <c r="B114" s="2043"/>
      <c r="C114" s="2120" t="s">
        <v>2910</v>
      </c>
      <c r="D114" s="2045" t="s">
        <v>2252</v>
      </c>
      <c r="E114" s="2051" t="s">
        <v>3100</v>
      </c>
      <c r="F114" s="2051" t="s">
        <v>2912</v>
      </c>
      <c r="G114" s="2051">
        <v>9845660933</v>
      </c>
      <c r="H114" s="1813" t="s">
        <v>2913</v>
      </c>
      <c r="I114" s="2046" t="s">
        <v>3191</v>
      </c>
      <c r="J114" s="2051" t="s">
        <v>3161</v>
      </c>
      <c r="K114" s="2051" t="s">
        <v>138</v>
      </c>
      <c r="L114" s="2051" t="s">
        <v>3162</v>
      </c>
      <c r="M114" s="2144">
        <v>45170</v>
      </c>
      <c r="N114" s="2043">
        <v>35900</v>
      </c>
      <c r="O114" s="2043" t="s">
        <v>7</v>
      </c>
      <c r="P114" s="2043" t="s">
        <v>18</v>
      </c>
      <c r="Q114" s="2056">
        <v>1</v>
      </c>
      <c r="R114" s="2066" t="s">
        <v>3163</v>
      </c>
      <c r="S114" s="2058" t="s">
        <v>3159</v>
      </c>
      <c r="T114" s="2043">
        <v>35900</v>
      </c>
      <c r="U114" s="2043" t="s">
        <v>7</v>
      </c>
      <c r="V114" s="1814">
        <v>-427190</v>
      </c>
      <c r="W114" s="2043" t="s">
        <v>3164</v>
      </c>
      <c r="X114" s="2043" t="s">
        <v>1166</v>
      </c>
      <c r="Y114" s="2058" t="s">
        <v>723</v>
      </c>
      <c r="Z114" s="2067" t="s">
        <v>1166</v>
      </c>
      <c r="AA114" s="2067" t="s">
        <v>1166</v>
      </c>
    </row>
    <row r="115" spans="1:27" s="259" customFormat="1" ht="18">
      <c r="A115" s="2043" t="s">
        <v>1166</v>
      </c>
      <c r="B115" s="2043"/>
      <c r="C115" s="2120" t="s">
        <v>2910</v>
      </c>
      <c r="D115" s="2045" t="s">
        <v>2252</v>
      </c>
      <c r="E115" s="2051" t="s">
        <v>3100</v>
      </c>
      <c r="F115" s="2051" t="s">
        <v>2912</v>
      </c>
      <c r="G115" s="2051">
        <v>9845660933</v>
      </c>
      <c r="H115" s="1813" t="s">
        <v>2913</v>
      </c>
      <c r="I115" s="2045" t="s">
        <v>3192</v>
      </c>
      <c r="J115" s="2051" t="s">
        <v>3161</v>
      </c>
      <c r="K115" s="2051" t="s">
        <v>138</v>
      </c>
      <c r="L115" s="2051" t="s">
        <v>3162</v>
      </c>
      <c r="M115" s="2144">
        <v>45170</v>
      </c>
      <c r="N115" s="2043">
        <v>35900</v>
      </c>
      <c r="O115" s="2043" t="s">
        <v>7</v>
      </c>
      <c r="P115" s="2043" t="s">
        <v>18</v>
      </c>
      <c r="Q115" s="2056">
        <v>1</v>
      </c>
      <c r="R115" s="2066" t="s">
        <v>3163</v>
      </c>
      <c r="S115" s="2058" t="s">
        <v>3193</v>
      </c>
      <c r="T115" s="2043">
        <v>35900</v>
      </c>
      <c r="U115" s="2043" t="s">
        <v>7</v>
      </c>
      <c r="V115" s="1814">
        <v>-12345</v>
      </c>
      <c r="W115" s="2043" t="s">
        <v>3164</v>
      </c>
      <c r="X115" s="2043" t="s">
        <v>1166</v>
      </c>
      <c r="Y115" s="2058" t="s">
        <v>723</v>
      </c>
      <c r="Z115" s="2067" t="s">
        <v>1166</v>
      </c>
      <c r="AA115" s="2154" t="s">
        <v>1166</v>
      </c>
    </row>
    <row r="116" spans="1:27" s="259" customFormat="1" ht="31.2">
      <c r="A116" s="2043">
        <v>44</v>
      </c>
      <c r="B116" s="2138">
        <v>45932</v>
      </c>
      <c r="C116" s="2120" t="s">
        <v>3112</v>
      </c>
      <c r="D116" s="2045" t="s">
        <v>2252</v>
      </c>
      <c r="E116" s="2105" t="s">
        <v>873</v>
      </c>
      <c r="F116" s="2106" t="s">
        <v>3194</v>
      </c>
      <c r="G116" s="2106">
        <v>7892349057</v>
      </c>
      <c r="H116" s="1801" t="s">
        <v>3195</v>
      </c>
      <c r="I116" s="2046" t="s">
        <v>3115</v>
      </c>
      <c r="J116" s="2051" t="s">
        <v>73</v>
      </c>
      <c r="K116" s="2051" t="s">
        <v>138</v>
      </c>
      <c r="L116" s="2058" t="s">
        <v>3196</v>
      </c>
      <c r="M116" s="2131" t="s">
        <v>3197</v>
      </c>
      <c r="N116" s="2043">
        <v>82554</v>
      </c>
      <c r="O116" s="2043" t="s">
        <v>47</v>
      </c>
      <c r="P116" s="2043" t="s">
        <v>7</v>
      </c>
      <c r="Q116" s="2056">
        <v>1</v>
      </c>
      <c r="R116" s="2123">
        <v>1000025903</v>
      </c>
      <c r="S116" s="2123" t="s">
        <v>3193</v>
      </c>
      <c r="T116" s="2043">
        <v>82554</v>
      </c>
      <c r="U116" s="2043" t="s">
        <v>7</v>
      </c>
      <c r="V116" s="1814">
        <v>-90000</v>
      </c>
      <c r="W116" s="2058" t="s">
        <v>2909</v>
      </c>
      <c r="X116" s="2043" t="s">
        <v>1166</v>
      </c>
      <c r="Y116" s="2043" t="s">
        <v>2276</v>
      </c>
      <c r="Z116" s="2067" t="s">
        <v>1166</v>
      </c>
      <c r="AA116" s="2153" t="s">
        <v>1166</v>
      </c>
    </row>
    <row r="117" spans="1:27" s="259" customFormat="1" ht="31.2">
      <c r="A117" s="2043" t="s">
        <v>1166</v>
      </c>
      <c r="B117" s="2155"/>
      <c r="C117" s="2120" t="s">
        <v>3112</v>
      </c>
      <c r="D117" s="2045" t="s">
        <v>2252</v>
      </c>
      <c r="E117" s="2110" t="s">
        <v>873</v>
      </c>
      <c r="F117" s="2111" t="s">
        <v>3194</v>
      </c>
      <c r="G117" s="2111">
        <v>7892349057</v>
      </c>
      <c r="H117" s="1804" t="s">
        <v>3195</v>
      </c>
      <c r="I117" s="2046" t="s">
        <v>3198</v>
      </c>
      <c r="J117" s="2051" t="s">
        <v>73</v>
      </c>
      <c r="K117" s="2051" t="s">
        <v>138</v>
      </c>
      <c r="L117" s="2058" t="s">
        <v>3196</v>
      </c>
      <c r="M117" s="2131" t="s">
        <v>3197</v>
      </c>
      <c r="N117" s="2043">
        <v>82554</v>
      </c>
      <c r="O117" s="2043" t="s">
        <v>47</v>
      </c>
      <c r="P117" s="2043" t="s">
        <v>7</v>
      </c>
      <c r="Q117" s="2056">
        <v>1</v>
      </c>
      <c r="R117" s="2123">
        <v>1000025903</v>
      </c>
      <c r="S117" s="2123" t="s">
        <v>3199</v>
      </c>
      <c r="T117" s="2043">
        <v>82554</v>
      </c>
      <c r="U117" s="2043" t="s">
        <v>7</v>
      </c>
      <c r="V117" s="1814">
        <v>0</v>
      </c>
      <c r="W117" s="2043" t="s">
        <v>2909</v>
      </c>
      <c r="X117" s="2043" t="s">
        <v>1166</v>
      </c>
      <c r="Y117" s="2043" t="s">
        <v>2276</v>
      </c>
      <c r="Z117" s="2067" t="s">
        <v>1166</v>
      </c>
      <c r="AA117" s="2156" t="s">
        <v>1166</v>
      </c>
    </row>
    <row r="118" spans="1:27" s="259" customFormat="1" ht="18">
      <c r="A118" s="2043">
        <v>45</v>
      </c>
      <c r="B118" s="2138">
        <v>45932</v>
      </c>
      <c r="C118" s="2120" t="s">
        <v>2058</v>
      </c>
      <c r="D118" s="2045" t="s">
        <v>2252</v>
      </c>
      <c r="E118" s="2046" t="s">
        <v>954</v>
      </c>
      <c r="F118" s="2046" t="s">
        <v>3200</v>
      </c>
      <c r="G118" s="2046">
        <v>96866450641</v>
      </c>
      <c r="H118" s="1810" t="s">
        <v>3201</v>
      </c>
      <c r="I118" s="2046" t="s">
        <v>3202</v>
      </c>
      <c r="J118" s="2051" t="s">
        <v>73</v>
      </c>
      <c r="K118" s="2051" t="s">
        <v>138</v>
      </c>
      <c r="L118" s="2058" t="s">
        <v>3203</v>
      </c>
      <c r="M118" s="2133">
        <v>44899</v>
      </c>
      <c r="N118" s="2043">
        <v>75000</v>
      </c>
      <c r="O118" s="2043" t="s">
        <v>28</v>
      </c>
      <c r="P118" s="2043" t="s">
        <v>7</v>
      </c>
      <c r="Q118" s="2056">
        <v>1</v>
      </c>
      <c r="R118" s="2043">
        <v>8480152169</v>
      </c>
      <c r="S118" s="2043" t="s">
        <v>3204</v>
      </c>
      <c r="T118" s="2043">
        <v>75000</v>
      </c>
      <c r="U118" s="2043" t="s">
        <v>7</v>
      </c>
      <c r="V118" s="1814">
        <v>0</v>
      </c>
      <c r="W118" s="2043" t="s">
        <v>3205</v>
      </c>
      <c r="X118" s="2043" t="s">
        <v>1166</v>
      </c>
      <c r="Y118" s="2043" t="s">
        <v>1166</v>
      </c>
      <c r="Z118" s="2067" t="s">
        <v>1166</v>
      </c>
      <c r="AA118" s="2153" t="s">
        <v>1166</v>
      </c>
    </row>
    <row r="119" spans="1:27" s="259" customFormat="1" ht="18">
      <c r="A119" s="2043">
        <v>46</v>
      </c>
      <c r="B119" s="2138">
        <v>45932</v>
      </c>
      <c r="C119" s="2120" t="s">
        <v>3206</v>
      </c>
      <c r="D119" s="2045" t="s">
        <v>2252</v>
      </c>
      <c r="E119" s="2110" t="s">
        <v>3207</v>
      </c>
      <c r="F119" s="2111" t="s">
        <v>3208</v>
      </c>
      <c r="G119" s="2111">
        <v>8023722562</v>
      </c>
      <c r="H119" s="1804" t="s">
        <v>3209</v>
      </c>
      <c r="I119" s="2157" t="s">
        <v>3210</v>
      </c>
      <c r="J119" s="2051" t="s">
        <v>73</v>
      </c>
      <c r="K119" s="2051" t="s">
        <v>138</v>
      </c>
      <c r="L119" s="1815" t="s">
        <v>3211</v>
      </c>
      <c r="M119" s="2131" t="s">
        <v>3212</v>
      </c>
      <c r="N119" s="2043">
        <v>93480</v>
      </c>
      <c r="O119" s="2043" t="s">
        <v>18</v>
      </c>
      <c r="P119" s="2043" t="s">
        <v>7</v>
      </c>
      <c r="Q119" s="2056">
        <v>1</v>
      </c>
      <c r="R119" s="2145" t="s">
        <v>3213</v>
      </c>
      <c r="S119" s="2043" t="s">
        <v>3204</v>
      </c>
      <c r="T119" s="2043">
        <v>93480</v>
      </c>
      <c r="U119" s="2043" t="s">
        <v>7</v>
      </c>
      <c r="V119" s="1814">
        <v>0</v>
      </c>
      <c r="W119" s="2043" t="s">
        <v>3214</v>
      </c>
      <c r="X119" s="2043" t="s">
        <v>1166</v>
      </c>
      <c r="Y119" s="2135">
        <v>45695</v>
      </c>
      <c r="Z119" s="2067" t="s">
        <v>1166</v>
      </c>
      <c r="AA119" s="2156" t="s">
        <v>1166</v>
      </c>
    </row>
    <row r="120" spans="1:27" s="259" customFormat="1" ht="18">
      <c r="A120" s="2043" t="s">
        <v>1166</v>
      </c>
      <c r="B120" s="2155" t="s">
        <v>1166</v>
      </c>
      <c r="C120" s="2120" t="s">
        <v>3206</v>
      </c>
      <c r="D120" s="2045" t="s">
        <v>2252</v>
      </c>
      <c r="E120" s="2105" t="s">
        <v>3207</v>
      </c>
      <c r="F120" s="2106" t="s">
        <v>3208</v>
      </c>
      <c r="G120" s="2106">
        <v>8023722562</v>
      </c>
      <c r="H120" s="1801" t="s">
        <v>3209</v>
      </c>
      <c r="I120" s="2100" t="s">
        <v>3215</v>
      </c>
      <c r="J120" s="2051" t="s">
        <v>73</v>
      </c>
      <c r="K120" s="2051" t="s">
        <v>138</v>
      </c>
      <c r="L120" s="1815" t="s">
        <v>3211</v>
      </c>
      <c r="M120" s="2131" t="s">
        <v>3212</v>
      </c>
      <c r="N120" s="2043">
        <v>93480</v>
      </c>
      <c r="O120" s="2043" t="s">
        <v>18</v>
      </c>
      <c r="P120" s="2043" t="s">
        <v>7</v>
      </c>
      <c r="Q120" s="2056">
        <v>1</v>
      </c>
      <c r="R120" s="2145" t="s">
        <v>3213</v>
      </c>
      <c r="S120" s="2043" t="s">
        <v>3204</v>
      </c>
      <c r="T120" s="2043">
        <v>93480</v>
      </c>
      <c r="U120" s="2043" t="s">
        <v>7</v>
      </c>
      <c r="V120" s="1814">
        <v>0</v>
      </c>
      <c r="W120" s="2043" t="s">
        <v>3214</v>
      </c>
      <c r="X120" s="2043" t="s">
        <v>1166</v>
      </c>
      <c r="Y120" s="2135">
        <v>45695</v>
      </c>
      <c r="Z120" s="2067" t="s">
        <v>1166</v>
      </c>
      <c r="AA120" s="2153" t="s">
        <v>1166</v>
      </c>
    </row>
    <row r="121" spans="1:27" s="259" customFormat="1" ht="18">
      <c r="A121" s="2043">
        <v>47</v>
      </c>
      <c r="B121" s="2138">
        <v>45932</v>
      </c>
      <c r="C121" s="2120" t="s">
        <v>3006</v>
      </c>
      <c r="D121" s="2046" t="s">
        <v>2252</v>
      </c>
      <c r="E121" s="2046" t="s">
        <v>3216</v>
      </c>
      <c r="F121" s="2046" t="s">
        <v>3217</v>
      </c>
      <c r="G121" s="2046">
        <v>8951390140</v>
      </c>
      <c r="H121" s="1810" t="s">
        <v>3218</v>
      </c>
      <c r="I121" s="2046" t="s">
        <v>3219</v>
      </c>
      <c r="J121" s="2051" t="s">
        <v>3220</v>
      </c>
      <c r="K121" s="2051" t="s">
        <v>138</v>
      </c>
      <c r="L121" s="2058" t="s">
        <v>3221</v>
      </c>
      <c r="M121" s="2133">
        <v>45840</v>
      </c>
      <c r="N121" s="2043">
        <v>156477</v>
      </c>
      <c r="O121" s="2043" t="s">
        <v>18</v>
      </c>
      <c r="P121" s="2043" t="s">
        <v>37</v>
      </c>
      <c r="Q121" s="2056">
        <v>1</v>
      </c>
      <c r="R121" s="2137">
        <v>4100031856</v>
      </c>
      <c r="S121" s="2043" t="s">
        <v>3222</v>
      </c>
      <c r="T121" s="2043">
        <v>152082</v>
      </c>
      <c r="U121" s="2043" t="s">
        <v>30</v>
      </c>
      <c r="V121" s="1814">
        <v>0</v>
      </c>
      <c r="W121" s="2058" t="s">
        <v>2909</v>
      </c>
      <c r="X121" s="2043" t="s">
        <v>1166</v>
      </c>
      <c r="Y121" s="2043" t="s">
        <v>1166</v>
      </c>
      <c r="Z121" s="2067" t="s">
        <v>1166</v>
      </c>
      <c r="AA121" s="2153" t="s">
        <v>1166</v>
      </c>
    </row>
    <row r="122" spans="1:27" s="259" customFormat="1" ht="18">
      <c r="A122" s="2043" t="s">
        <v>1166</v>
      </c>
      <c r="B122" s="2155"/>
      <c r="C122" s="2120" t="s">
        <v>3006</v>
      </c>
      <c r="D122" s="2046" t="s">
        <v>2252</v>
      </c>
      <c r="E122" s="2046" t="s">
        <v>3216</v>
      </c>
      <c r="F122" s="2046" t="s">
        <v>3217</v>
      </c>
      <c r="G122" s="2046">
        <v>8951390140</v>
      </c>
      <c r="H122" s="1810" t="s">
        <v>3218</v>
      </c>
      <c r="I122" s="2046" t="s">
        <v>3223</v>
      </c>
      <c r="J122" s="2051" t="s">
        <v>3220</v>
      </c>
      <c r="K122" s="2051" t="s">
        <v>138</v>
      </c>
      <c r="L122" s="2058" t="s">
        <v>3221</v>
      </c>
      <c r="M122" s="2133">
        <v>45840</v>
      </c>
      <c r="N122" s="2043">
        <v>156477</v>
      </c>
      <c r="O122" s="2043" t="s">
        <v>18</v>
      </c>
      <c r="P122" s="2043" t="s">
        <v>37</v>
      </c>
      <c r="Q122" s="2056">
        <v>1</v>
      </c>
      <c r="R122" s="2137">
        <v>4100031856</v>
      </c>
      <c r="S122" s="2043" t="s">
        <v>3222</v>
      </c>
      <c r="T122" s="2043">
        <v>152082</v>
      </c>
      <c r="U122" s="2043" t="s">
        <v>30</v>
      </c>
      <c r="V122" s="1814">
        <v>0</v>
      </c>
      <c r="W122" s="2058" t="s">
        <v>2909</v>
      </c>
      <c r="X122" s="2043" t="s">
        <v>1166</v>
      </c>
      <c r="Y122" s="2043" t="s">
        <v>1166</v>
      </c>
      <c r="Z122" s="2067" t="s">
        <v>1166</v>
      </c>
      <c r="AA122" s="2153" t="s">
        <v>1166</v>
      </c>
    </row>
    <row r="123" spans="1:27" s="259" customFormat="1" ht="18">
      <c r="A123" s="2043" t="s">
        <v>1166</v>
      </c>
      <c r="B123" s="2155"/>
      <c r="C123" s="2120" t="s">
        <v>3006</v>
      </c>
      <c r="D123" s="2046" t="s">
        <v>2252</v>
      </c>
      <c r="E123" s="2046" t="s">
        <v>3216</v>
      </c>
      <c r="F123" s="2046" t="s">
        <v>3217</v>
      </c>
      <c r="G123" s="2046">
        <v>8951390140</v>
      </c>
      <c r="H123" s="1810" t="s">
        <v>3218</v>
      </c>
      <c r="I123" s="2046" t="s">
        <v>3224</v>
      </c>
      <c r="J123" s="2051" t="s">
        <v>3220</v>
      </c>
      <c r="K123" s="2051" t="s">
        <v>138</v>
      </c>
      <c r="L123" s="2058" t="s">
        <v>3221</v>
      </c>
      <c r="M123" s="2133">
        <v>45840</v>
      </c>
      <c r="N123" s="2043">
        <v>156477</v>
      </c>
      <c r="O123" s="2043" t="s">
        <v>18</v>
      </c>
      <c r="P123" s="2043" t="s">
        <v>37</v>
      </c>
      <c r="Q123" s="2056">
        <v>1</v>
      </c>
      <c r="R123" s="2137">
        <v>4100031856</v>
      </c>
      <c r="S123" s="2043" t="s">
        <v>3222</v>
      </c>
      <c r="T123" s="2043">
        <v>152082</v>
      </c>
      <c r="U123" s="2043" t="s">
        <v>30</v>
      </c>
      <c r="V123" s="1814">
        <v>0</v>
      </c>
      <c r="W123" s="2058" t="s">
        <v>2909</v>
      </c>
      <c r="X123" s="2043" t="s">
        <v>1166</v>
      </c>
      <c r="Y123" s="2043" t="s">
        <v>1166</v>
      </c>
      <c r="Z123" s="2067" t="s">
        <v>1166</v>
      </c>
      <c r="AA123" s="2153" t="s">
        <v>1166</v>
      </c>
    </row>
    <row r="124" spans="1:27" s="259" customFormat="1" ht="18">
      <c r="A124" s="2043" t="s">
        <v>1166</v>
      </c>
      <c r="B124" s="2155"/>
      <c r="C124" s="2120" t="s">
        <v>3006</v>
      </c>
      <c r="D124" s="2046" t="s">
        <v>2252</v>
      </c>
      <c r="E124" s="2046" t="s">
        <v>3216</v>
      </c>
      <c r="F124" s="2046" t="s">
        <v>3217</v>
      </c>
      <c r="G124" s="2046">
        <v>8951390140</v>
      </c>
      <c r="H124" s="1810" t="s">
        <v>3218</v>
      </c>
      <c r="I124" s="2046" t="s">
        <v>3225</v>
      </c>
      <c r="J124" s="2051" t="s">
        <v>3220</v>
      </c>
      <c r="K124" s="2051" t="s">
        <v>138</v>
      </c>
      <c r="L124" s="2058" t="s">
        <v>3221</v>
      </c>
      <c r="M124" s="2133">
        <v>45840</v>
      </c>
      <c r="N124" s="2043">
        <v>156477</v>
      </c>
      <c r="O124" s="2043" t="s">
        <v>18</v>
      </c>
      <c r="P124" s="2043" t="s">
        <v>37</v>
      </c>
      <c r="Q124" s="2056">
        <v>1</v>
      </c>
      <c r="R124" s="2137">
        <v>4100031856</v>
      </c>
      <c r="S124" s="2043" t="s">
        <v>3222</v>
      </c>
      <c r="T124" s="2043">
        <v>152082</v>
      </c>
      <c r="U124" s="2043" t="s">
        <v>30</v>
      </c>
      <c r="V124" s="1814">
        <v>0</v>
      </c>
      <c r="W124" s="2058" t="s">
        <v>2909</v>
      </c>
      <c r="X124" s="2043" t="s">
        <v>1166</v>
      </c>
      <c r="Y124" s="2043" t="s">
        <v>1166</v>
      </c>
      <c r="Z124" s="2067" t="s">
        <v>1166</v>
      </c>
      <c r="AA124" s="2067" t="s">
        <v>1166</v>
      </c>
    </row>
    <row r="125" spans="1:27" s="259" customFormat="1" ht="18">
      <c r="A125" s="2043">
        <v>48</v>
      </c>
      <c r="B125" s="2138">
        <v>45932</v>
      </c>
      <c r="C125" s="2045" t="s">
        <v>3006</v>
      </c>
      <c r="D125" s="2046" t="s">
        <v>2252</v>
      </c>
      <c r="E125" s="2046" t="s">
        <v>3216</v>
      </c>
      <c r="F125" s="2046" t="s">
        <v>3217</v>
      </c>
      <c r="G125" s="2046">
        <v>8951390140</v>
      </c>
      <c r="H125" s="1845" t="s">
        <v>3218</v>
      </c>
      <c r="I125" s="2045" t="s">
        <v>3219</v>
      </c>
      <c r="J125" s="2046" t="s">
        <v>83</v>
      </c>
      <c r="K125" s="2046" t="s">
        <v>157</v>
      </c>
      <c r="L125" s="2043" t="s">
        <v>3226</v>
      </c>
      <c r="M125" s="2131" t="s">
        <v>3227</v>
      </c>
      <c r="N125" s="2043">
        <v>974271</v>
      </c>
      <c r="O125" s="2043" t="s">
        <v>28</v>
      </c>
      <c r="P125" s="2043" t="s">
        <v>44</v>
      </c>
      <c r="Q125" s="2056">
        <v>0.7</v>
      </c>
      <c r="R125" s="2043">
        <v>4100032570</v>
      </c>
      <c r="S125" s="2043" t="s">
        <v>3122</v>
      </c>
      <c r="T125" s="2043">
        <v>935401</v>
      </c>
      <c r="U125" s="2043" t="s">
        <v>37</v>
      </c>
      <c r="V125" s="1814">
        <v>0</v>
      </c>
      <c r="W125" s="2043" t="s">
        <v>2909</v>
      </c>
      <c r="X125" s="2043" t="s">
        <v>1166</v>
      </c>
      <c r="Y125" s="2043" t="s">
        <v>1166</v>
      </c>
      <c r="Z125" s="2067" t="s">
        <v>157</v>
      </c>
      <c r="AA125" s="2067" t="s">
        <v>157</v>
      </c>
    </row>
    <row r="126" spans="1:27" s="259" customFormat="1" ht="18">
      <c r="A126" s="300">
        <v>49</v>
      </c>
      <c r="B126" s="2158">
        <v>45932</v>
      </c>
      <c r="C126" s="2159" t="s">
        <v>3206</v>
      </c>
      <c r="D126" s="2075" t="s">
        <v>2252</v>
      </c>
      <c r="E126" s="2075" t="s">
        <v>3207</v>
      </c>
      <c r="F126" s="2077" t="s">
        <v>3208</v>
      </c>
      <c r="G126" s="2077">
        <v>8023722562</v>
      </c>
      <c r="H126" s="1829" t="s">
        <v>3209</v>
      </c>
      <c r="I126" s="2078" t="s">
        <v>3210</v>
      </c>
      <c r="J126" s="178" t="s">
        <v>75</v>
      </c>
      <c r="K126" s="178" t="s">
        <v>157</v>
      </c>
      <c r="L126" s="315" t="s">
        <v>3228</v>
      </c>
      <c r="M126" s="2160">
        <v>45840</v>
      </c>
      <c r="N126" s="300">
        <v>1592422</v>
      </c>
      <c r="O126" s="300" t="s">
        <v>18</v>
      </c>
      <c r="P126" s="1905" t="s">
        <v>62</v>
      </c>
      <c r="Q126" s="306">
        <v>0.3</v>
      </c>
      <c r="R126" s="300" t="s">
        <v>1166</v>
      </c>
      <c r="S126" s="300" t="s">
        <v>1166</v>
      </c>
      <c r="T126" s="300" t="s">
        <v>1166</v>
      </c>
      <c r="U126" s="300" t="s">
        <v>1166</v>
      </c>
      <c r="V126" s="1816">
        <v>1592422</v>
      </c>
      <c r="W126" s="300" t="s">
        <v>3229</v>
      </c>
      <c r="X126" s="300" t="s">
        <v>1166</v>
      </c>
      <c r="Y126" s="300" t="s">
        <v>1166</v>
      </c>
      <c r="Z126" s="2128" t="s">
        <v>157</v>
      </c>
      <c r="AA126" s="2161" t="s">
        <v>1166</v>
      </c>
    </row>
    <row r="127" spans="1:27" s="259" customFormat="1" ht="18">
      <c r="A127" s="2043">
        <v>50</v>
      </c>
      <c r="B127" s="2138">
        <v>45719</v>
      </c>
      <c r="C127" s="2045" t="s">
        <v>3142</v>
      </c>
      <c r="D127" s="2046" t="s">
        <v>3143</v>
      </c>
      <c r="E127" s="2051" t="s">
        <v>3035</v>
      </c>
      <c r="F127" s="2046" t="s">
        <v>3230</v>
      </c>
      <c r="G127" s="2162" t="s">
        <v>3231</v>
      </c>
      <c r="H127" s="1810" t="s">
        <v>3232</v>
      </c>
      <c r="I127" s="2046" t="s">
        <v>3233</v>
      </c>
      <c r="J127" s="2051" t="s">
        <v>3234</v>
      </c>
      <c r="K127" s="2051" t="s">
        <v>157</v>
      </c>
      <c r="L127" s="2058" t="s">
        <v>3235</v>
      </c>
      <c r="M127" s="2133">
        <v>45719</v>
      </c>
      <c r="N127" s="2043">
        <v>4117452</v>
      </c>
      <c r="O127" s="2043" t="s">
        <v>25</v>
      </c>
      <c r="P127" s="2043" t="s">
        <v>25</v>
      </c>
      <c r="Q127" s="2056">
        <v>0.7</v>
      </c>
      <c r="R127" s="2132" t="s">
        <v>3236</v>
      </c>
      <c r="S127" s="2043" t="s">
        <v>3237</v>
      </c>
      <c r="T127" s="2043">
        <v>2239827.48</v>
      </c>
      <c r="U127" s="2043" t="s">
        <v>25</v>
      </c>
      <c r="V127" s="1814">
        <v>0</v>
      </c>
      <c r="W127" s="1248" t="s">
        <v>3238</v>
      </c>
      <c r="X127" s="1248" t="s">
        <v>1166</v>
      </c>
      <c r="Y127" s="1248" t="s">
        <v>1166</v>
      </c>
      <c r="Z127" s="2163" t="s">
        <v>157</v>
      </c>
      <c r="AA127" s="2164" t="s">
        <v>157</v>
      </c>
    </row>
    <row r="128" spans="1:27" s="259" customFormat="1" ht="18">
      <c r="A128" s="300">
        <v>51</v>
      </c>
      <c r="B128" s="2158">
        <v>45933</v>
      </c>
      <c r="C128" s="303" t="s">
        <v>3239</v>
      </c>
      <c r="D128" s="304" t="s">
        <v>3143</v>
      </c>
      <c r="E128" s="304" t="s">
        <v>3086</v>
      </c>
      <c r="F128" s="304" t="s">
        <v>3240</v>
      </c>
      <c r="G128" s="304">
        <v>7036740555</v>
      </c>
      <c r="H128" s="884" t="s">
        <v>3241</v>
      </c>
      <c r="I128" s="2165" t="s">
        <v>3242</v>
      </c>
      <c r="J128" s="2166" t="s">
        <v>75</v>
      </c>
      <c r="K128" s="2166" t="s">
        <v>157</v>
      </c>
      <c r="L128" s="315" t="s">
        <v>3243</v>
      </c>
      <c r="M128" s="2167" t="s">
        <v>3244</v>
      </c>
      <c r="N128" s="300">
        <v>2036127</v>
      </c>
      <c r="O128" s="300" t="s">
        <v>25</v>
      </c>
      <c r="P128" s="300" t="s">
        <v>37</v>
      </c>
      <c r="Q128" s="306">
        <v>0.7</v>
      </c>
      <c r="R128" s="611">
        <v>2422501618</v>
      </c>
      <c r="S128" s="300" t="s">
        <v>3245</v>
      </c>
      <c r="T128" s="300">
        <v>292530</v>
      </c>
      <c r="U128" s="300" t="s">
        <v>28</v>
      </c>
      <c r="V128" s="1816">
        <v>1743597</v>
      </c>
      <c r="W128" s="300" t="s">
        <v>3246</v>
      </c>
      <c r="X128" s="300" t="s">
        <v>1166</v>
      </c>
      <c r="Y128" s="300" t="s">
        <v>1166</v>
      </c>
      <c r="Z128" s="2128" t="s">
        <v>157</v>
      </c>
      <c r="AA128" s="2161" t="s">
        <v>1166</v>
      </c>
    </row>
    <row r="129" spans="1:27" s="259" customFormat="1" ht="18">
      <c r="A129" s="2043">
        <v>52</v>
      </c>
      <c r="B129" s="2138">
        <v>45933</v>
      </c>
      <c r="C129" s="2045" t="s">
        <v>3077</v>
      </c>
      <c r="D129" s="2046" t="s">
        <v>2252</v>
      </c>
      <c r="E129" s="2046" t="s">
        <v>873</v>
      </c>
      <c r="F129" s="2046" t="s">
        <v>3247</v>
      </c>
      <c r="G129" s="2046">
        <v>9739056664</v>
      </c>
      <c r="H129" s="1810" t="s">
        <v>3079</v>
      </c>
      <c r="I129" s="2045" t="s">
        <v>3248</v>
      </c>
      <c r="J129" s="2051" t="s">
        <v>73</v>
      </c>
      <c r="K129" s="2051" t="s">
        <v>138</v>
      </c>
      <c r="L129" s="2058" t="s">
        <v>3249</v>
      </c>
      <c r="M129" s="2131" t="s">
        <v>3250</v>
      </c>
      <c r="N129" s="2043">
        <v>86002</v>
      </c>
      <c r="O129" s="2043" t="s">
        <v>18</v>
      </c>
      <c r="P129" s="2043" t="s">
        <v>28</v>
      </c>
      <c r="Q129" s="2056">
        <v>1</v>
      </c>
      <c r="R129" s="2145" t="s">
        <v>3251</v>
      </c>
      <c r="S129" s="2135">
        <v>45751</v>
      </c>
      <c r="T129" s="2043">
        <v>83613</v>
      </c>
      <c r="U129" s="2043" t="s">
        <v>28</v>
      </c>
      <c r="V129" s="1814">
        <v>0</v>
      </c>
      <c r="W129" s="2043" t="s">
        <v>2909</v>
      </c>
      <c r="X129" s="2043" t="s">
        <v>1166</v>
      </c>
      <c r="Y129" s="2043" t="s">
        <v>1166</v>
      </c>
      <c r="Z129" s="2067" t="s">
        <v>1166</v>
      </c>
      <c r="AA129" s="2153" t="s">
        <v>1166</v>
      </c>
    </row>
    <row r="130" spans="1:27" s="259" customFormat="1" ht="18">
      <c r="A130" s="2043" t="s">
        <v>1166</v>
      </c>
      <c r="B130" s="2043"/>
      <c r="C130" s="2045" t="s">
        <v>3077</v>
      </c>
      <c r="D130" s="2046" t="s">
        <v>2252</v>
      </c>
      <c r="E130" s="2046" t="s">
        <v>873</v>
      </c>
      <c r="F130" s="2046" t="s">
        <v>3247</v>
      </c>
      <c r="G130" s="2046">
        <v>9739056664</v>
      </c>
      <c r="H130" s="1810" t="s">
        <v>3079</v>
      </c>
      <c r="I130" s="2045" t="s">
        <v>828</v>
      </c>
      <c r="J130" s="2051" t="s">
        <v>73</v>
      </c>
      <c r="K130" s="2051" t="s">
        <v>138</v>
      </c>
      <c r="L130" s="2058" t="s">
        <v>3249</v>
      </c>
      <c r="M130" s="2131" t="s">
        <v>3250</v>
      </c>
      <c r="N130" s="2043">
        <v>60621</v>
      </c>
      <c r="O130" s="2043" t="s">
        <v>18</v>
      </c>
      <c r="P130" s="2043" t="s">
        <v>28</v>
      </c>
      <c r="Q130" s="2056">
        <v>1</v>
      </c>
      <c r="R130" s="2145" t="s">
        <v>3251</v>
      </c>
      <c r="S130" s="2135">
        <v>45751</v>
      </c>
      <c r="T130" s="2043">
        <v>59022</v>
      </c>
      <c r="U130" s="2043" t="s">
        <v>28</v>
      </c>
      <c r="V130" s="1814">
        <v>0</v>
      </c>
      <c r="W130" s="2043" t="s">
        <v>2909</v>
      </c>
      <c r="X130" s="2043" t="s">
        <v>1166</v>
      </c>
      <c r="Y130" s="2043" t="s">
        <v>1166</v>
      </c>
      <c r="Z130" s="2153" t="s">
        <v>1166</v>
      </c>
      <c r="AA130" s="2153" t="s">
        <v>1166</v>
      </c>
    </row>
    <row r="131" spans="1:27" s="259" customFormat="1" ht="18">
      <c r="A131" s="2043" t="s">
        <v>1166</v>
      </c>
      <c r="B131" s="2043"/>
      <c r="C131" s="2045" t="s">
        <v>3077</v>
      </c>
      <c r="D131" s="2046" t="s">
        <v>2252</v>
      </c>
      <c r="E131" s="2046" t="s">
        <v>873</v>
      </c>
      <c r="F131" s="2046" t="s">
        <v>3247</v>
      </c>
      <c r="G131" s="2046">
        <v>9739056664</v>
      </c>
      <c r="H131" s="1810" t="s">
        <v>3079</v>
      </c>
      <c r="I131" s="2045" t="s">
        <v>3080</v>
      </c>
      <c r="J131" s="2051" t="s">
        <v>73</v>
      </c>
      <c r="K131" s="2051" t="s">
        <v>138</v>
      </c>
      <c r="L131" s="2058" t="s">
        <v>3249</v>
      </c>
      <c r="M131" s="2131" t="s">
        <v>3250</v>
      </c>
      <c r="N131" s="2043">
        <v>121425</v>
      </c>
      <c r="O131" s="2043" t="s">
        <v>18</v>
      </c>
      <c r="P131" s="2043" t="s">
        <v>28</v>
      </c>
      <c r="Q131" s="2056">
        <v>1</v>
      </c>
      <c r="R131" s="2145" t="s">
        <v>3251</v>
      </c>
      <c r="S131" s="2135">
        <v>45751</v>
      </c>
      <c r="T131" s="2043">
        <v>118050</v>
      </c>
      <c r="U131" s="2043" t="s">
        <v>28</v>
      </c>
      <c r="V131" s="1814">
        <v>0</v>
      </c>
      <c r="W131" s="2043" t="s">
        <v>2909</v>
      </c>
      <c r="X131" s="2043" t="s">
        <v>1166</v>
      </c>
      <c r="Y131" s="2043" t="s">
        <v>1166</v>
      </c>
      <c r="Z131" s="2153" t="s">
        <v>1166</v>
      </c>
      <c r="AA131" s="2153" t="s">
        <v>1166</v>
      </c>
    </row>
    <row r="132" spans="1:27" s="259" customFormat="1" ht="18">
      <c r="A132" s="2043" t="s">
        <v>1166</v>
      </c>
      <c r="B132" s="2043"/>
      <c r="C132" s="2045" t="s">
        <v>3077</v>
      </c>
      <c r="D132" s="2046" t="s">
        <v>2252</v>
      </c>
      <c r="E132" s="2046" t="s">
        <v>873</v>
      </c>
      <c r="F132" s="2046" t="s">
        <v>3247</v>
      </c>
      <c r="G132" s="2046">
        <v>9739056664</v>
      </c>
      <c r="H132" s="1810" t="s">
        <v>3079</v>
      </c>
      <c r="I132" s="2045" t="s">
        <v>3252</v>
      </c>
      <c r="J132" s="2051" t="s">
        <v>73</v>
      </c>
      <c r="K132" s="2051" t="s">
        <v>138</v>
      </c>
      <c r="L132" s="2058" t="s">
        <v>3249</v>
      </c>
      <c r="M132" s="2131" t="s">
        <v>3250</v>
      </c>
      <c r="N132" s="2043">
        <v>121425</v>
      </c>
      <c r="O132" s="2043" t="s">
        <v>18</v>
      </c>
      <c r="P132" s="2043" t="s">
        <v>28</v>
      </c>
      <c r="Q132" s="2056">
        <v>1</v>
      </c>
      <c r="R132" s="2145" t="s">
        <v>3253</v>
      </c>
      <c r="S132" s="2135">
        <v>45751</v>
      </c>
      <c r="T132" s="2043">
        <v>118050</v>
      </c>
      <c r="U132" s="2043" t="s">
        <v>28</v>
      </c>
      <c r="V132" s="1814">
        <v>0</v>
      </c>
      <c r="W132" s="2043" t="s">
        <v>2909</v>
      </c>
      <c r="X132" s="2043" t="s">
        <v>1166</v>
      </c>
      <c r="Y132" s="2168" t="s">
        <v>1166</v>
      </c>
      <c r="Z132" s="2153" t="s">
        <v>1166</v>
      </c>
      <c r="AA132" s="2153" t="s">
        <v>1166</v>
      </c>
    </row>
    <row r="133" spans="1:27" s="259" customFormat="1" ht="18">
      <c r="A133" s="2043" t="s">
        <v>1166</v>
      </c>
      <c r="B133" s="2043"/>
      <c r="C133" s="2045" t="s">
        <v>3077</v>
      </c>
      <c r="D133" s="2046" t="s">
        <v>2252</v>
      </c>
      <c r="E133" s="2046" t="s">
        <v>873</v>
      </c>
      <c r="F133" s="2046" t="s">
        <v>3247</v>
      </c>
      <c r="G133" s="2046">
        <v>9739056664</v>
      </c>
      <c r="H133" s="1810" t="s">
        <v>3079</v>
      </c>
      <c r="I133" s="2045" t="s">
        <v>3254</v>
      </c>
      <c r="J133" s="2051" t="s">
        <v>73</v>
      </c>
      <c r="K133" s="2051" t="s">
        <v>138</v>
      </c>
      <c r="L133" s="2058" t="s">
        <v>3249</v>
      </c>
      <c r="M133" s="2131" t="s">
        <v>3250</v>
      </c>
      <c r="N133" s="2043">
        <v>121425</v>
      </c>
      <c r="O133" s="2043" t="s">
        <v>18</v>
      </c>
      <c r="P133" s="2043" t="s">
        <v>28</v>
      </c>
      <c r="Q133" s="2056">
        <v>1</v>
      </c>
      <c r="R133" s="2145" t="s">
        <v>3253</v>
      </c>
      <c r="S133" s="2135">
        <v>45751</v>
      </c>
      <c r="T133" s="2043">
        <v>118050</v>
      </c>
      <c r="U133" s="2043" t="s">
        <v>28</v>
      </c>
      <c r="V133" s="1814">
        <v>0</v>
      </c>
      <c r="W133" s="2043" t="s">
        <v>2909</v>
      </c>
      <c r="X133" s="2043" t="s">
        <v>1166</v>
      </c>
      <c r="Y133" s="2168" t="s">
        <v>1166</v>
      </c>
      <c r="Z133" s="2153" t="s">
        <v>1166</v>
      </c>
      <c r="AA133" s="2153" t="s">
        <v>1166</v>
      </c>
    </row>
    <row r="134" spans="1:27" s="259" customFormat="1" ht="18">
      <c r="A134" s="2043" t="s">
        <v>1166</v>
      </c>
      <c r="B134" s="2043"/>
      <c r="C134" s="2045" t="s">
        <v>3077</v>
      </c>
      <c r="D134" s="2046" t="s">
        <v>2252</v>
      </c>
      <c r="E134" s="2046" t="s">
        <v>873</v>
      </c>
      <c r="F134" s="2046" t="s">
        <v>3247</v>
      </c>
      <c r="G134" s="2046">
        <v>9739056664</v>
      </c>
      <c r="H134" s="1810" t="s">
        <v>3079</v>
      </c>
      <c r="I134" s="2045" t="s">
        <v>3255</v>
      </c>
      <c r="J134" s="2051" t="s">
        <v>73</v>
      </c>
      <c r="K134" s="2051" t="s">
        <v>138</v>
      </c>
      <c r="L134" s="2058" t="s">
        <v>3249</v>
      </c>
      <c r="M134" s="2131" t="s">
        <v>3250</v>
      </c>
      <c r="N134" s="2043">
        <v>58708</v>
      </c>
      <c r="O134" s="2043" t="s">
        <v>18</v>
      </c>
      <c r="P134" s="2043" t="s">
        <v>28</v>
      </c>
      <c r="Q134" s="2056">
        <v>1</v>
      </c>
      <c r="R134" s="2132" t="s">
        <v>3256</v>
      </c>
      <c r="S134" s="2135">
        <v>45751</v>
      </c>
      <c r="T134" s="2043">
        <v>57078</v>
      </c>
      <c r="U134" s="2043" t="s">
        <v>28</v>
      </c>
      <c r="V134" s="1814">
        <v>0</v>
      </c>
      <c r="W134" s="2043" t="s">
        <v>2909</v>
      </c>
      <c r="X134" s="2043" t="s">
        <v>1166</v>
      </c>
      <c r="Y134" s="2168" t="s">
        <v>1166</v>
      </c>
      <c r="Z134" s="2153" t="s">
        <v>1166</v>
      </c>
      <c r="AA134" s="2153" t="s">
        <v>1166</v>
      </c>
    </row>
    <row r="135" spans="1:27" s="259" customFormat="1" ht="18">
      <c r="A135" s="2069">
        <v>53</v>
      </c>
      <c r="B135" s="2169"/>
      <c r="C135" s="2170" t="s">
        <v>1250</v>
      </c>
      <c r="D135" s="2070" t="s">
        <v>2252</v>
      </c>
      <c r="E135" s="2070" t="s">
        <v>3257</v>
      </c>
      <c r="F135" s="2070" t="s">
        <v>3258</v>
      </c>
      <c r="G135" s="2070">
        <v>9901350326</v>
      </c>
      <c r="H135" s="1846" t="s">
        <v>3259</v>
      </c>
      <c r="I135" s="2170" t="s">
        <v>3260</v>
      </c>
      <c r="J135" s="2108" t="s">
        <v>73</v>
      </c>
      <c r="K135" s="2108" t="s">
        <v>138</v>
      </c>
      <c r="L135" s="2072" t="s">
        <v>3261</v>
      </c>
      <c r="M135" s="2171" t="s">
        <v>3250</v>
      </c>
      <c r="N135" s="2069">
        <v>76440</v>
      </c>
      <c r="O135" s="2069" t="s">
        <v>18</v>
      </c>
      <c r="P135" s="2069" t="s">
        <v>28</v>
      </c>
      <c r="Q135" s="2071">
        <v>0.7</v>
      </c>
      <c r="R135" s="2069" t="s">
        <v>1166</v>
      </c>
      <c r="S135" s="2069" t="s">
        <v>1166</v>
      </c>
      <c r="T135" s="2069" t="s">
        <v>1166</v>
      </c>
      <c r="U135" s="2069" t="s">
        <v>1166</v>
      </c>
      <c r="V135" s="1847">
        <v>0</v>
      </c>
      <c r="W135" s="2069" t="s">
        <v>3262</v>
      </c>
      <c r="X135" s="2069" t="s">
        <v>1166</v>
      </c>
      <c r="Y135" s="2172" t="s">
        <v>1166</v>
      </c>
      <c r="Z135" s="2173" t="s">
        <v>1166</v>
      </c>
      <c r="AA135" s="2173" t="s">
        <v>1166</v>
      </c>
    </row>
    <row r="136" spans="1:27" s="259" customFormat="1" ht="18">
      <c r="A136" s="2074">
        <v>54</v>
      </c>
      <c r="B136" s="2174">
        <v>45933</v>
      </c>
      <c r="C136" s="2165" t="s">
        <v>614</v>
      </c>
      <c r="D136" s="2076" t="s">
        <v>2902</v>
      </c>
      <c r="E136" s="2076" t="s">
        <v>3263</v>
      </c>
      <c r="F136" s="2076" t="s">
        <v>3264</v>
      </c>
      <c r="G136" s="2175" t="s">
        <v>3265</v>
      </c>
      <c r="H136" s="1817" t="s">
        <v>3266</v>
      </c>
      <c r="I136" s="2165" t="s">
        <v>3267</v>
      </c>
      <c r="J136" s="2166" t="s">
        <v>77</v>
      </c>
      <c r="K136" s="2166" t="s">
        <v>138</v>
      </c>
      <c r="L136" s="2080" t="s">
        <v>3268</v>
      </c>
      <c r="M136" s="2176">
        <v>45719</v>
      </c>
      <c r="N136" s="2074">
        <v>385000</v>
      </c>
      <c r="O136" s="2074" t="s">
        <v>25</v>
      </c>
      <c r="P136" s="1905" t="s">
        <v>62</v>
      </c>
      <c r="Q136" s="2079">
        <v>0.6</v>
      </c>
      <c r="R136" s="2074" t="s">
        <v>1166</v>
      </c>
      <c r="S136" s="2074" t="s">
        <v>1166</v>
      </c>
      <c r="T136" s="2074" t="s">
        <v>1166</v>
      </c>
      <c r="U136" s="2074" t="s">
        <v>1166</v>
      </c>
      <c r="V136" s="1818">
        <v>385000</v>
      </c>
      <c r="W136" s="2074" t="s">
        <v>3269</v>
      </c>
      <c r="X136" s="2074" t="s">
        <v>1166</v>
      </c>
      <c r="Y136" s="2177" t="s">
        <v>1166</v>
      </c>
      <c r="Z136" s="2178" t="s">
        <v>1166</v>
      </c>
      <c r="AA136" s="858" t="s">
        <v>1166</v>
      </c>
    </row>
    <row r="137" spans="1:27" s="259" customFormat="1" ht="18">
      <c r="A137" s="2074" t="s">
        <v>1166</v>
      </c>
      <c r="B137" s="2074"/>
      <c r="C137" s="2165" t="s">
        <v>614</v>
      </c>
      <c r="D137" s="2076" t="s">
        <v>2902</v>
      </c>
      <c r="E137" s="2076" t="s">
        <v>3263</v>
      </c>
      <c r="F137" s="2076" t="s">
        <v>3264</v>
      </c>
      <c r="G137" s="2175" t="s">
        <v>3265</v>
      </c>
      <c r="H137" s="1817" t="s">
        <v>3266</v>
      </c>
      <c r="I137" s="2165" t="s">
        <v>3270</v>
      </c>
      <c r="J137" s="2166" t="s">
        <v>77</v>
      </c>
      <c r="K137" s="2166" t="s">
        <v>138</v>
      </c>
      <c r="L137" s="2080" t="s">
        <v>3268</v>
      </c>
      <c r="M137" s="2176">
        <v>45719</v>
      </c>
      <c r="N137" s="2074">
        <v>385000</v>
      </c>
      <c r="O137" s="2074" t="s">
        <v>25</v>
      </c>
      <c r="P137" s="1905" t="s">
        <v>62</v>
      </c>
      <c r="Q137" s="2079">
        <v>0.6</v>
      </c>
      <c r="R137" s="2074" t="s">
        <v>1166</v>
      </c>
      <c r="S137" s="2074" t="s">
        <v>1166</v>
      </c>
      <c r="T137" s="2074" t="s">
        <v>1166</v>
      </c>
      <c r="U137" s="2074" t="s">
        <v>1166</v>
      </c>
      <c r="V137" s="1818">
        <v>385000</v>
      </c>
      <c r="W137" s="2074" t="s">
        <v>3269</v>
      </c>
      <c r="X137" s="2074" t="s">
        <v>1166</v>
      </c>
      <c r="Y137" s="2177" t="s">
        <v>1166</v>
      </c>
      <c r="Z137" s="2178" t="s">
        <v>1166</v>
      </c>
      <c r="AA137" s="858" t="s">
        <v>1166</v>
      </c>
    </row>
    <row r="138" spans="1:27" s="259" customFormat="1" ht="18">
      <c r="A138" s="2074" t="s">
        <v>1166</v>
      </c>
      <c r="B138" s="2074"/>
      <c r="C138" s="2165" t="s">
        <v>614</v>
      </c>
      <c r="D138" s="2076" t="s">
        <v>2902</v>
      </c>
      <c r="E138" s="2076" t="s">
        <v>3263</v>
      </c>
      <c r="F138" s="2076" t="s">
        <v>3264</v>
      </c>
      <c r="G138" s="2175" t="s">
        <v>3265</v>
      </c>
      <c r="H138" s="1817" t="s">
        <v>3266</v>
      </c>
      <c r="I138" s="2165" t="s">
        <v>3267</v>
      </c>
      <c r="J138" s="2166" t="s">
        <v>75</v>
      </c>
      <c r="K138" s="2166" t="s">
        <v>157</v>
      </c>
      <c r="L138" s="2080" t="s">
        <v>3268</v>
      </c>
      <c r="M138" s="2176">
        <v>45719</v>
      </c>
      <c r="N138" s="2074">
        <v>92800</v>
      </c>
      <c r="O138" s="2074" t="s">
        <v>25</v>
      </c>
      <c r="P138" s="1905" t="s">
        <v>62</v>
      </c>
      <c r="Q138" s="2079">
        <v>0.6</v>
      </c>
      <c r="R138" s="2074" t="s">
        <v>1166</v>
      </c>
      <c r="S138" s="2074" t="s">
        <v>1166</v>
      </c>
      <c r="T138" s="2074" t="s">
        <v>1166</v>
      </c>
      <c r="U138" s="2074" t="s">
        <v>1166</v>
      </c>
      <c r="V138" s="1818">
        <v>92800</v>
      </c>
      <c r="W138" s="2074" t="s">
        <v>3269</v>
      </c>
      <c r="X138" s="2074" t="s">
        <v>1166</v>
      </c>
      <c r="Y138" s="2177" t="s">
        <v>1166</v>
      </c>
      <c r="Z138" s="2178" t="s">
        <v>1166</v>
      </c>
      <c r="AA138" s="858" t="s">
        <v>1166</v>
      </c>
    </row>
    <row r="139" spans="1:27" s="259" customFormat="1" ht="18">
      <c r="A139" s="2074" t="s">
        <v>1166</v>
      </c>
      <c r="B139" s="2074"/>
      <c r="C139" s="2165" t="s">
        <v>614</v>
      </c>
      <c r="D139" s="2076" t="s">
        <v>2902</v>
      </c>
      <c r="E139" s="2076" t="s">
        <v>3263</v>
      </c>
      <c r="F139" s="2076" t="s">
        <v>3264</v>
      </c>
      <c r="G139" s="2175" t="s">
        <v>3265</v>
      </c>
      <c r="H139" s="1817" t="s">
        <v>3266</v>
      </c>
      <c r="I139" s="2165" t="s">
        <v>3270</v>
      </c>
      <c r="J139" s="2166" t="s">
        <v>75</v>
      </c>
      <c r="K139" s="2166" t="s">
        <v>157</v>
      </c>
      <c r="L139" s="2080" t="s">
        <v>3268</v>
      </c>
      <c r="M139" s="2176">
        <v>45719</v>
      </c>
      <c r="N139" s="2074">
        <v>92800</v>
      </c>
      <c r="O139" s="2074" t="s">
        <v>25</v>
      </c>
      <c r="P139" s="1905" t="s">
        <v>62</v>
      </c>
      <c r="Q139" s="2079">
        <v>0.6</v>
      </c>
      <c r="R139" s="2074" t="s">
        <v>1166</v>
      </c>
      <c r="S139" s="2074" t="s">
        <v>1166</v>
      </c>
      <c r="T139" s="2074" t="s">
        <v>1166</v>
      </c>
      <c r="U139" s="2074" t="s">
        <v>1166</v>
      </c>
      <c r="V139" s="1818">
        <v>92800</v>
      </c>
      <c r="W139" s="2074" t="s">
        <v>3269</v>
      </c>
      <c r="X139" s="2074" t="s">
        <v>1166</v>
      </c>
      <c r="Y139" s="2074" t="s">
        <v>1166</v>
      </c>
      <c r="Z139" s="2081" t="s">
        <v>1166</v>
      </c>
      <c r="AA139" s="858" t="s">
        <v>1166</v>
      </c>
    </row>
    <row r="140" spans="1:27" s="259" customFormat="1" ht="18">
      <c r="A140" s="2074">
        <v>55</v>
      </c>
      <c r="B140" s="2174">
        <v>45933</v>
      </c>
      <c r="C140" s="2165" t="s">
        <v>2910</v>
      </c>
      <c r="D140" s="2076" t="s">
        <v>2252</v>
      </c>
      <c r="E140" s="2076" t="s">
        <v>3100</v>
      </c>
      <c r="F140" s="2076" t="s">
        <v>2912</v>
      </c>
      <c r="G140" s="2076">
        <v>9845660933</v>
      </c>
      <c r="H140" s="1817" t="s">
        <v>2913</v>
      </c>
      <c r="I140" s="2165" t="s">
        <v>3271</v>
      </c>
      <c r="J140" s="2166" t="s">
        <v>77</v>
      </c>
      <c r="K140" s="2166" t="s">
        <v>138</v>
      </c>
      <c r="L140" s="2080" t="s">
        <v>3272</v>
      </c>
      <c r="M140" s="2176">
        <v>45719</v>
      </c>
      <c r="N140" s="2074">
        <v>648000</v>
      </c>
      <c r="O140" s="2074" t="s">
        <v>25</v>
      </c>
      <c r="P140" s="2074" t="s">
        <v>62</v>
      </c>
      <c r="Q140" s="2079">
        <v>0.5</v>
      </c>
      <c r="R140" s="2074" t="s">
        <v>1166</v>
      </c>
      <c r="S140" s="2074" t="s">
        <v>1166</v>
      </c>
      <c r="T140" s="2074" t="s">
        <v>1166</v>
      </c>
      <c r="U140" s="2074" t="s">
        <v>1166</v>
      </c>
      <c r="V140" s="1818">
        <v>648000</v>
      </c>
      <c r="W140" s="2074" t="s">
        <v>3273</v>
      </c>
      <c r="X140" s="2074" t="s">
        <v>1166</v>
      </c>
      <c r="Y140" s="2074" t="s">
        <v>1166</v>
      </c>
      <c r="Z140" s="2081" t="s">
        <v>1166</v>
      </c>
      <c r="AA140" s="858" t="s">
        <v>1166</v>
      </c>
    </row>
    <row r="141" spans="1:27" s="259" customFormat="1" ht="18">
      <c r="A141" s="2074" t="s">
        <v>1166</v>
      </c>
      <c r="B141" s="2074"/>
      <c r="C141" s="2165" t="s">
        <v>2910</v>
      </c>
      <c r="D141" s="2076" t="s">
        <v>2252</v>
      </c>
      <c r="E141" s="2076" t="s">
        <v>3100</v>
      </c>
      <c r="F141" s="2076" t="s">
        <v>2912</v>
      </c>
      <c r="G141" s="2076">
        <v>9845660933</v>
      </c>
      <c r="H141" s="1817" t="s">
        <v>2913</v>
      </c>
      <c r="I141" s="2165" t="s">
        <v>3271</v>
      </c>
      <c r="J141" s="2166" t="s">
        <v>75</v>
      </c>
      <c r="K141" s="2166" t="s">
        <v>157</v>
      </c>
      <c r="L141" s="2080" t="s">
        <v>3272</v>
      </c>
      <c r="M141" s="2176">
        <v>45719</v>
      </c>
      <c r="N141" s="2074">
        <v>128000</v>
      </c>
      <c r="O141" s="2074" t="s">
        <v>25</v>
      </c>
      <c r="P141" s="2074" t="s">
        <v>62</v>
      </c>
      <c r="Q141" s="2079">
        <v>0.5</v>
      </c>
      <c r="R141" s="2074" t="s">
        <v>1166</v>
      </c>
      <c r="S141" s="2074" t="s">
        <v>1166</v>
      </c>
      <c r="T141" s="2074" t="s">
        <v>1166</v>
      </c>
      <c r="U141" s="2074" t="s">
        <v>1166</v>
      </c>
      <c r="V141" s="1818">
        <v>128000</v>
      </c>
      <c r="W141" s="2074" t="s">
        <v>3273</v>
      </c>
      <c r="X141" s="2074" t="s">
        <v>1166</v>
      </c>
      <c r="Y141" s="2074" t="s">
        <v>1166</v>
      </c>
      <c r="Z141" s="2081" t="s">
        <v>1166</v>
      </c>
      <c r="AA141" s="858" t="s">
        <v>1166</v>
      </c>
    </row>
    <row r="142" spans="1:27" s="259" customFormat="1" ht="18">
      <c r="A142" s="2043">
        <v>56</v>
      </c>
      <c r="B142" s="2043" t="s">
        <v>3104</v>
      </c>
      <c r="C142" s="2045" t="s">
        <v>2058</v>
      </c>
      <c r="D142" s="2046" t="s">
        <v>2252</v>
      </c>
      <c r="E142" s="2046" t="s">
        <v>954</v>
      </c>
      <c r="F142" s="2046" t="s">
        <v>3274</v>
      </c>
      <c r="G142" s="2046">
        <v>8951908293</v>
      </c>
      <c r="H142" s="1810" t="s">
        <v>3275</v>
      </c>
      <c r="I142" s="2045" t="s">
        <v>3276</v>
      </c>
      <c r="J142" s="2051" t="s">
        <v>73</v>
      </c>
      <c r="K142" s="2051" t="s">
        <v>138</v>
      </c>
      <c r="L142" s="2058" t="s">
        <v>3277</v>
      </c>
      <c r="M142" s="2133">
        <v>45933</v>
      </c>
      <c r="N142" s="2043">
        <v>76440</v>
      </c>
      <c r="O142" s="2043" t="s">
        <v>25</v>
      </c>
      <c r="P142" s="2043" t="s">
        <v>28</v>
      </c>
      <c r="Q142" s="2056">
        <v>1</v>
      </c>
      <c r="R142" s="2043">
        <v>8480219192</v>
      </c>
      <c r="S142" s="2135">
        <v>45904</v>
      </c>
      <c r="T142" s="2043">
        <v>76440</v>
      </c>
      <c r="U142" s="2043" t="s">
        <v>28</v>
      </c>
      <c r="V142" s="1814">
        <v>76440</v>
      </c>
      <c r="W142" s="2043" t="s">
        <v>2909</v>
      </c>
      <c r="X142" s="2043" t="s">
        <v>1166</v>
      </c>
      <c r="Y142" s="2043" t="s">
        <v>1166</v>
      </c>
      <c r="Z142" s="2067" t="s">
        <v>1166</v>
      </c>
      <c r="AA142" s="2179" t="s">
        <v>1166</v>
      </c>
    </row>
    <row r="143" spans="1:27" s="259" customFormat="1" ht="18">
      <c r="A143" s="2043">
        <v>57</v>
      </c>
      <c r="B143" s="2043" t="s">
        <v>3278</v>
      </c>
      <c r="C143" s="2045" t="s">
        <v>993</v>
      </c>
      <c r="D143" s="2046" t="s">
        <v>2902</v>
      </c>
      <c r="E143" s="2046" t="s">
        <v>873</v>
      </c>
      <c r="F143" s="2046" t="s">
        <v>3026</v>
      </c>
      <c r="G143" s="2046">
        <v>8888826015</v>
      </c>
      <c r="H143" s="1810" t="s">
        <v>3027</v>
      </c>
      <c r="I143" s="2045" t="s">
        <v>3030</v>
      </c>
      <c r="J143" s="2051" t="s">
        <v>74</v>
      </c>
      <c r="K143" s="2051" t="s">
        <v>138</v>
      </c>
      <c r="L143" s="2058" t="s">
        <v>3279</v>
      </c>
      <c r="M143" s="2131" t="s">
        <v>3104</v>
      </c>
      <c r="N143" s="2043">
        <v>44800</v>
      </c>
      <c r="O143" s="2043" t="s">
        <v>25</v>
      </c>
      <c r="P143" s="2043" t="s">
        <v>25</v>
      </c>
      <c r="Q143" s="2056">
        <v>1</v>
      </c>
      <c r="R143" s="2043">
        <v>4400010034</v>
      </c>
      <c r="S143" s="2043" t="s">
        <v>3280</v>
      </c>
      <c r="T143" s="2043">
        <v>44800</v>
      </c>
      <c r="U143" s="2043" t="s">
        <v>25</v>
      </c>
      <c r="V143" s="1814">
        <v>0</v>
      </c>
      <c r="W143" s="2043" t="s">
        <v>2909</v>
      </c>
      <c r="X143" s="2043" t="s">
        <v>1166</v>
      </c>
      <c r="Y143" s="2043" t="s">
        <v>1166</v>
      </c>
      <c r="Z143" s="2067" t="s">
        <v>1166</v>
      </c>
      <c r="AA143" s="2179" t="s">
        <v>1166</v>
      </c>
    </row>
    <row r="144" spans="1:27" s="259" customFormat="1" ht="18">
      <c r="A144" s="2043">
        <v>58</v>
      </c>
      <c r="B144" s="2043" t="s">
        <v>3278</v>
      </c>
      <c r="C144" s="2045" t="s">
        <v>1250</v>
      </c>
      <c r="D144" s="2046" t="s">
        <v>2252</v>
      </c>
      <c r="E144" s="2046" t="s">
        <v>954</v>
      </c>
      <c r="F144" s="2046" t="s">
        <v>3281</v>
      </c>
      <c r="G144" s="2046">
        <v>9538868911</v>
      </c>
      <c r="H144" s="1810" t="s">
        <v>3282</v>
      </c>
      <c r="I144" s="2045" t="s">
        <v>3283</v>
      </c>
      <c r="J144" s="2051" t="s">
        <v>73</v>
      </c>
      <c r="K144" s="2051" t="s">
        <v>138</v>
      </c>
      <c r="L144" s="2058" t="s">
        <v>3284</v>
      </c>
      <c r="M144" s="2131" t="s">
        <v>3104</v>
      </c>
      <c r="N144" s="2043">
        <v>76440</v>
      </c>
      <c r="O144" s="2043" t="s">
        <v>25</v>
      </c>
      <c r="P144" s="2043" t="s">
        <v>28</v>
      </c>
      <c r="Q144" s="2056">
        <v>1</v>
      </c>
      <c r="R144" s="2268">
        <v>85391856</v>
      </c>
      <c r="S144" s="2043" t="s">
        <v>3285</v>
      </c>
      <c r="T144" s="2043">
        <v>76440</v>
      </c>
      <c r="U144" s="2043" t="s">
        <v>28</v>
      </c>
      <c r="V144" s="1814">
        <v>0</v>
      </c>
      <c r="W144" s="2043" t="s">
        <v>2909</v>
      </c>
      <c r="X144" s="2043" t="s">
        <v>1166</v>
      </c>
      <c r="Y144" s="2043" t="s">
        <v>1166</v>
      </c>
      <c r="Z144" s="2067" t="s">
        <v>1166</v>
      </c>
      <c r="AA144" s="2153" t="s">
        <v>1166</v>
      </c>
    </row>
    <row r="145" spans="1:27" s="259" customFormat="1" ht="18">
      <c r="A145" s="2043" t="s">
        <v>1166</v>
      </c>
      <c r="B145" s="2043"/>
      <c r="C145" s="2045" t="s">
        <v>1250</v>
      </c>
      <c r="D145" s="2046" t="s">
        <v>2252</v>
      </c>
      <c r="E145" s="2046" t="s">
        <v>954</v>
      </c>
      <c r="F145" s="2046" t="s">
        <v>3281</v>
      </c>
      <c r="G145" s="2046">
        <v>9538868911</v>
      </c>
      <c r="H145" s="1810" t="s">
        <v>3282</v>
      </c>
      <c r="I145" s="2045" t="s">
        <v>3286</v>
      </c>
      <c r="J145" s="2051" t="s">
        <v>73</v>
      </c>
      <c r="K145" s="2051" t="s">
        <v>138</v>
      </c>
      <c r="L145" s="2058" t="s">
        <v>3284</v>
      </c>
      <c r="M145" s="2131" t="s">
        <v>3104</v>
      </c>
      <c r="N145" s="2043">
        <v>76440</v>
      </c>
      <c r="O145" s="2043" t="s">
        <v>25</v>
      </c>
      <c r="P145" s="2043" t="s">
        <v>28</v>
      </c>
      <c r="Q145" s="2056">
        <v>1</v>
      </c>
      <c r="R145" s="2268">
        <v>85391856</v>
      </c>
      <c r="S145" s="2043" t="s">
        <v>3285</v>
      </c>
      <c r="T145" s="2043">
        <v>76440</v>
      </c>
      <c r="U145" s="2043" t="s">
        <v>28</v>
      </c>
      <c r="V145" s="1814">
        <v>0</v>
      </c>
      <c r="W145" s="2043" t="s">
        <v>2909</v>
      </c>
      <c r="X145" s="2043" t="s">
        <v>1166</v>
      </c>
      <c r="Y145" s="2043" t="s">
        <v>1166</v>
      </c>
      <c r="Z145" s="2067" t="s">
        <v>1166</v>
      </c>
      <c r="AA145" s="2153" t="s">
        <v>1166</v>
      </c>
    </row>
    <row r="146" spans="1:27" s="259" customFormat="1" ht="18">
      <c r="A146" s="2043">
        <v>59</v>
      </c>
      <c r="B146" s="2043" t="s">
        <v>3278</v>
      </c>
      <c r="C146" s="2045" t="s">
        <v>1250</v>
      </c>
      <c r="D146" s="2046" t="s">
        <v>2252</v>
      </c>
      <c r="E146" s="2046" t="s">
        <v>873</v>
      </c>
      <c r="F146" s="2046" t="s">
        <v>3287</v>
      </c>
      <c r="G146" s="2046">
        <v>9538868934</v>
      </c>
      <c r="H146" s="1810" t="s">
        <v>3288</v>
      </c>
      <c r="I146" s="2045" t="s">
        <v>3289</v>
      </c>
      <c r="J146" s="2051" t="s">
        <v>75</v>
      </c>
      <c r="K146" s="2051" t="s">
        <v>157</v>
      </c>
      <c r="L146" s="2058" t="s">
        <v>3290</v>
      </c>
      <c r="M146" s="2131" t="s">
        <v>3285</v>
      </c>
      <c r="N146" s="2043">
        <v>271700</v>
      </c>
      <c r="O146" s="2043" t="s">
        <v>25</v>
      </c>
      <c r="P146" s="2043" t="s">
        <v>30</v>
      </c>
      <c r="Q146" s="2056">
        <v>0.7</v>
      </c>
      <c r="R146" s="2043">
        <v>85398002</v>
      </c>
      <c r="S146" s="2043" t="s">
        <v>3291</v>
      </c>
      <c r="T146" s="2043">
        <v>271700</v>
      </c>
      <c r="U146" s="2043" t="s">
        <v>30</v>
      </c>
      <c r="V146" s="1814">
        <v>0</v>
      </c>
      <c r="W146" s="2043" t="s">
        <v>2909</v>
      </c>
      <c r="X146" s="2043" t="s">
        <v>1166</v>
      </c>
      <c r="Y146" s="2043" t="s">
        <v>1166</v>
      </c>
      <c r="Z146" s="2067" t="s">
        <v>1166</v>
      </c>
      <c r="AA146" s="2153" t="s">
        <v>1166</v>
      </c>
    </row>
    <row r="147" spans="1:27" s="259" customFormat="1" ht="18">
      <c r="A147" s="2069">
        <v>60</v>
      </c>
      <c r="B147" s="2069"/>
      <c r="C147" s="2170" t="s">
        <v>1250</v>
      </c>
      <c r="D147" s="2070" t="s">
        <v>2252</v>
      </c>
      <c r="E147" s="2070" t="s">
        <v>3292</v>
      </c>
      <c r="F147" s="2070" t="s">
        <v>3293</v>
      </c>
      <c r="G147" s="2070">
        <v>9460407430</v>
      </c>
      <c r="H147" s="1846" t="s">
        <v>3294</v>
      </c>
      <c r="I147" s="2170" t="s">
        <v>3295</v>
      </c>
      <c r="J147" s="2108" t="s">
        <v>73</v>
      </c>
      <c r="K147" s="2108" t="s">
        <v>157</v>
      </c>
      <c r="L147" s="2072" t="s">
        <v>3296</v>
      </c>
      <c r="M147" s="2171" t="s">
        <v>3278</v>
      </c>
      <c r="N147" s="2069">
        <v>76440</v>
      </c>
      <c r="O147" s="2069" t="s">
        <v>25</v>
      </c>
      <c r="P147" s="2069" t="s">
        <v>37</v>
      </c>
      <c r="Q147" s="2071">
        <v>0.4</v>
      </c>
      <c r="R147" s="2069" t="s">
        <v>1166</v>
      </c>
      <c r="S147" s="2069" t="s">
        <v>1166</v>
      </c>
      <c r="T147" s="2069" t="s">
        <v>1166</v>
      </c>
      <c r="U147" s="2069" t="s">
        <v>1166</v>
      </c>
      <c r="V147" s="1847">
        <v>0</v>
      </c>
      <c r="W147" s="2069" t="s">
        <v>3297</v>
      </c>
      <c r="X147" s="2069" t="s">
        <v>1166</v>
      </c>
      <c r="Y147" s="2069" t="s">
        <v>1166</v>
      </c>
      <c r="Z147" s="2073" t="s">
        <v>1166</v>
      </c>
      <c r="AA147" s="2173" t="s">
        <v>1166</v>
      </c>
    </row>
    <row r="148" spans="1:27" s="259" customFormat="1" ht="18">
      <c r="A148" s="2069">
        <v>61</v>
      </c>
      <c r="B148" s="2069"/>
      <c r="C148" s="2170" t="s">
        <v>1250</v>
      </c>
      <c r="D148" s="2070" t="s">
        <v>2252</v>
      </c>
      <c r="E148" s="2070" t="s">
        <v>3292</v>
      </c>
      <c r="F148" s="2070" t="s">
        <v>3293</v>
      </c>
      <c r="G148" s="2070">
        <v>9460407430</v>
      </c>
      <c r="H148" s="1846" t="s">
        <v>3294</v>
      </c>
      <c r="I148" s="2170" t="s">
        <v>3295</v>
      </c>
      <c r="J148" s="2070" t="s">
        <v>83</v>
      </c>
      <c r="K148" s="2108" t="s">
        <v>157</v>
      </c>
      <c r="L148" s="2072" t="s">
        <v>3298</v>
      </c>
      <c r="M148" s="2171" t="s">
        <v>3278</v>
      </c>
      <c r="N148" s="2069">
        <v>561286</v>
      </c>
      <c r="O148" s="2069" t="s">
        <v>25</v>
      </c>
      <c r="P148" s="2069" t="s">
        <v>37</v>
      </c>
      <c r="Q148" s="2071">
        <v>0.4</v>
      </c>
      <c r="R148" s="2069" t="s">
        <v>1166</v>
      </c>
      <c r="S148" s="2069" t="s">
        <v>1166</v>
      </c>
      <c r="T148" s="2069" t="s">
        <v>1166</v>
      </c>
      <c r="U148" s="2069" t="s">
        <v>1166</v>
      </c>
      <c r="V148" s="1847">
        <v>0</v>
      </c>
      <c r="W148" s="2069" t="s">
        <v>3297</v>
      </c>
      <c r="X148" s="2069" t="s">
        <v>1166</v>
      </c>
      <c r="Y148" s="2069" t="s">
        <v>1166</v>
      </c>
      <c r="Z148" s="2073" t="s">
        <v>157</v>
      </c>
      <c r="AA148" s="2173" t="s">
        <v>1166</v>
      </c>
    </row>
    <row r="149" spans="1:27" s="259" customFormat="1" ht="18">
      <c r="A149" s="1249">
        <v>62</v>
      </c>
      <c r="B149" s="2187">
        <v>45720</v>
      </c>
      <c r="C149" s="1252" t="s">
        <v>3299</v>
      </c>
      <c r="D149" s="1246" t="s">
        <v>3034</v>
      </c>
      <c r="E149" s="1246" t="s">
        <v>873</v>
      </c>
      <c r="F149" s="1246" t="s">
        <v>3300</v>
      </c>
      <c r="G149" s="1246">
        <v>7722089199</v>
      </c>
      <c r="H149" s="1142" t="s">
        <v>3301</v>
      </c>
      <c r="I149" s="1252" t="s">
        <v>3302</v>
      </c>
      <c r="J149" s="1247" t="s">
        <v>75</v>
      </c>
      <c r="K149" s="1247" t="s">
        <v>157</v>
      </c>
      <c r="L149" s="1249" t="s">
        <v>3303</v>
      </c>
      <c r="M149" s="2188">
        <v>45661</v>
      </c>
      <c r="N149" s="1248">
        <v>683630</v>
      </c>
      <c r="O149" s="1248" t="s">
        <v>28</v>
      </c>
      <c r="P149" s="1276" t="s">
        <v>39</v>
      </c>
      <c r="Q149" s="2189">
        <v>0.8</v>
      </c>
      <c r="R149" s="2019">
        <v>4503062000</v>
      </c>
      <c r="S149" s="1251">
        <v>45890</v>
      </c>
      <c r="T149" s="1248">
        <v>622425</v>
      </c>
      <c r="U149" s="1248" t="s">
        <v>39</v>
      </c>
      <c r="V149" s="1844">
        <v>0</v>
      </c>
      <c r="W149" s="1248" t="s">
        <v>2909</v>
      </c>
      <c r="X149" s="1248" t="s">
        <v>1166</v>
      </c>
      <c r="Y149" s="1248" t="s">
        <v>1166</v>
      </c>
      <c r="Z149" s="2163" t="s">
        <v>157</v>
      </c>
      <c r="AA149" s="2164" t="s">
        <v>1166</v>
      </c>
    </row>
    <row r="150" spans="1:27" s="259" customFormat="1" ht="18">
      <c r="A150" s="2043">
        <v>63</v>
      </c>
      <c r="B150" s="2138">
        <v>45720</v>
      </c>
      <c r="C150" s="2045" t="s">
        <v>3077</v>
      </c>
      <c r="D150" s="2046" t="s">
        <v>2252</v>
      </c>
      <c r="E150" s="2046" t="s">
        <v>873</v>
      </c>
      <c r="F150" s="2046" t="s">
        <v>3247</v>
      </c>
      <c r="G150" s="2046">
        <v>9739056664</v>
      </c>
      <c r="H150" s="1810" t="s">
        <v>3079</v>
      </c>
      <c r="I150" s="2045" t="s">
        <v>3080</v>
      </c>
      <c r="J150" s="2051" t="s">
        <v>75</v>
      </c>
      <c r="K150" s="2051" t="s">
        <v>157</v>
      </c>
      <c r="L150" s="2058" t="s">
        <v>3304</v>
      </c>
      <c r="M150" s="2133">
        <v>45661</v>
      </c>
      <c r="N150" s="2043">
        <v>228000</v>
      </c>
      <c r="O150" s="2043" t="s">
        <v>28</v>
      </c>
      <c r="P150" s="2043" t="s">
        <v>28</v>
      </c>
      <c r="Q150" s="2056">
        <v>0.8</v>
      </c>
      <c r="R150" s="2132" t="s">
        <v>3305</v>
      </c>
      <c r="S150" s="2132" t="s">
        <v>2003</v>
      </c>
      <c r="T150" s="2043">
        <v>218000</v>
      </c>
      <c r="U150" s="2043" t="s">
        <v>28</v>
      </c>
      <c r="V150" s="1814">
        <v>0</v>
      </c>
      <c r="W150" s="2043" t="s">
        <v>2909</v>
      </c>
      <c r="X150" s="2043" t="s">
        <v>1166</v>
      </c>
      <c r="Y150" s="2043" t="s">
        <v>1166</v>
      </c>
      <c r="Z150" s="2067" t="s">
        <v>1166</v>
      </c>
      <c r="AA150" s="2153" t="s">
        <v>1166</v>
      </c>
    </row>
    <row r="151" spans="1:27" s="259" customFormat="1" ht="18">
      <c r="A151" s="2043">
        <v>64</v>
      </c>
      <c r="B151" s="2138">
        <v>45720</v>
      </c>
      <c r="C151" s="2045" t="s">
        <v>3077</v>
      </c>
      <c r="D151" s="2046" t="s">
        <v>2252</v>
      </c>
      <c r="E151" s="2046" t="s">
        <v>873</v>
      </c>
      <c r="F151" s="2046" t="s">
        <v>3247</v>
      </c>
      <c r="G151" s="2046">
        <v>9739056664</v>
      </c>
      <c r="H151" s="1810" t="s">
        <v>3079</v>
      </c>
      <c r="I151" s="2045" t="s">
        <v>3306</v>
      </c>
      <c r="J151" s="2051" t="s">
        <v>75</v>
      </c>
      <c r="K151" s="2051" t="s">
        <v>157</v>
      </c>
      <c r="L151" s="2058" t="s">
        <v>3307</v>
      </c>
      <c r="M151" s="2133">
        <v>45692</v>
      </c>
      <c r="N151" s="2043">
        <v>42450</v>
      </c>
      <c r="O151" s="2043" t="s">
        <v>28</v>
      </c>
      <c r="P151" s="2043" t="s">
        <v>30</v>
      </c>
      <c r="Q151" s="2056">
        <v>0.8</v>
      </c>
      <c r="R151" s="2132" t="s">
        <v>3308</v>
      </c>
      <c r="S151" s="2135">
        <v>45813</v>
      </c>
      <c r="T151" s="2043">
        <v>42500</v>
      </c>
      <c r="U151" s="2043" t="s">
        <v>30</v>
      </c>
      <c r="V151" s="1814">
        <v>0</v>
      </c>
      <c r="W151" s="2043" t="s">
        <v>2909</v>
      </c>
      <c r="X151" s="2043" t="s">
        <v>1166</v>
      </c>
      <c r="Y151" s="2043" t="s">
        <v>1166</v>
      </c>
      <c r="Z151" s="2067" t="s">
        <v>1166</v>
      </c>
      <c r="AA151" s="2153" t="s">
        <v>1166</v>
      </c>
    </row>
    <row r="152" spans="1:27" s="259" customFormat="1" ht="18">
      <c r="A152" s="2043">
        <v>65</v>
      </c>
      <c r="B152" s="2043" t="s">
        <v>3309</v>
      </c>
      <c r="C152" s="2045" t="s">
        <v>3239</v>
      </c>
      <c r="D152" s="2046" t="s">
        <v>3143</v>
      </c>
      <c r="E152" s="2046" t="s">
        <v>3310</v>
      </c>
      <c r="F152" s="2046" t="s">
        <v>3240</v>
      </c>
      <c r="G152" s="2046">
        <v>7036740555</v>
      </c>
      <c r="H152" s="1810" t="s">
        <v>3241</v>
      </c>
      <c r="I152" s="2045" t="s">
        <v>3242</v>
      </c>
      <c r="J152" s="2051" t="s">
        <v>73</v>
      </c>
      <c r="K152" s="2051" t="s">
        <v>138</v>
      </c>
      <c r="L152" s="2058" t="s">
        <v>3311</v>
      </c>
      <c r="M152" s="2133">
        <v>45720</v>
      </c>
      <c r="N152" s="2043">
        <v>124000</v>
      </c>
      <c r="O152" s="2043" t="s">
        <v>28</v>
      </c>
      <c r="P152" s="2043" t="s">
        <v>28</v>
      </c>
      <c r="Q152" s="2056">
        <v>1</v>
      </c>
      <c r="R152" s="2267">
        <v>242500783</v>
      </c>
      <c r="S152" s="2135">
        <v>45904</v>
      </c>
      <c r="T152" s="2043">
        <v>114999</v>
      </c>
      <c r="U152" s="2043" t="s">
        <v>28</v>
      </c>
      <c r="V152" s="1814">
        <v>0</v>
      </c>
      <c r="W152" s="2043" t="s">
        <v>2909</v>
      </c>
      <c r="X152" s="2043" t="s">
        <v>1166</v>
      </c>
      <c r="Y152" s="2043" t="s">
        <v>1166</v>
      </c>
      <c r="Z152" s="2067" t="s">
        <v>1166</v>
      </c>
      <c r="AA152" s="2179" t="s">
        <v>1166</v>
      </c>
    </row>
    <row r="153" spans="1:27" s="259" customFormat="1" ht="18">
      <c r="A153" s="2043" t="s">
        <v>1166</v>
      </c>
      <c r="B153" s="2043"/>
      <c r="C153" s="2045" t="s">
        <v>3239</v>
      </c>
      <c r="D153" s="2046" t="s">
        <v>3143</v>
      </c>
      <c r="E153" s="2046" t="s">
        <v>3310</v>
      </c>
      <c r="F153" s="2046" t="s">
        <v>3240</v>
      </c>
      <c r="G153" s="2046">
        <v>7036740555</v>
      </c>
      <c r="H153" s="1810" t="s">
        <v>3241</v>
      </c>
      <c r="I153" s="2045" t="s">
        <v>3312</v>
      </c>
      <c r="J153" s="2051" t="s">
        <v>73</v>
      </c>
      <c r="K153" s="2051" t="s">
        <v>138</v>
      </c>
      <c r="L153" s="2058" t="s">
        <v>3311</v>
      </c>
      <c r="M153" s="2133">
        <v>45720</v>
      </c>
      <c r="N153" s="2043">
        <v>124000</v>
      </c>
      <c r="O153" s="2043" t="s">
        <v>28</v>
      </c>
      <c r="P153" s="2043" t="s">
        <v>28</v>
      </c>
      <c r="Q153" s="2056">
        <v>1</v>
      </c>
      <c r="R153" s="2267">
        <v>242500783</v>
      </c>
      <c r="S153" s="2135">
        <v>45904</v>
      </c>
      <c r="T153" s="2043">
        <v>114999</v>
      </c>
      <c r="U153" s="2043" t="s">
        <v>28</v>
      </c>
      <c r="V153" s="1814">
        <v>0</v>
      </c>
      <c r="W153" s="2043" t="s">
        <v>2909</v>
      </c>
      <c r="X153" s="2043" t="s">
        <v>1166</v>
      </c>
      <c r="Y153" s="2043" t="s">
        <v>1166</v>
      </c>
      <c r="Z153" s="2067" t="s">
        <v>1166</v>
      </c>
      <c r="AA153" s="2179" t="s">
        <v>1166</v>
      </c>
    </row>
    <row r="154" spans="1:27" s="259" customFormat="1" ht="18">
      <c r="A154" s="2043" t="s">
        <v>1166</v>
      </c>
      <c r="B154" s="2043"/>
      <c r="C154" s="2045" t="s">
        <v>3239</v>
      </c>
      <c r="D154" s="2046" t="s">
        <v>3143</v>
      </c>
      <c r="E154" s="2046" t="s">
        <v>3310</v>
      </c>
      <c r="F154" s="2046" t="s">
        <v>3240</v>
      </c>
      <c r="G154" s="2046">
        <v>7036740555</v>
      </c>
      <c r="H154" s="1810" t="s">
        <v>3241</v>
      </c>
      <c r="I154" s="2045" t="s">
        <v>3313</v>
      </c>
      <c r="J154" s="2051" t="s">
        <v>73</v>
      </c>
      <c r="K154" s="2051" t="s">
        <v>138</v>
      </c>
      <c r="L154" s="2058" t="s">
        <v>3311</v>
      </c>
      <c r="M154" s="2133">
        <v>45720</v>
      </c>
      <c r="N154" s="2043">
        <v>124000</v>
      </c>
      <c r="O154" s="2043" t="s">
        <v>28</v>
      </c>
      <c r="P154" s="2043" t="s">
        <v>28</v>
      </c>
      <c r="Q154" s="2056">
        <v>1</v>
      </c>
      <c r="R154" s="2267">
        <v>242500783</v>
      </c>
      <c r="S154" s="2135">
        <v>45904</v>
      </c>
      <c r="T154" s="2043">
        <v>114999</v>
      </c>
      <c r="U154" s="2043" t="s">
        <v>28</v>
      </c>
      <c r="V154" s="1814">
        <v>0</v>
      </c>
      <c r="W154" s="2043" t="s">
        <v>2909</v>
      </c>
      <c r="X154" s="2043" t="s">
        <v>1166</v>
      </c>
      <c r="Y154" s="2043" t="s">
        <v>1166</v>
      </c>
      <c r="Z154" s="2067" t="s">
        <v>1166</v>
      </c>
      <c r="AA154" s="2179" t="s">
        <v>1166</v>
      </c>
    </row>
    <row r="155" spans="1:27" s="259" customFormat="1" ht="18">
      <c r="A155" s="2074">
        <v>66</v>
      </c>
      <c r="B155" s="2074" t="s">
        <v>3309</v>
      </c>
      <c r="C155" s="2165" t="s">
        <v>3314</v>
      </c>
      <c r="D155" s="2076" t="s">
        <v>3315</v>
      </c>
      <c r="E155" s="2076" t="s">
        <v>954</v>
      </c>
      <c r="F155" s="2076" t="s">
        <v>3316</v>
      </c>
      <c r="G155" s="2175" t="s">
        <v>3317</v>
      </c>
      <c r="H155" s="1817" t="s">
        <v>3318</v>
      </c>
      <c r="I155" s="2165" t="s">
        <v>3319</v>
      </c>
      <c r="J155" s="2166" t="s">
        <v>73</v>
      </c>
      <c r="K155" s="2166" t="s">
        <v>138</v>
      </c>
      <c r="L155" s="2080" t="s">
        <v>3320</v>
      </c>
      <c r="M155" s="2176">
        <v>45904</v>
      </c>
      <c r="N155" s="2074">
        <v>213840</v>
      </c>
      <c r="O155" s="2074" t="s">
        <v>28</v>
      </c>
      <c r="P155" s="2074" t="s">
        <v>47</v>
      </c>
      <c r="Q155" s="2079">
        <v>0.7</v>
      </c>
      <c r="R155" s="2180" t="s">
        <v>1166</v>
      </c>
      <c r="S155" s="2074" t="s">
        <v>1166</v>
      </c>
      <c r="T155" s="2074" t="s">
        <v>1166</v>
      </c>
      <c r="U155" s="2074" t="s">
        <v>1166</v>
      </c>
      <c r="V155" s="1818">
        <v>213840</v>
      </c>
      <c r="W155" s="2074" t="s">
        <v>3321</v>
      </c>
      <c r="X155" s="2074" t="s">
        <v>1166</v>
      </c>
      <c r="Y155" s="2074" t="s">
        <v>1166</v>
      </c>
      <c r="Z155" s="2081" t="s">
        <v>1166</v>
      </c>
      <c r="AA155" s="2178" t="s">
        <v>1166</v>
      </c>
    </row>
    <row r="156" spans="1:27" s="259" customFormat="1" ht="18">
      <c r="A156" s="2074" t="s">
        <v>1166</v>
      </c>
      <c r="B156" s="2074"/>
      <c r="C156" s="2165" t="s">
        <v>3314</v>
      </c>
      <c r="D156" s="2076" t="s">
        <v>3315</v>
      </c>
      <c r="E156" s="2076" t="s">
        <v>954</v>
      </c>
      <c r="F156" s="2076" t="s">
        <v>3316</v>
      </c>
      <c r="G156" s="2175" t="s">
        <v>3317</v>
      </c>
      <c r="H156" s="1817" t="s">
        <v>3318</v>
      </c>
      <c r="I156" s="2165" t="s">
        <v>3322</v>
      </c>
      <c r="J156" s="2166" t="s">
        <v>73</v>
      </c>
      <c r="K156" s="2166" t="s">
        <v>138</v>
      </c>
      <c r="L156" s="2080" t="s">
        <v>3320</v>
      </c>
      <c r="M156" s="2176">
        <v>45904</v>
      </c>
      <c r="N156" s="2074">
        <v>213840</v>
      </c>
      <c r="O156" s="2074" t="s">
        <v>28</v>
      </c>
      <c r="P156" s="2074" t="s">
        <v>47</v>
      </c>
      <c r="Q156" s="2079">
        <v>0.7</v>
      </c>
      <c r="R156" s="2074" t="s">
        <v>1166</v>
      </c>
      <c r="S156" s="2074" t="s">
        <v>1166</v>
      </c>
      <c r="T156" s="2074" t="s">
        <v>1166</v>
      </c>
      <c r="U156" s="2074" t="s">
        <v>1166</v>
      </c>
      <c r="V156" s="1818">
        <v>213840</v>
      </c>
      <c r="W156" s="2074" t="s">
        <v>3321</v>
      </c>
      <c r="X156" s="2074" t="s">
        <v>1166</v>
      </c>
      <c r="Y156" s="2074" t="s">
        <v>1166</v>
      </c>
      <c r="Z156" s="2081" t="s">
        <v>1166</v>
      </c>
      <c r="AA156" s="2178" t="s">
        <v>1166</v>
      </c>
    </row>
    <row r="157" spans="1:27" s="259" customFormat="1" ht="18">
      <c r="A157" s="2074" t="s">
        <v>1166</v>
      </c>
      <c r="B157" s="2074"/>
      <c r="C157" s="2165" t="s">
        <v>3314</v>
      </c>
      <c r="D157" s="2076" t="s">
        <v>3315</v>
      </c>
      <c r="E157" s="2076" t="s">
        <v>954</v>
      </c>
      <c r="F157" s="2076" t="s">
        <v>3316</v>
      </c>
      <c r="G157" s="2175" t="s">
        <v>3317</v>
      </c>
      <c r="H157" s="1817" t="s">
        <v>3318</v>
      </c>
      <c r="I157" s="2165" t="s">
        <v>3323</v>
      </c>
      <c r="J157" s="2166" t="s">
        <v>73</v>
      </c>
      <c r="K157" s="2166" t="s">
        <v>138</v>
      </c>
      <c r="L157" s="2080" t="s">
        <v>3320</v>
      </c>
      <c r="M157" s="2176">
        <v>45904</v>
      </c>
      <c r="N157" s="2074">
        <v>213840</v>
      </c>
      <c r="O157" s="2074" t="s">
        <v>28</v>
      </c>
      <c r="P157" s="2074" t="s">
        <v>47</v>
      </c>
      <c r="Q157" s="2079">
        <v>0.7</v>
      </c>
      <c r="R157" s="2074" t="s">
        <v>1166</v>
      </c>
      <c r="S157" s="2074" t="s">
        <v>1166</v>
      </c>
      <c r="T157" s="2074" t="s">
        <v>1166</v>
      </c>
      <c r="U157" s="2074" t="s">
        <v>1166</v>
      </c>
      <c r="V157" s="1818">
        <v>213840</v>
      </c>
      <c r="W157" s="2074" t="s">
        <v>3321</v>
      </c>
      <c r="X157" s="2074" t="s">
        <v>1166</v>
      </c>
      <c r="Y157" s="2074" t="s">
        <v>1166</v>
      </c>
      <c r="Z157" s="2081" t="s">
        <v>1166</v>
      </c>
      <c r="AA157" s="2178" t="s">
        <v>1166</v>
      </c>
    </row>
    <row r="158" spans="1:27" s="259" customFormat="1" ht="18">
      <c r="A158" s="2074" t="s">
        <v>1166</v>
      </c>
      <c r="B158" s="2074"/>
      <c r="C158" s="2165" t="s">
        <v>3314</v>
      </c>
      <c r="D158" s="2076" t="s">
        <v>3315</v>
      </c>
      <c r="E158" s="2076" t="s">
        <v>954</v>
      </c>
      <c r="F158" s="2076" t="s">
        <v>3316</v>
      </c>
      <c r="G158" s="2175" t="s">
        <v>3317</v>
      </c>
      <c r="H158" s="1817" t="s">
        <v>3318</v>
      </c>
      <c r="I158" s="2165" t="s">
        <v>3324</v>
      </c>
      <c r="J158" s="2166" t="s">
        <v>73</v>
      </c>
      <c r="K158" s="2166" t="s">
        <v>138</v>
      </c>
      <c r="L158" s="2080" t="s">
        <v>3320</v>
      </c>
      <c r="M158" s="2176">
        <v>45904</v>
      </c>
      <c r="N158" s="2074">
        <v>213840</v>
      </c>
      <c r="O158" s="2074" t="s">
        <v>28</v>
      </c>
      <c r="P158" s="2074" t="s">
        <v>47</v>
      </c>
      <c r="Q158" s="2079">
        <v>0.7</v>
      </c>
      <c r="R158" s="2074" t="s">
        <v>1166</v>
      </c>
      <c r="S158" s="2074" t="s">
        <v>1166</v>
      </c>
      <c r="T158" s="2074" t="s">
        <v>1166</v>
      </c>
      <c r="U158" s="2074" t="s">
        <v>1166</v>
      </c>
      <c r="V158" s="1818">
        <v>213840</v>
      </c>
      <c r="W158" s="2074" t="s">
        <v>3321</v>
      </c>
      <c r="X158" s="2074" t="s">
        <v>1166</v>
      </c>
      <c r="Y158" s="2074" t="s">
        <v>1166</v>
      </c>
      <c r="Z158" s="2081" t="s">
        <v>1166</v>
      </c>
      <c r="AA158" s="2178" t="s">
        <v>1166</v>
      </c>
    </row>
    <row r="159" spans="1:27" s="259" customFormat="1" ht="18">
      <c r="A159" s="2074" t="s">
        <v>1166</v>
      </c>
      <c r="B159" s="2074"/>
      <c r="C159" s="2165" t="s">
        <v>3314</v>
      </c>
      <c r="D159" s="2076" t="s">
        <v>3315</v>
      </c>
      <c r="E159" s="2076" t="s">
        <v>954</v>
      </c>
      <c r="F159" s="2076" t="s">
        <v>3316</v>
      </c>
      <c r="G159" s="2175" t="s">
        <v>3317</v>
      </c>
      <c r="H159" s="1817" t="s">
        <v>3318</v>
      </c>
      <c r="I159" s="2165" t="s">
        <v>3325</v>
      </c>
      <c r="J159" s="2166" t="s">
        <v>73</v>
      </c>
      <c r="K159" s="2166" t="s">
        <v>138</v>
      </c>
      <c r="L159" s="2080" t="s">
        <v>3320</v>
      </c>
      <c r="M159" s="2176">
        <v>45904</v>
      </c>
      <c r="N159" s="2074">
        <v>213840</v>
      </c>
      <c r="O159" s="2074" t="s">
        <v>28</v>
      </c>
      <c r="P159" s="2074" t="s">
        <v>47</v>
      </c>
      <c r="Q159" s="2079">
        <v>0.7</v>
      </c>
      <c r="R159" s="2074" t="s">
        <v>1166</v>
      </c>
      <c r="S159" s="2074" t="s">
        <v>1166</v>
      </c>
      <c r="T159" s="2074" t="s">
        <v>1166</v>
      </c>
      <c r="U159" s="2074" t="s">
        <v>1166</v>
      </c>
      <c r="V159" s="1818">
        <v>213840</v>
      </c>
      <c r="W159" s="2074" t="s">
        <v>3321</v>
      </c>
      <c r="X159" s="2074" t="s">
        <v>1166</v>
      </c>
      <c r="Y159" s="2074" t="s">
        <v>1166</v>
      </c>
      <c r="Z159" s="2081" t="s">
        <v>1166</v>
      </c>
      <c r="AA159" s="2178" t="s">
        <v>1166</v>
      </c>
    </row>
    <row r="160" spans="1:27" s="259" customFormat="1" ht="18">
      <c r="A160" s="2074" t="s">
        <v>1166</v>
      </c>
      <c r="B160" s="2074"/>
      <c r="C160" s="2165" t="s">
        <v>3314</v>
      </c>
      <c r="D160" s="2076" t="s">
        <v>3315</v>
      </c>
      <c r="E160" s="2076" t="s">
        <v>954</v>
      </c>
      <c r="F160" s="2076" t="s">
        <v>3316</v>
      </c>
      <c r="G160" s="2175" t="s">
        <v>3317</v>
      </c>
      <c r="H160" s="1817" t="s">
        <v>3318</v>
      </c>
      <c r="I160" s="2165" t="s">
        <v>3326</v>
      </c>
      <c r="J160" s="2166" t="s">
        <v>73</v>
      </c>
      <c r="K160" s="2166" t="s">
        <v>138</v>
      </c>
      <c r="L160" s="2080" t="s">
        <v>3320</v>
      </c>
      <c r="M160" s="2176">
        <v>45904</v>
      </c>
      <c r="N160" s="2074">
        <v>213840</v>
      </c>
      <c r="O160" s="2074" t="s">
        <v>28</v>
      </c>
      <c r="P160" s="2074" t="s">
        <v>47</v>
      </c>
      <c r="Q160" s="2079">
        <v>0.7</v>
      </c>
      <c r="R160" s="2074" t="s">
        <v>1166</v>
      </c>
      <c r="S160" s="2074" t="s">
        <v>1166</v>
      </c>
      <c r="T160" s="2074" t="s">
        <v>1166</v>
      </c>
      <c r="U160" s="2074" t="s">
        <v>1166</v>
      </c>
      <c r="V160" s="1818">
        <v>213840</v>
      </c>
      <c r="W160" s="2074" t="s">
        <v>3321</v>
      </c>
      <c r="X160" s="2074" t="s">
        <v>1166</v>
      </c>
      <c r="Y160" s="2074" t="s">
        <v>1166</v>
      </c>
      <c r="Z160" s="2081" t="s">
        <v>1166</v>
      </c>
      <c r="AA160" s="2178" t="s">
        <v>1166</v>
      </c>
    </row>
    <row r="161" spans="1:30" s="259" customFormat="1" ht="18">
      <c r="A161" s="1819" t="s">
        <v>1166</v>
      </c>
      <c r="B161" s="2181"/>
      <c r="C161" s="2165" t="s">
        <v>3314</v>
      </c>
      <c r="D161" s="2076" t="s">
        <v>3315</v>
      </c>
      <c r="E161" s="2076" t="s">
        <v>954</v>
      </c>
      <c r="F161" s="2076" t="s">
        <v>3316</v>
      </c>
      <c r="G161" s="2175" t="s">
        <v>3317</v>
      </c>
      <c r="H161" s="1817" t="s">
        <v>3318</v>
      </c>
      <c r="I161" s="2165" t="s">
        <v>3327</v>
      </c>
      <c r="J161" s="2166" t="s">
        <v>73</v>
      </c>
      <c r="K161" s="2166" t="s">
        <v>138</v>
      </c>
      <c r="L161" s="2080" t="s">
        <v>3320</v>
      </c>
      <c r="M161" s="2176">
        <v>45904</v>
      </c>
      <c r="N161" s="2074">
        <v>213840</v>
      </c>
      <c r="O161" s="2074" t="s">
        <v>28</v>
      </c>
      <c r="P161" s="2074" t="s">
        <v>47</v>
      </c>
      <c r="Q161" s="2079">
        <v>0.7</v>
      </c>
      <c r="R161" s="2074" t="s">
        <v>1166</v>
      </c>
      <c r="S161" s="2074" t="s">
        <v>1166</v>
      </c>
      <c r="T161" s="2074" t="s">
        <v>1166</v>
      </c>
      <c r="U161" s="2074" t="s">
        <v>1166</v>
      </c>
      <c r="V161" s="1799">
        <v>213840</v>
      </c>
      <c r="W161" s="2074" t="s">
        <v>3321</v>
      </c>
      <c r="X161" s="2181" t="s">
        <v>1166</v>
      </c>
      <c r="Y161" s="2074" t="s">
        <v>1166</v>
      </c>
      <c r="Z161" s="2081" t="s">
        <v>1166</v>
      </c>
      <c r="AA161" s="2178" t="s">
        <v>1166</v>
      </c>
    </row>
    <row r="162" spans="1:30" s="259" customFormat="1" ht="18">
      <c r="A162" s="2074" t="s">
        <v>1166</v>
      </c>
      <c r="B162" s="2074"/>
      <c r="C162" s="2165" t="s">
        <v>3314</v>
      </c>
      <c r="D162" s="2076" t="s">
        <v>3315</v>
      </c>
      <c r="E162" s="2076" t="s">
        <v>954</v>
      </c>
      <c r="F162" s="2076" t="s">
        <v>3316</v>
      </c>
      <c r="G162" s="2175" t="s">
        <v>3317</v>
      </c>
      <c r="H162" s="1817" t="s">
        <v>3318</v>
      </c>
      <c r="I162" s="2165" t="s">
        <v>3328</v>
      </c>
      <c r="J162" s="2166" t="s">
        <v>73</v>
      </c>
      <c r="K162" s="2166" t="s">
        <v>138</v>
      </c>
      <c r="L162" s="2080" t="s">
        <v>3320</v>
      </c>
      <c r="M162" s="2176">
        <v>45904</v>
      </c>
      <c r="N162" s="2074">
        <v>213840</v>
      </c>
      <c r="O162" s="2074" t="s">
        <v>28</v>
      </c>
      <c r="P162" s="2074" t="s">
        <v>47</v>
      </c>
      <c r="Q162" s="2079">
        <v>0.7</v>
      </c>
      <c r="R162" s="2074" t="s">
        <v>1166</v>
      </c>
      <c r="S162" s="2074" t="s">
        <v>1166</v>
      </c>
      <c r="T162" s="2074" t="s">
        <v>1166</v>
      </c>
      <c r="U162" s="2074" t="s">
        <v>1166</v>
      </c>
      <c r="V162" s="1818">
        <v>213840</v>
      </c>
      <c r="W162" s="2074" t="s">
        <v>3321</v>
      </c>
      <c r="X162" s="300" t="s">
        <v>1166</v>
      </c>
      <c r="Y162" s="300" t="s">
        <v>1166</v>
      </c>
      <c r="Z162" s="2128" t="s">
        <v>1166</v>
      </c>
      <c r="AA162" s="858" t="s">
        <v>1166</v>
      </c>
    </row>
    <row r="163" spans="1:30" s="259" customFormat="1" ht="18">
      <c r="A163" s="2074" t="s">
        <v>1166</v>
      </c>
      <c r="B163" s="2074"/>
      <c r="C163" s="2165" t="s">
        <v>3314</v>
      </c>
      <c r="D163" s="2076" t="s">
        <v>3315</v>
      </c>
      <c r="E163" s="2076" t="s">
        <v>954</v>
      </c>
      <c r="F163" s="2076" t="s">
        <v>3316</v>
      </c>
      <c r="G163" s="2175" t="s">
        <v>3317</v>
      </c>
      <c r="H163" s="1817" t="s">
        <v>3318</v>
      </c>
      <c r="I163" s="2165" t="s">
        <v>3329</v>
      </c>
      <c r="J163" s="2166" t="s">
        <v>73</v>
      </c>
      <c r="K163" s="2166" t="s">
        <v>138</v>
      </c>
      <c r="L163" s="2080" t="s">
        <v>3320</v>
      </c>
      <c r="M163" s="2176">
        <v>45904</v>
      </c>
      <c r="N163" s="2074">
        <v>213840</v>
      </c>
      <c r="O163" s="2074" t="s">
        <v>28</v>
      </c>
      <c r="P163" s="2074" t="s">
        <v>47</v>
      </c>
      <c r="Q163" s="2079">
        <v>0.7</v>
      </c>
      <c r="R163" s="2074" t="s">
        <v>1166</v>
      </c>
      <c r="S163" s="2074" t="s">
        <v>1166</v>
      </c>
      <c r="T163" s="2074" t="s">
        <v>1166</v>
      </c>
      <c r="U163" s="2074" t="s">
        <v>1166</v>
      </c>
      <c r="V163" s="1818">
        <v>213840</v>
      </c>
      <c r="W163" s="2074" t="s">
        <v>3321</v>
      </c>
      <c r="X163" s="2126" t="s">
        <v>1166</v>
      </c>
      <c r="Y163" s="2126" t="s">
        <v>1166</v>
      </c>
      <c r="Z163" s="2128" t="s">
        <v>1166</v>
      </c>
      <c r="AA163" s="858" t="s">
        <v>1166</v>
      </c>
    </row>
    <row r="164" spans="1:30" s="259" customFormat="1" ht="18">
      <c r="A164" s="2074" t="s">
        <v>1166</v>
      </c>
      <c r="B164" s="2074"/>
      <c r="C164" s="2165" t="s">
        <v>3314</v>
      </c>
      <c r="D164" s="2076" t="s">
        <v>3315</v>
      </c>
      <c r="E164" s="2076" t="s">
        <v>954</v>
      </c>
      <c r="F164" s="2076" t="s">
        <v>3316</v>
      </c>
      <c r="G164" s="2175" t="s">
        <v>3317</v>
      </c>
      <c r="H164" s="1817" t="s">
        <v>3318</v>
      </c>
      <c r="I164" s="2165" t="s">
        <v>3330</v>
      </c>
      <c r="J164" s="2166" t="s">
        <v>73</v>
      </c>
      <c r="K164" s="2166" t="s">
        <v>138</v>
      </c>
      <c r="L164" s="2080" t="s">
        <v>3320</v>
      </c>
      <c r="M164" s="2176">
        <v>45904</v>
      </c>
      <c r="N164" s="2074">
        <v>213840</v>
      </c>
      <c r="O164" s="2074" t="s">
        <v>28</v>
      </c>
      <c r="P164" s="2074" t="s">
        <v>47</v>
      </c>
      <c r="Q164" s="2079">
        <v>0.7</v>
      </c>
      <c r="R164" s="2074" t="s">
        <v>1166</v>
      </c>
      <c r="S164" s="2074" t="s">
        <v>1166</v>
      </c>
      <c r="T164" s="2074" t="s">
        <v>1166</v>
      </c>
      <c r="U164" s="2074" t="s">
        <v>1166</v>
      </c>
      <c r="V164" s="1818">
        <v>213840</v>
      </c>
      <c r="W164" s="2074" t="s">
        <v>3321</v>
      </c>
      <c r="X164" s="300" t="s">
        <v>1166</v>
      </c>
      <c r="Y164" s="300" t="s">
        <v>1166</v>
      </c>
      <c r="Z164" s="2128" t="s">
        <v>1166</v>
      </c>
      <c r="AA164" s="858" t="s">
        <v>1166</v>
      </c>
    </row>
    <row r="165" spans="1:30" s="259" customFormat="1" ht="18">
      <c r="A165" s="2074" t="s">
        <v>1166</v>
      </c>
      <c r="B165" s="2074"/>
      <c r="C165" s="2165" t="s">
        <v>3314</v>
      </c>
      <c r="D165" s="2076" t="s">
        <v>3315</v>
      </c>
      <c r="E165" s="2076" t="s">
        <v>954</v>
      </c>
      <c r="F165" s="2076" t="s">
        <v>3316</v>
      </c>
      <c r="G165" s="2175" t="s">
        <v>3317</v>
      </c>
      <c r="H165" s="1817" t="s">
        <v>3318</v>
      </c>
      <c r="I165" s="2165" t="s">
        <v>3331</v>
      </c>
      <c r="J165" s="2166" t="s">
        <v>73</v>
      </c>
      <c r="K165" s="2166" t="s">
        <v>138</v>
      </c>
      <c r="L165" s="2080" t="s">
        <v>3320</v>
      </c>
      <c r="M165" s="2176">
        <v>45904</v>
      </c>
      <c r="N165" s="2074">
        <v>213840</v>
      </c>
      <c r="O165" s="2074" t="s">
        <v>28</v>
      </c>
      <c r="P165" s="2074" t="s">
        <v>47</v>
      </c>
      <c r="Q165" s="2079">
        <v>0.7</v>
      </c>
      <c r="R165" s="2074" t="s">
        <v>1166</v>
      </c>
      <c r="S165" s="2074" t="s">
        <v>1166</v>
      </c>
      <c r="T165" s="2074" t="s">
        <v>1166</v>
      </c>
      <c r="U165" s="2074" t="s">
        <v>1166</v>
      </c>
      <c r="V165" s="1818">
        <v>213840</v>
      </c>
      <c r="W165" s="2074" t="s">
        <v>3321</v>
      </c>
      <c r="X165" s="2126" t="s">
        <v>1166</v>
      </c>
      <c r="Y165" s="2126" t="s">
        <v>1166</v>
      </c>
      <c r="Z165" s="2128" t="s">
        <v>1166</v>
      </c>
      <c r="AA165" s="858" t="s">
        <v>1166</v>
      </c>
    </row>
    <row r="166" spans="1:30" s="259" customFormat="1" ht="18">
      <c r="A166" s="2074" t="s">
        <v>1166</v>
      </c>
      <c r="B166" s="2074"/>
      <c r="C166" s="2165" t="s">
        <v>3314</v>
      </c>
      <c r="D166" s="2076" t="s">
        <v>3315</v>
      </c>
      <c r="E166" s="2076" t="s">
        <v>954</v>
      </c>
      <c r="F166" s="2076" t="s">
        <v>3316</v>
      </c>
      <c r="G166" s="2175" t="s">
        <v>3317</v>
      </c>
      <c r="H166" s="1817" t="s">
        <v>3318</v>
      </c>
      <c r="I166" s="2165" t="s">
        <v>3332</v>
      </c>
      <c r="J166" s="2166" t="s">
        <v>73</v>
      </c>
      <c r="K166" s="2166" t="s">
        <v>138</v>
      </c>
      <c r="L166" s="2080" t="s">
        <v>3320</v>
      </c>
      <c r="M166" s="2176">
        <v>45904</v>
      </c>
      <c r="N166" s="2074">
        <v>213840</v>
      </c>
      <c r="O166" s="2074" t="s">
        <v>28</v>
      </c>
      <c r="P166" s="2074" t="s">
        <v>47</v>
      </c>
      <c r="Q166" s="2079">
        <v>0.7</v>
      </c>
      <c r="R166" s="2074" t="s">
        <v>1166</v>
      </c>
      <c r="S166" s="2074" t="s">
        <v>1166</v>
      </c>
      <c r="T166" s="2074" t="s">
        <v>1166</v>
      </c>
      <c r="U166" s="2074" t="s">
        <v>1166</v>
      </c>
      <c r="V166" s="1818">
        <v>213840</v>
      </c>
      <c r="W166" s="2074" t="s">
        <v>3321</v>
      </c>
      <c r="X166" s="300" t="s">
        <v>1166</v>
      </c>
      <c r="Y166" s="300" t="s">
        <v>1166</v>
      </c>
      <c r="Z166" s="2128" t="s">
        <v>1166</v>
      </c>
      <c r="AA166" s="858" t="s">
        <v>1166</v>
      </c>
    </row>
    <row r="167" spans="1:30" s="259" customFormat="1" ht="18">
      <c r="A167" s="2074" t="s">
        <v>1166</v>
      </c>
      <c r="B167" s="2074"/>
      <c r="C167" s="2165" t="s">
        <v>3314</v>
      </c>
      <c r="D167" s="2076" t="s">
        <v>3315</v>
      </c>
      <c r="E167" s="2076" t="s">
        <v>954</v>
      </c>
      <c r="F167" s="2076" t="s">
        <v>3316</v>
      </c>
      <c r="G167" s="2175" t="s">
        <v>3317</v>
      </c>
      <c r="H167" s="1817" t="s">
        <v>3318</v>
      </c>
      <c r="I167" s="2165" t="s">
        <v>3333</v>
      </c>
      <c r="J167" s="2166" t="s">
        <v>73</v>
      </c>
      <c r="K167" s="2166" t="s">
        <v>138</v>
      </c>
      <c r="L167" s="2080" t="s">
        <v>3320</v>
      </c>
      <c r="M167" s="2176">
        <v>45904</v>
      </c>
      <c r="N167" s="2074">
        <v>213840</v>
      </c>
      <c r="O167" s="2074" t="s">
        <v>28</v>
      </c>
      <c r="P167" s="2074" t="s">
        <v>47</v>
      </c>
      <c r="Q167" s="2079">
        <v>0.7</v>
      </c>
      <c r="R167" s="2074" t="s">
        <v>1166</v>
      </c>
      <c r="S167" s="2074" t="s">
        <v>1166</v>
      </c>
      <c r="T167" s="2074" t="s">
        <v>1166</v>
      </c>
      <c r="U167" s="2074" t="s">
        <v>1166</v>
      </c>
      <c r="V167" s="1818">
        <v>213840</v>
      </c>
      <c r="W167" s="2074" t="s">
        <v>3321</v>
      </c>
      <c r="X167" s="2126" t="s">
        <v>1166</v>
      </c>
      <c r="Y167" s="2126" t="s">
        <v>1166</v>
      </c>
      <c r="Z167" s="2128" t="s">
        <v>1166</v>
      </c>
      <c r="AA167" s="858" t="s">
        <v>1166</v>
      </c>
    </row>
    <row r="168" spans="1:30" s="259" customFormat="1" ht="18">
      <c r="A168" s="2074" t="s">
        <v>1166</v>
      </c>
      <c r="B168" s="2074"/>
      <c r="C168" s="2165" t="s">
        <v>3314</v>
      </c>
      <c r="D168" s="2076" t="s">
        <v>3315</v>
      </c>
      <c r="E168" s="2076" t="s">
        <v>954</v>
      </c>
      <c r="F168" s="2076" t="s">
        <v>3316</v>
      </c>
      <c r="G168" s="2175" t="s">
        <v>3317</v>
      </c>
      <c r="H168" s="1817" t="s">
        <v>3318</v>
      </c>
      <c r="I168" s="2165" t="s">
        <v>3334</v>
      </c>
      <c r="J168" s="2166" t="s">
        <v>73</v>
      </c>
      <c r="K168" s="2166" t="s">
        <v>138</v>
      </c>
      <c r="L168" s="2080" t="s">
        <v>3320</v>
      </c>
      <c r="M168" s="2176">
        <v>45904</v>
      </c>
      <c r="N168" s="2074">
        <v>213840</v>
      </c>
      <c r="O168" s="2074" t="s">
        <v>28</v>
      </c>
      <c r="P168" s="2074" t="s">
        <v>47</v>
      </c>
      <c r="Q168" s="2079">
        <v>0.7</v>
      </c>
      <c r="R168" s="2074" t="s">
        <v>1166</v>
      </c>
      <c r="S168" s="2074" t="s">
        <v>1166</v>
      </c>
      <c r="T168" s="2074" t="s">
        <v>1166</v>
      </c>
      <c r="U168" s="2074" t="s">
        <v>1166</v>
      </c>
      <c r="V168" s="1818">
        <v>213840</v>
      </c>
      <c r="W168" s="2074" t="s">
        <v>3321</v>
      </c>
      <c r="X168" s="300" t="s">
        <v>1166</v>
      </c>
      <c r="Y168" s="300" t="s">
        <v>1166</v>
      </c>
      <c r="Z168" s="2128" t="s">
        <v>1166</v>
      </c>
      <c r="AA168" s="858" t="s">
        <v>1166</v>
      </c>
    </row>
    <row r="169" spans="1:30" s="259" customFormat="1" ht="18">
      <c r="A169" s="2074" t="s">
        <v>1166</v>
      </c>
      <c r="B169" s="2074"/>
      <c r="C169" s="2165" t="s">
        <v>3314</v>
      </c>
      <c r="D169" s="2076" t="s">
        <v>3315</v>
      </c>
      <c r="E169" s="2076" t="s">
        <v>954</v>
      </c>
      <c r="F169" s="2076" t="s">
        <v>3316</v>
      </c>
      <c r="G169" s="2175" t="s">
        <v>3317</v>
      </c>
      <c r="H169" s="1817" t="s">
        <v>3318</v>
      </c>
      <c r="I169" s="2165" t="s">
        <v>3335</v>
      </c>
      <c r="J169" s="2166" t="s">
        <v>73</v>
      </c>
      <c r="K169" s="2166" t="s">
        <v>138</v>
      </c>
      <c r="L169" s="2080" t="s">
        <v>3320</v>
      </c>
      <c r="M169" s="2176">
        <v>45904</v>
      </c>
      <c r="N169" s="2074">
        <v>213840</v>
      </c>
      <c r="O169" s="2074" t="s">
        <v>28</v>
      </c>
      <c r="P169" s="2074" t="s">
        <v>47</v>
      </c>
      <c r="Q169" s="2079">
        <v>0.7</v>
      </c>
      <c r="R169" s="2074" t="s">
        <v>1166</v>
      </c>
      <c r="S169" s="2074" t="s">
        <v>1166</v>
      </c>
      <c r="T169" s="2074" t="s">
        <v>1166</v>
      </c>
      <c r="U169" s="2074" t="s">
        <v>1166</v>
      </c>
      <c r="V169" s="1818">
        <v>213840</v>
      </c>
      <c r="W169" s="2074" t="s">
        <v>3321</v>
      </c>
      <c r="X169" s="2126" t="s">
        <v>1166</v>
      </c>
      <c r="Y169" s="2126" t="s">
        <v>1166</v>
      </c>
      <c r="Z169" s="2128" t="s">
        <v>1166</v>
      </c>
      <c r="AA169" s="858" t="s">
        <v>1166</v>
      </c>
    </row>
    <row r="170" spans="1:30" s="259" customFormat="1" ht="18">
      <c r="A170" s="2074" t="s">
        <v>1166</v>
      </c>
      <c r="B170" s="2074"/>
      <c r="C170" s="2165" t="s">
        <v>3314</v>
      </c>
      <c r="D170" s="2076" t="s">
        <v>3315</v>
      </c>
      <c r="E170" s="2076" t="s">
        <v>954</v>
      </c>
      <c r="F170" s="2076" t="s">
        <v>3316</v>
      </c>
      <c r="G170" s="2175" t="s">
        <v>3317</v>
      </c>
      <c r="H170" s="1817" t="s">
        <v>3318</v>
      </c>
      <c r="I170" s="2165" t="s">
        <v>3336</v>
      </c>
      <c r="J170" s="2166" t="s">
        <v>73</v>
      </c>
      <c r="K170" s="2166" t="s">
        <v>138</v>
      </c>
      <c r="L170" s="2080" t="s">
        <v>3320</v>
      </c>
      <c r="M170" s="2176">
        <v>45904</v>
      </c>
      <c r="N170" s="2074">
        <v>213840</v>
      </c>
      <c r="O170" s="2074" t="s">
        <v>28</v>
      </c>
      <c r="P170" s="2074" t="s">
        <v>47</v>
      </c>
      <c r="Q170" s="2079">
        <v>0.7</v>
      </c>
      <c r="R170" s="2074" t="s">
        <v>1166</v>
      </c>
      <c r="S170" s="2074" t="s">
        <v>1166</v>
      </c>
      <c r="T170" s="2074" t="s">
        <v>1166</v>
      </c>
      <c r="U170" s="2074" t="s">
        <v>1166</v>
      </c>
      <c r="V170" s="1818">
        <v>213840</v>
      </c>
      <c r="W170" s="2074" t="s">
        <v>3321</v>
      </c>
      <c r="X170" s="300" t="s">
        <v>1166</v>
      </c>
      <c r="Y170" s="300" t="s">
        <v>1166</v>
      </c>
      <c r="Z170" s="2128" t="s">
        <v>1166</v>
      </c>
      <c r="AA170" s="858" t="s">
        <v>1166</v>
      </c>
    </row>
    <row r="171" spans="1:30" s="259" customFormat="1" ht="18">
      <c r="A171" s="2074" t="s">
        <v>1166</v>
      </c>
      <c r="B171" s="2074"/>
      <c r="C171" s="2165" t="s">
        <v>3314</v>
      </c>
      <c r="D171" s="2076" t="s">
        <v>3315</v>
      </c>
      <c r="E171" s="2076" t="s">
        <v>954</v>
      </c>
      <c r="F171" s="2076" t="s">
        <v>3316</v>
      </c>
      <c r="G171" s="2175" t="s">
        <v>3317</v>
      </c>
      <c r="H171" s="1817" t="s">
        <v>3318</v>
      </c>
      <c r="I171" s="2165" t="s">
        <v>3337</v>
      </c>
      <c r="J171" s="2166" t="s">
        <v>73</v>
      </c>
      <c r="K171" s="2166" t="s">
        <v>138</v>
      </c>
      <c r="L171" s="2080" t="s">
        <v>3320</v>
      </c>
      <c r="M171" s="2176">
        <v>45904</v>
      </c>
      <c r="N171" s="2074">
        <v>213840</v>
      </c>
      <c r="O171" s="2074" t="s">
        <v>28</v>
      </c>
      <c r="P171" s="2074" t="s">
        <v>47</v>
      </c>
      <c r="Q171" s="2079">
        <v>0.7</v>
      </c>
      <c r="R171" s="2074" t="s">
        <v>1166</v>
      </c>
      <c r="S171" s="2074" t="s">
        <v>1166</v>
      </c>
      <c r="T171" s="2074" t="s">
        <v>1166</v>
      </c>
      <c r="U171" s="2074" t="s">
        <v>1166</v>
      </c>
      <c r="V171" s="1818">
        <v>213840</v>
      </c>
      <c r="W171" s="2074" t="s">
        <v>3321</v>
      </c>
      <c r="X171" s="2126" t="s">
        <v>1166</v>
      </c>
      <c r="Y171" s="2126" t="s">
        <v>1166</v>
      </c>
      <c r="Z171" s="2128" t="s">
        <v>1166</v>
      </c>
      <c r="AA171" s="858" t="s">
        <v>1166</v>
      </c>
    </row>
    <row r="172" spans="1:30" s="259" customFormat="1" ht="18">
      <c r="A172" s="2074" t="s">
        <v>1166</v>
      </c>
      <c r="B172" s="2074"/>
      <c r="C172" s="2165" t="s">
        <v>3314</v>
      </c>
      <c r="D172" s="2076" t="s">
        <v>3315</v>
      </c>
      <c r="E172" s="2076" t="s">
        <v>954</v>
      </c>
      <c r="F172" s="2076" t="s">
        <v>3316</v>
      </c>
      <c r="G172" s="2175" t="s">
        <v>3317</v>
      </c>
      <c r="H172" s="1817" t="s">
        <v>3318</v>
      </c>
      <c r="I172" s="2165" t="s">
        <v>3323</v>
      </c>
      <c r="J172" s="2166" t="s">
        <v>73</v>
      </c>
      <c r="K172" s="2166" t="s">
        <v>138</v>
      </c>
      <c r="L172" s="2080" t="s">
        <v>3320</v>
      </c>
      <c r="M172" s="2176">
        <v>45904</v>
      </c>
      <c r="N172" s="2074">
        <v>213840</v>
      </c>
      <c r="O172" s="2074" t="s">
        <v>28</v>
      </c>
      <c r="P172" s="2074" t="s">
        <v>47</v>
      </c>
      <c r="Q172" s="2079">
        <v>0.7</v>
      </c>
      <c r="R172" s="2074" t="s">
        <v>1166</v>
      </c>
      <c r="S172" s="2074" t="s">
        <v>1166</v>
      </c>
      <c r="T172" s="2074" t="s">
        <v>1166</v>
      </c>
      <c r="U172" s="2074" t="s">
        <v>1166</v>
      </c>
      <c r="V172" s="1818">
        <v>213840</v>
      </c>
      <c r="W172" s="2074" t="s">
        <v>3321</v>
      </c>
      <c r="X172" s="300" t="s">
        <v>1166</v>
      </c>
      <c r="Y172" s="300" t="s">
        <v>1166</v>
      </c>
      <c r="Z172" s="2128" t="s">
        <v>1166</v>
      </c>
      <c r="AA172" s="858" t="s">
        <v>1166</v>
      </c>
    </row>
    <row r="173" spans="1:30" s="259" customFormat="1" ht="18">
      <c r="A173" s="2074" t="s">
        <v>1166</v>
      </c>
      <c r="B173" s="2074"/>
      <c r="C173" s="2165" t="s">
        <v>3314</v>
      </c>
      <c r="D173" s="2076" t="s">
        <v>3315</v>
      </c>
      <c r="E173" s="2076" t="s">
        <v>954</v>
      </c>
      <c r="F173" s="2076" t="s">
        <v>3316</v>
      </c>
      <c r="G173" s="2175" t="s">
        <v>3317</v>
      </c>
      <c r="H173" s="1817" t="s">
        <v>3318</v>
      </c>
      <c r="I173" s="2165" t="s">
        <v>3338</v>
      </c>
      <c r="J173" s="2166" t="s">
        <v>73</v>
      </c>
      <c r="K173" s="2166" t="s">
        <v>138</v>
      </c>
      <c r="L173" s="2080" t="s">
        <v>3320</v>
      </c>
      <c r="M173" s="2176">
        <v>45904</v>
      </c>
      <c r="N173" s="2074">
        <v>213840</v>
      </c>
      <c r="O173" s="2074" t="s">
        <v>28</v>
      </c>
      <c r="P173" s="2182" t="s">
        <v>47</v>
      </c>
      <c r="Q173" s="2079">
        <v>0.7</v>
      </c>
      <c r="R173" s="2074" t="s">
        <v>1166</v>
      </c>
      <c r="S173" s="2074" t="s">
        <v>1166</v>
      </c>
      <c r="T173" s="2074" t="s">
        <v>1166</v>
      </c>
      <c r="U173" s="2074" t="s">
        <v>1166</v>
      </c>
      <c r="V173" s="1818">
        <v>213840</v>
      </c>
      <c r="W173" s="2074" t="s">
        <v>3321</v>
      </c>
      <c r="X173" s="2126" t="s">
        <v>1166</v>
      </c>
      <c r="Y173" s="2126" t="s">
        <v>1166</v>
      </c>
      <c r="Z173" s="2128" t="s">
        <v>1166</v>
      </c>
      <c r="AA173" s="858" t="s">
        <v>1166</v>
      </c>
    </row>
    <row r="174" spans="1:30" s="259" customFormat="1" ht="18">
      <c r="A174" s="1248">
        <v>67</v>
      </c>
      <c r="B174" s="2187">
        <v>45757</v>
      </c>
      <c r="C174" s="1252" t="s">
        <v>2481</v>
      </c>
      <c r="D174" s="1246" t="s">
        <v>2252</v>
      </c>
      <c r="E174" s="1246" t="s">
        <v>954</v>
      </c>
      <c r="F174" s="1246" t="s">
        <v>3339</v>
      </c>
      <c r="G174" s="1246">
        <v>9036486695</v>
      </c>
      <c r="H174" s="1142" t="s">
        <v>3340</v>
      </c>
      <c r="I174" s="1252" t="s">
        <v>3341</v>
      </c>
      <c r="J174" s="1247" t="s">
        <v>77</v>
      </c>
      <c r="K174" s="1247" t="s">
        <v>138</v>
      </c>
      <c r="L174" s="1249" t="s">
        <v>3342</v>
      </c>
      <c r="M174" s="2188">
        <v>45965</v>
      </c>
      <c r="N174" s="1248">
        <v>320000</v>
      </c>
      <c r="O174" s="2194" t="s">
        <v>28</v>
      </c>
      <c r="P174" s="1276" t="s">
        <v>62</v>
      </c>
      <c r="Q174" s="2195">
        <v>1</v>
      </c>
      <c r="R174" s="1248" t="s">
        <v>3343</v>
      </c>
      <c r="S174" s="2187">
        <v>45929</v>
      </c>
      <c r="T174" s="1248">
        <v>281600</v>
      </c>
      <c r="U174" s="1042" t="s">
        <v>47</v>
      </c>
      <c r="V174" s="1844">
        <v>281600</v>
      </c>
      <c r="W174" s="1249" t="s">
        <v>2909</v>
      </c>
      <c r="X174" s="1248" t="s">
        <v>1166</v>
      </c>
      <c r="Y174" s="1248" t="s">
        <v>1166</v>
      </c>
      <c r="Z174" s="2163" t="s">
        <v>1166</v>
      </c>
      <c r="AA174" s="2190" t="s">
        <v>1166</v>
      </c>
    </row>
    <row r="175" spans="1:30" s="259" customFormat="1" ht="18">
      <c r="A175" s="1248" t="s">
        <v>1166</v>
      </c>
      <c r="B175" s="1248"/>
      <c r="C175" s="1252" t="s">
        <v>2481</v>
      </c>
      <c r="D175" s="1246" t="s">
        <v>2252</v>
      </c>
      <c r="E175" s="1246" t="s">
        <v>954</v>
      </c>
      <c r="F175" s="1246" t="s">
        <v>3339</v>
      </c>
      <c r="G175" s="1246">
        <v>9036486695</v>
      </c>
      <c r="H175" s="1142" t="s">
        <v>3340</v>
      </c>
      <c r="I175" s="1252" t="s">
        <v>3344</v>
      </c>
      <c r="J175" s="1247" t="s">
        <v>77</v>
      </c>
      <c r="K175" s="1247" t="s">
        <v>138</v>
      </c>
      <c r="L175" s="1249" t="s">
        <v>3342</v>
      </c>
      <c r="M175" s="2188">
        <v>45965</v>
      </c>
      <c r="N175" s="1248">
        <v>320000</v>
      </c>
      <c r="O175" s="1248" t="s">
        <v>28</v>
      </c>
      <c r="P175" s="1276" t="s">
        <v>62</v>
      </c>
      <c r="Q175" s="2189">
        <v>1</v>
      </c>
      <c r="R175" s="1248" t="s">
        <v>3343</v>
      </c>
      <c r="S175" s="2187">
        <v>45929</v>
      </c>
      <c r="T175" s="1248">
        <v>281600</v>
      </c>
      <c r="U175" s="1042" t="s">
        <v>47</v>
      </c>
      <c r="V175" s="1844">
        <v>281600</v>
      </c>
      <c r="W175" s="1249" t="s">
        <v>2909</v>
      </c>
      <c r="X175" s="1248" t="s">
        <v>1166</v>
      </c>
      <c r="Y175" s="1248" t="s">
        <v>1166</v>
      </c>
      <c r="Z175" s="2163" t="s">
        <v>1166</v>
      </c>
      <c r="AA175" s="2190" t="s">
        <v>1166</v>
      </c>
      <c r="AB175" s="821"/>
      <c r="AC175" s="821"/>
      <c r="AD175" s="821"/>
    </row>
    <row r="176" spans="1:30" s="259" customFormat="1" ht="18">
      <c r="A176" s="1248" t="s">
        <v>1166</v>
      </c>
      <c r="B176" s="1248"/>
      <c r="C176" s="1252" t="s">
        <v>2481</v>
      </c>
      <c r="D176" s="1246" t="s">
        <v>2252</v>
      </c>
      <c r="E176" s="1246" t="s">
        <v>954</v>
      </c>
      <c r="F176" s="1246" t="s">
        <v>3339</v>
      </c>
      <c r="G176" s="1246">
        <v>9036486695</v>
      </c>
      <c r="H176" s="1142" t="s">
        <v>3340</v>
      </c>
      <c r="I176" s="1252" t="s">
        <v>3345</v>
      </c>
      <c r="J176" s="1247" t="s">
        <v>77</v>
      </c>
      <c r="K176" s="1247" t="s">
        <v>138</v>
      </c>
      <c r="L176" s="1249" t="s">
        <v>3342</v>
      </c>
      <c r="M176" s="2188">
        <v>45965</v>
      </c>
      <c r="N176" s="1248">
        <v>320000</v>
      </c>
      <c r="O176" s="1248" t="s">
        <v>28</v>
      </c>
      <c r="P176" s="1276" t="s">
        <v>62</v>
      </c>
      <c r="Q176" s="2189">
        <v>1</v>
      </c>
      <c r="R176" s="1248" t="s">
        <v>3343</v>
      </c>
      <c r="S176" s="2187">
        <v>45929</v>
      </c>
      <c r="T176" s="1248">
        <v>281600</v>
      </c>
      <c r="U176" s="1042" t="s">
        <v>47</v>
      </c>
      <c r="V176" s="1844">
        <v>281600</v>
      </c>
      <c r="W176" s="1249" t="s">
        <v>2909</v>
      </c>
      <c r="X176" s="1248" t="s">
        <v>1166</v>
      </c>
      <c r="Y176" s="1248" t="s">
        <v>1166</v>
      </c>
      <c r="Z176" s="2163" t="s">
        <v>1166</v>
      </c>
      <c r="AA176" s="2190" t="s">
        <v>1166</v>
      </c>
      <c r="AB176" s="821"/>
      <c r="AC176" s="821"/>
      <c r="AD176" s="821"/>
    </row>
    <row r="177" spans="1:30" s="259" customFormat="1" ht="18">
      <c r="A177" s="1248" t="s">
        <v>1166</v>
      </c>
      <c r="B177" s="1248"/>
      <c r="C177" s="1252" t="s">
        <v>2481</v>
      </c>
      <c r="D177" s="1246" t="s">
        <v>2252</v>
      </c>
      <c r="E177" s="1246" t="s">
        <v>954</v>
      </c>
      <c r="F177" s="1246" t="s">
        <v>3339</v>
      </c>
      <c r="G177" s="1246">
        <v>9036486695</v>
      </c>
      <c r="H177" s="1142" t="s">
        <v>3340</v>
      </c>
      <c r="I177" s="1252" t="s">
        <v>3341</v>
      </c>
      <c r="J177" s="1247" t="s">
        <v>75</v>
      </c>
      <c r="K177" s="1247" t="s">
        <v>157</v>
      </c>
      <c r="L177" s="1249" t="s">
        <v>3342</v>
      </c>
      <c r="M177" s="2188">
        <v>45965</v>
      </c>
      <c r="N177" s="1248">
        <v>78000</v>
      </c>
      <c r="O177" s="1248" t="s">
        <v>28</v>
      </c>
      <c r="P177" s="1276" t="s">
        <v>62</v>
      </c>
      <c r="Q177" s="2189">
        <v>1</v>
      </c>
      <c r="R177" s="1248" t="s">
        <v>3343</v>
      </c>
      <c r="S177" s="2187">
        <v>45929</v>
      </c>
      <c r="T177" s="1248">
        <v>68640</v>
      </c>
      <c r="U177" s="1042" t="s">
        <v>47</v>
      </c>
      <c r="V177" s="1844">
        <v>68640</v>
      </c>
      <c r="W177" s="1249" t="s">
        <v>2909</v>
      </c>
      <c r="X177" s="1248" t="s">
        <v>1166</v>
      </c>
      <c r="Y177" s="1248" t="s">
        <v>1166</v>
      </c>
      <c r="Z177" s="2163" t="s">
        <v>1166</v>
      </c>
      <c r="AA177" s="2190" t="s">
        <v>1166</v>
      </c>
      <c r="AB177" s="821"/>
      <c r="AC177" s="821"/>
      <c r="AD177" s="821"/>
    </row>
    <row r="178" spans="1:30" s="259" customFormat="1" ht="18">
      <c r="A178" s="1248" t="s">
        <v>1166</v>
      </c>
      <c r="B178" s="1248"/>
      <c r="C178" s="1252" t="s">
        <v>2481</v>
      </c>
      <c r="D178" s="1246" t="s">
        <v>2252</v>
      </c>
      <c r="E178" s="1246" t="s">
        <v>954</v>
      </c>
      <c r="F178" s="1246" t="s">
        <v>3339</v>
      </c>
      <c r="G178" s="1246">
        <v>9036486695</v>
      </c>
      <c r="H178" s="1142" t="s">
        <v>3340</v>
      </c>
      <c r="I178" s="1252" t="s">
        <v>3344</v>
      </c>
      <c r="J178" s="1247" t="s">
        <v>75</v>
      </c>
      <c r="K178" s="1247" t="s">
        <v>157</v>
      </c>
      <c r="L178" s="1249" t="s">
        <v>3342</v>
      </c>
      <c r="M178" s="2188">
        <v>45965</v>
      </c>
      <c r="N178" s="1248">
        <v>78000</v>
      </c>
      <c r="O178" s="1248" t="s">
        <v>28</v>
      </c>
      <c r="P178" s="1276" t="s">
        <v>62</v>
      </c>
      <c r="Q178" s="2189">
        <v>1</v>
      </c>
      <c r="R178" s="1248" t="s">
        <v>3343</v>
      </c>
      <c r="S178" s="2187">
        <v>45929</v>
      </c>
      <c r="T178" s="1248">
        <v>68640</v>
      </c>
      <c r="U178" s="1042" t="s">
        <v>47</v>
      </c>
      <c r="V178" s="1844">
        <v>68640</v>
      </c>
      <c r="W178" s="1249" t="s">
        <v>2909</v>
      </c>
      <c r="X178" s="1248" t="s">
        <v>1166</v>
      </c>
      <c r="Y178" s="1248" t="s">
        <v>1166</v>
      </c>
      <c r="Z178" s="2163" t="s">
        <v>1166</v>
      </c>
      <c r="AA178" s="2190" t="s">
        <v>1166</v>
      </c>
      <c r="AB178" s="821"/>
      <c r="AC178" s="821"/>
      <c r="AD178" s="821"/>
    </row>
    <row r="179" spans="1:30" s="259" customFormat="1" ht="18">
      <c r="A179" s="1248" t="s">
        <v>1166</v>
      </c>
      <c r="B179" s="1248"/>
      <c r="C179" s="1252" t="s">
        <v>2481</v>
      </c>
      <c r="D179" s="1246" t="s">
        <v>2252</v>
      </c>
      <c r="E179" s="1246" t="s">
        <v>954</v>
      </c>
      <c r="F179" s="1246" t="s">
        <v>3339</v>
      </c>
      <c r="G179" s="1246">
        <v>9036486695</v>
      </c>
      <c r="H179" s="1142" t="s">
        <v>3340</v>
      </c>
      <c r="I179" s="1252" t="s">
        <v>3345</v>
      </c>
      <c r="J179" s="1247" t="s">
        <v>75</v>
      </c>
      <c r="K179" s="1247" t="s">
        <v>157</v>
      </c>
      <c r="L179" s="1249" t="s">
        <v>3342</v>
      </c>
      <c r="M179" s="2188">
        <v>45965</v>
      </c>
      <c r="N179" s="1248">
        <v>78000</v>
      </c>
      <c r="O179" s="1248" t="s">
        <v>28</v>
      </c>
      <c r="P179" s="1276" t="s">
        <v>62</v>
      </c>
      <c r="Q179" s="2189">
        <v>1</v>
      </c>
      <c r="R179" s="1248" t="s">
        <v>3343</v>
      </c>
      <c r="S179" s="2187">
        <v>45929</v>
      </c>
      <c r="T179" s="1248">
        <v>68640</v>
      </c>
      <c r="U179" s="1042" t="s">
        <v>47</v>
      </c>
      <c r="V179" s="1844">
        <v>68640</v>
      </c>
      <c r="W179" s="1249" t="s">
        <v>2909</v>
      </c>
      <c r="X179" s="1248" t="s">
        <v>1166</v>
      </c>
      <c r="Y179" s="1248" t="s">
        <v>1166</v>
      </c>
      <c r="Z179" s="2163" t="s">
        <v>1166</v>
      </c>
      <c r="AA179" s="2190" t="s">
        <v>1166</v>
      </c>
      <c r="AB179" s="821"/>
      <c r="AC179" s="821"/>
      <c r="AD179" s="821"/>
    </row>
    <row r="180" spans="1:30" s="259" customFormat="1" ht="18">
      <c r="A180" s="2543" t="s">
        <v>1166</v>
      </c>
      <c r="B180" s="2543"/>
      <c r="C180" s="2542" t="s">
        <v>2481</v>
      </c>
      <c r="D180" s="2274" t="s">
        <v>2252</v>
      </c>
      <c r="E180" s="2274" t="s">
        <v>954</v>
      </c>
      <c r="F180" s="2274" t="s">
        <v>3339</v>
      </c>
      <c r="G180" s="2274">
        <v>9036486695</v>
      </c>
      <c r="H180" s="2544" t="s">
        <v>3340</v>
      </c>
      <c r="I180" s="2542" t="s">
        <v>1166</v>
      </c>
      <c r="J180" s="2274" t="s">
        <v>81</v>
      </c>
      <c r="K180" s="2274" t="s">
        <v>157</v>
      </c>
      <c r="L180" s="2543" t="s">
        <v>3342</v>
      </c>
      <c r="M180" s="2545">
        <v>45965</v>
      </c>
      <c r="N180" s="2543">
        <v>256900</v>
      </c>
      <c r="O180" s="2543" t="s">
        <v>28</v>
      </c>
      <c r="P180" s="2546" t="s">
        <v>62</v>
      </c>
      <c r="Q180" s="2547">
        <v>0.6</v>
      </c>
      <c r="R180" s="2543" t="s">
        <v>1166</v>
      </c>
      <c r="S180" s="2543" t="s">
        <v>1166</v>
      </c>
      <c r="T180" s="2543" t="s">
        <v>1166</v>
      </c>
      <c r="U180" s="2543" t="s">
        <v>1166</v>
      </c>
      <c r="V180" s="2548">
        <v>0</v>
      </c>
      <c r="W180" s="2543" t="s">
        <v>3346</v>
      </c>
      <c r="X180" s="2543" t="s">
        <v>1166</v>
      </c>
      <c r="Y180" s="2543" t="s">
        <v>1166</v>
      </c>
      <c r="Z180" s="2549" t="s">
        <v>1166</v>
      </c>
      <c r="AA180" s="2550" t="s">
        <v>1166</v>
      </c>
      <c r="AB180" s="821"/>
      <c r="AC180" s="821"/>
      <c r="AD180" s="821"/>
    </row>
    <row r="181" spans="1:30" s="259" customFormat="1" ht="18">
      <c r="A181" s="1248">
        <v>68</v>
      </c>
      <c r="B181" s="1248" t="s">
        <v>3309</v>
      </c>
      <c r="C181" s="1252" t="s">
        <v>2910</v>
      </c>
      <c r="D181" s="1246" t="s">
        <v>2252</v>
      </c>
      <c r="E181" s="2220" t="s">
        <v>2954</v>
      </c>
      <c r="F181" s="2221" t="s">
        <v>2955</v>
      </c>
      <c r="G181" s="2221">
        <v>9159498005</v>
      </c>
      <c r="H181" s="2222" t="s">
        <v>2956</v>
      </c>
      <c r="I181" s="1252" t="s">
        <v>3190</v>
      </c>
      <c r="J181" s="1247" t="s">
        <v>81</v>
      </c>
      <c r="K181" s="1247" t="s">
        <v>157</v>
      </c>
      <c r="L181" s="1249" t="s">
        <v>3347</v>
      </c>
      <c r="M181" s="2188">
        <v>45965</v>
      </c>
      <c r="N181" s="1248">
        <v>361200</v>
      </c>
      <c r="O181" s="1248" t="s">
        <v>28</v>
      </c>
      <c r="P181" s="1276" t="s">
        <v>39</v>
      </c>
      <c r="Q181" s="2189">
        <v>0.8</v>
      </c>
      <c r="R181" s="1248" t="s">
        <v>3348</v>
      </c>
      <c r="S181" s="2187">
        <v>45881</v>
      </c>
      <c r="T181" s="1248">
        <v>596800</v>
      </c>
      <c r="U181" s="1248" t="s">
        <v>39</v>
      </c>
      <c r="V181" s="1844">
        <v>0</v>
      </c>
      <c r="W181" s="1248" t="s">
        <v>2909</v>
      </c>
      <c r="X181" s="1248" t="s">
        <v>1166</v>
      </c>
      <c r="Y181" s="1248" t="s">
        <v>1166</v>
      </c>
      <c r="Z181" s="2163" t="s">
        <v>1166</v>
      </c>
      <c r="AA181" s="2190" t="s">
        <v>1166</v>
      </c>
      <c r="AB181" s="821"/>
      <c r="AC181" s="821"/>
      <c r="AD181" s="821"/>
    </row>
    <row r="182" spans="1:30" s="259" customFormat="1" ht="18">
      <c r="A182" s="2043">
        <v>69</v>
      </c>
      <c r="B182" s="2043" t="s">
        <v>3349</v>
      </c>
      <c r="C182" s="2045" t="s">
        <v>2938</v>
      </c>
      <c r="D182" s="2046" t="s">
        <v>2252</v>
      </c>
      <c r="E182" s="2046" t="s">
        <v>873</v>
      </c>
      <c r="F182" s="2046" t="s">
        <v>3350</v>
      </c>
      <c r="G182" s="2046">
        <v>6366560432</v>
      </c>
      <c r="H182" s="2183" t="s">
        <v>3351</v>
      </c>
      <c r="I182" s="2045" t="s">
        <v>2941</v>
      </c>
      <c r="J182" s="2051" t="s">
        <v>73</v>
      </c>
      <c r="K182" s="2051" t="s">
        <v>138</v>
      </c>
      <c r="L182" s="2058" t="s">
        <v>3352</v>
      </c>
      <c r="M182" s="2131" t="s">
        <v>3309</v>
      </c>
      <c r="N182" s="2043">
        <v>113713</v>
      </c>
      <c r="O182" s="2043" t="s">
        <v>28</v>
      </c>
      <c r="P182" s="2043" t="s">
        <v>37</v>
      </c>
      <c r="Q182" s="2056">
        <v>1</v>
      </c>
      <c r="R182" s="2132">
        <v>3300013521</v>
      </c>
      <c r="S182" s="2155" t="s">
        <v>3353</v>
      </c>
      <c r="T182" s="2043">
        <v>109500</v>
      </c>
      <c r="U182" s="2043" t="s">
        <v>37</v>
      </c>
      <c r="V182" s="1814">
        <v>0</v>
      </c>
      <c r="W182" s="2043" t="s">
        <v>2909</v>
      </c>
      <c r="X182" s="2043" t="s">
        <v>1166</v>
      </c>
      <c r="Y182" s="2043" t="s">
        <v>1166</v>
      </c>
      <c r="Z182" s="2067" t="s">
        <v>1166</v>
      </c>
      <c r="AA182" s="2179" t="s">
        <v>1166</v>
      </c>
      <c r="AB182" s="821"/>
      <c r="AC182" s="821"/>
      <c r="AD182" s="821"/>
    </row>
    <row r="183" spans="1:30" s="259" customFormat="1" ht="18">
      <c r="A183" s="2058">
        <v>70</v>
      </c>
      <c r="B183" s="2043" t="s">
        <v>3349</v>
      </c>
      <c r="C183" s="2045" t="s">
        <v>1250</v>
      </c>
      <c r="D183" s="2046" t="s">
        <v>2252</v>
      </c>
      <c r="E183" s="2046" t="s">
        <v>3064</v>
      </c>
      <c r="F183" s="2046" t="s">
        <v>3354</v>
      </c>
      <c r="G183" s="2162" t="s">
        <v>3355</v>
      </c>
      <c r="H183" s="1810" t="s">
        <v>3066</v>
      </c>
      <c r="I183" s="2045" t="s">
        <v>3067</v>
      </c>
      <c r="J183" s="2051" t="s">
        <v>73</v>
      </c>
      <c r="K183" s="2051" t="s">
        <v>138</v>
      </c>
      <c r="L183" s="2058" t="s">
        <v>3356</v>
      </c>
      <c r="M183" s="2131" t="s">
        <v>3309</v>
      </c>
      <c r="N183" s="2043">
        <v>76440</v>
      </c>
      <c r="O183" s="2043" t="s">
        <v>28</v>
      </c>
      <c r="P183" s="2043" t="s">
        <v>30</v>
      </c>
      <c r="Q183" s="2056">
        <v>1</v>
      </c>
      <c r="R183" s="2057">
        <v>85398342</v>
      </c>
      <c r="S183" s="2138">
        <v>45782</v>
      </c>
      <c r="T183" s="2043">
        <v>76440</v>
      </c>
      <c r="U183" s="2043" t="s">
        <v>30</v>
      </c>
      <c r="V183" s="1814">
        <v>0</v>
      </c>
      <c r="W183" s="2043" t="s">
        <v>2909</v>
      </c>
      <c r="X183" s="2043" t="s">
        <v>1166</v>
      </c>
      <c r="Y183" s="2043" t="s">
        <v>1166</v>
      </c>
      <c r="Z183" s="2067" t="s">
        <v>1166</v>
      </c>
      <c r="AA183" s="2179" t="s">
        <v>1166</v>
      </c>
      <c r="AB183" s="821"/>
      <c r="AC183" s="821"/>
      <c r="AD183" s="821"/>
    </row>
    <row r="184" spans="1:30" s="259" customFormat="1" ht="18">
      <c r="A184" s="2043">
        <v>71</v>
      </c>
      <c r="B184" s="2043" t="s">
        <v>3349</v>
      </c>
      <c r="C184" s="2045" t="s">
        <v>1250</v>
      </c>
      <c r="D184" s="2046" t="s">
        <v>2252</v>
      </c>
      <c r="E184" s="2046" t="s">
        <v>3357</v>
      </c>
      <c r="F184" s="2046" t="s">
        <v>3358</v>
      </c>
      <c r="G184" s="2046">
        <v>8147178373</v>
      </c>
      <c r="H184" s="1810" t="s">
        <v>3359</v>
      </c>
      <c r="I184" s="2045" t="s">
        <v>3360</v>
      </c>
      <c r="J184" s="2051" t="s">
        <v>73</v>
      </c>
      <c r="K184" s="2051" t="s">
        <v>138</v>
      </c>
      <c r="L184" s="2058" t="s">
        <v>3361</v>
      </c>
      <c r="M184" s="2131" t="s">
        <v>3309</v>
      </c>
      <c r="N184" s="2043">
        <v>76440</v>
      </c>
      <c r="O184" s="2043" t="s">
        <v>28</v>
      </c>
      <c r="P184" s="2043" t="s">
        <v>30</v>
      </c>
      <c r="Q184" s="2056">
        <v>1</v>
      </c>
      <c r="R184" s="2132">
        <v>85403230</v>
      </c>
      <c r="S184" s="2043" t="s">
        <v>3362</v>
      </c>
      <c r="T184" s="2043">
        <v>76440</v>
      </c>
      <c r="U184" s="2043" t="s">
        <v>34</v>
      </c>
      <c r="V184" s="1814">
        <v>0</v>
      </c>
      <c r="W184" s="2043" t="s">
        <v>2909</v>
      </c>
      <c r="X184" s="2043" t="s">
        <v>1166</v>
      </c>
      <c r="Y184" s="2043" t="s">
        <v>1166</v>
      </c>
      <c r="Z184" s="2067" t="s">
        <v>1166</v>
      </c>
      <c r="AA184" s="2179" t="s">
        <v>1166</v>
      </c>
      <c r="AB184" s="821"/>
      <c r="AC184" s="821"/>
      <c r="AD184" s="821"/>
    </row>
    <row r="185" spans="1:30" s="259" customFormat="1" ht="18">
      <c r="A185" s="2074">
        <v>72</v>
      </c>
      <c r="B185" s="2074" t="s">
        <v>3349</v>
      </c>
      <c r="C185" s="2165" t="s">
        <v>2910</v>
      </c>
      <c r="D185" s="2076" t="s">
        <v>2252</v>
      </c>
      <c r="E185" s="2076" t="s">
        <v>3100</v>
      </c>
      <c r="F185" s="2076" t="s">
        <v>2912</v>
      </c>
      <c r="G185" s="2076">
        <v>9845660933</v>
      </c>
      <c r="H185" s="1817" t="s">
        <v>2913</v>
      </c>
      <c r="I185" s="2165" t="s">
        <v>3189</v>
      </c>
      <c r="J185" s="2166" t="s">
        <v>81</v>
      </c>
      <c r="K185" s="2166" t="s">
        <v>157</v>
      </c>
      <c r="L185" s="2080" t="s">
        <v>3363</v>
      </c>
      <c r="M185" s="2184" t="s">
        <v>3364</v>
      </c>
      <c r="N185" s="2074">
        <v>1261200</v>
      </c>
      <c r="O185" s="2074" t="s">
        <v>28</v>
      </c>
      <c r="P185" s="817" t="s">
        <v>62</v>
      </c>
      <c r="Q185" s="2079">
        <v>0.4</v>
      </c>
      <c r="R185" s="2180" t="s">
        <v>1166</v>
      </c>
      <c r="S185" s="2074" t="s">
        <v>1166</v>
      </c>
      <c r="T185" s="2074" t="s">
        <v>1166</v>
      </c>
      <c r="U185" s="2074" t="s">
        <v>1166</v>
      </c>
      <c r="V185" s="1818">
        <v>1261200</v>
      </c>
      <c r="W185" s="2074" t="s">
        <v>3365</v>
      </c>
      <c r="X185" s="2074" t="s">
        <v>1166</v>
      </c>
      <c r="Y185" s="2074" t="s">
        <v>1166</v>
      </c>
      <c r="Z185" s="2081" t="s">
        <v>157</v>
      </c>
      <c r="AA185" s="2178" t="s">
        <v>1166</v>
      </c>
      <c r="AB185" s="821"/>
      <c r="AC185" s="821"/>
      <c r="AD185" s="821"/>
    </row>
    <row r="186" spans="1:30" s="259" customFormat="1" ht="18">
      <c r="A186" s="2069">
        <v>73</v>
      </c>
      <c r="B186" s="2069"/>
      <c r="C186" s="2170" t="s">
        <v>1387</v>
      </c>
      <c r="D186" s="2070" t="s">
        <v>2252</v>
      </c>
      <c r="E186" s="2070" t="s">
        <v>3086</v>
      </c>
      <c r="F186" s="2170" t="s">
        <v>3087</v>
      </c>
      <c r="G186" s="2170">
        <v>9620262387</v>
      </c>
      <c r="H186" s="1846" t="s">
        <v>3088</v>
      </c>
      <c r="I186" s="2170" t="s">
        <v>3099</v>
      </c>
      <c r="J186" s="2070" t="s">
        <v>83</v>
      </c>
      <c r="K186" s="2108" t="s">
        <v>157</v>
      </c>
      <c r="L186" s="2072" t="s">
        <v>3366</v>
      </c>
      <c r="M186" s="2171" t="s">
        <v>3367</v>
      </c>
      <c r="N186" s="2069">
        <v>0</v>
      </c>
      <c r="O186" s="2069" t="s">
        <v>28</v>
      </c>
      <c r="P186" s="2069" t="s">
        <v>47</v>
      </c>
      <c r="Q186" s="2071">
        <v>0.7</v>
      </c>
      <c r="R186" s="2069" t="s">
        <v>1166</v>
      </c>
      <c r="S186" s="2069" t="s">
        <v>1166</v>
      </c>
      <c r="T186" s="2069" t="s">
        <v>1166</v>
      </c>
      <c r="U186" s="2069" t="s">
        <v>1166</v>
      </c>
      <c r="V186" s="1847">
        <v>0</v>
      </c>
      <c r="W186" s="2069" t="s">
        <v>3368</v>
      </c>
      <c r="X186" s="2069" t="s">
        <v>1166</v>
      </c>
      <c r="Y186" s="2069" t="s">
        <v>1166</v>
      </c>
      <c r="Z186" s="2073" t="s">
        <v>1166</v>
      </c>
      <c r="AA186" s="2185" t="s">
        <v>1166</v>
      </c>
      <c r="AB186" s="821"/>
      <c r="AC186" s="821"/>
      <c r="AD186" s="821"/>
    </row>
    <row r="187" spans="1:30" s="259" customFormat="1" ht="18">
      <c r="A187" s="2043">
        <v>74</v>
      </c>
      <c r="B187" s="2043" t="s">
        <v>3349</v>
      </c>
      <c r="C187" s="2045" t="s">
        <v>3033</v>
      </c>
      <c r="D187" s="2046" t="s">
        <v>3034</v>
      </c>
      <c r="E187" s="2046" t="s">
        <v>3035</v>
      </c>
      <c r="F187" s="2106" t="s">
        <v>3036</v>
      </c>
      <c r="G187" s="2106">
        <v>8668969287</v>
      </c>
      <c r="H187" s="1801" t="s">
        <v>3037</v>
      </c>
      <c r="I187" s="2045" t="s">
        <v>3038</v>
      </c>
      <c r="J187" s="2051" t="s">
        <v>81</v>
      </c>
      <c r="K187" s="2051" t="s">
        <v>157</v>
      </c>
      <c r="L187" s="2058" t="s">
        <v>3369</v>
      </c>
      <c r="M187" s="2131" t="s">
        <v>3367</v>
      </c>
      <c r="N187" s="2043">
        <v>777680</v>
      </c>
      <c r="O187" s="2043" t="s">
        <v>28</v>
      </c>
      <c r="P187" s="2043" t="s">
        <v>39</v>
      </c>
      <c r="Q187" s="2056">
        <v>0.7</v>
      </c>
      <c r="R187" s="2132">
        <v>4100099167</v>
      </c>
      <c r="S187" s="2043" t="s">
        <v>3370</v>
      </c>
      <c r="T187" s="2043">
        <v>671700</v>
      </c>
      <c r="U187" s="2043" t="s">
        <v>37</v>
      </c>
      <c r="V187" s="1814">
        <v>0</v>
      </c>
      <c r="W187" s="2043" t="s">
        <v>2909</v>
      </c>
      <c r="X187" s="2043" t="s">
        <v>1166</v>
      </c>
      <c r="Y187" s="2043" t="s">
        <v>1166</v>
      </c>
      <c r="Z187" s="2067" t="s">
        <v>157</v>
      </c>
      <c r="AA187" s="2179" t="s">
        <v>157</v>
      </c>
      <c r="AB187" s="821"/>
      <c r="AC187" s="821"/>
      <c r="AD187" s="821"/>
    </row>
    <row r="188" spans="1:30" s="259" customFormat="1" ht="18">
      <c r="A188" s="2043">
        <v>75</v>
      </c>
      <c r="B188" s="2043" t="s">
        <v>3349</v>
      </c>
      <c r="C188" s="2045" t="s">
        <v>1250</v>
      </c>
      <c r="D188" s="2046" t="s">
        <v>2252</v>
      </c>
      <c r="E188" s="2046" t="s">
        <v>954</v>
      </c>
      <c r="F188" s="2046" t="s">
        <v>3371</v>
      </c>
      <c r="G188" s="2046">
        <v>9538868906</v>
      </c>
      <c r="H188" s="1810" t="s">
        <v>3372</v>
      </c>
      <c r="I188" s="2045" t="s">
        <v>3373</v>
      </c>
      <c r="J188" s="2046" t="s">
        <v>83</v>
      </c>
      <c r="K188" s="2051" t="s">
        <v>157</v>
      </c>
      <c r="L188" s="2058" t="s">
        <v>3374</v>
      </c>
      <c r="M188" s="2131" t="s">
        <v>3367</v>
      </c>
      <c r="N188" s="2043">
        <v>257586</v>
      </c>
      <c r="O188" s="2043" t="s">
        <v>28</v>
      </c>
      <c r="P188" s="2043" t="s">
        <v>39</v>
      </c>
      <c r="Q188" s="2056">
        <v>0.6</v>
      </c>
      <c r="R188" s="2269">
        <v>87518617</v>
      </c>
      <c r="S188" s="2138">
        <v>45814</v>
      </c>
      <c r="T188" s="2043">
        <v>257586</v>
      </c>
      <c r="U188" s="2043" t="s">
        <v>34</v>
      </c>
      <c r="V188" s="1814">
        <v>0</v>
      </c>
      <c r="W188" s="2043" t="s">
        <v>2909</v>
      </c>
      <c r="X188" s="2043" t="s">
        <v>1166</v>
      </c>
      <c r="Y188" s="2043" t="s">
        <v>1166</v>
      </c>
      <c r="Z188" s="2067" t="s">
        <v>1166</v>
      </c>
      <c r="AA188" s="2179" t="s">
        <v>1166</v>
      </c>
      <c r="AB188" s="821"/>
      <c r="AC188" s="821"/>
      <c r="AD188" s="821"/>
    </row>
    <row r="189" spans="1:30" s="259" customFormat="1" ht="18">
      <c r="A189" s="2043">
        <v>76</v>
      </c>
      <c r="B189" s="2043" t="s">
        <v>3349</v>
      </c>
      <c r="C189" s="2045" t="s">
        <v>1250</v>
      </c>
      <c r="D189" s="2046" t="s">
        <v>2252</v>
      </c>
      <c r="E189" s="2046" t="s">
        <v>954</v>
      </c>
      <c r="F189" s="2046" t="s">
        <v>3371</v>
      </c>
      <c r="G189" s="2046">
        <v>9538868906</v>
      </c>
      <c r="H189" s="1810" t="s">
        <v>3372</v>
      </c>
      <c r="I189" s="2045" t="s">
        <v>3375</v>
      </c>
      <c r="J189" s="2046" t="s">
        <v>83</v>
      </c>
      <c r="K189" s="2051" t="s">
        <v>157</v>
      </c>
      <c r="L189" s="2058" t="s">
        <v>3376</v>
      </c>
      <c r="M189" s="2131" t="s">
        <v>3367</v>
      </c>
      <c r="N189" s="2043">
        <v>497900</v>
      </c>
      <c r="O189" s="2043" t="s">
        <v>28</v>
      </c>
      <c r="P189" s="2043" t="s">
        <v>39</v>
      </c>
      <c r="Q189" s="2056">
        <v>0.6</v>
      </c>
      <c r="R189" s="2269">
        <v>87518617</v>
      </c>
      <c r="S189" s="2138">
        <v>45814</v>
      </c>
      <c r="T189" s="2043">
        <v>497900</v>
      </c>
      <c r="U189" s="2043" t="s">
        <v>34</v>
      </c>
      <c r="V189" s="1814">
        <v>0</v>
      </c>
      <c r="W189" s="2043" t="s">
        <v>2909</v>
      </c>
      <c r="X189" s="2043" t="s">
        <v>1166</v>
      </c>
      <c r="Y189" s="2043" t="s">
        <v>1166</v>
      </c>
      <c r="Z189" s="2067" t="s">
        <v>157</v>
      </c>
      <c r="AA189" s="2179" t="s">
        <v>157</v>
      </c>
      <c r="AB189" s="821"/>
      <c r="AC189" s="821"/>
      <c r="AD189" s="821"/>
    </row>
    <row r="190" spans="1:30" s="259" customFormat="1" ht="18">
      <c r="A190" s="2043">
        <v>77</v>
      </c>
      <c r="B190" s="2043" t="s">
        <v>3349</v>
      </c>
      <c r="C190" s="2045" t="s">
        <v>1250</v>
      </c>
      <c r="D190" s="2046" t="s">
        <v>2252</v>
      </c>
      <c r="E190" s="2046" t="s">
        <v>954</v>
      </c>
      <c r="F190" s="2046" t="s">
        <v>3371</v>
      </c>
      <c r="G190" s="2046">
        <v>9538868906</v>
      </c>
      <c r="H190" s="1810" t="s">
        <v>3372</v>
      </c>
      <c r="I190" s="2045" t="s">
        <v>3377</v>
      </c>
      <c r="J190" s="2046" t="s">
        <v>83</v>
      </c>
      <c r="K190" s="2051" t="s">
        <v>157</v>
      </c>
      <c r="L190" s="2058" t="s">
        <v>3378</v>
      </c>
      <c r="M190" s="2131" t="s">
        <v>3367</v>
      </c>
      <c r="N190" s="2043">
        <v>228000</v>
      </c>
      <c r="O190" s="2043" t="s">
        <v>28</v>
      </c>
      <c r="P190" s="2043" t="s">
        <v>39</v>
      </c>
      <c r="Q190" s="2056">
        <v>0.6</v>
      </c>
      <c r="R190" s="2269">
        <v>87518617</v>
      </c>
      <c r="S190" s="2138">
        <v>45814</v>
      </c>
      <c r="T190" s="2043">
        <v>228000</v>
      </c>
      <c r="U190" s="2043" t="s">
        <v>34</v>
      </c>
      <c r="V190" s="1814">
        <v>0</v>
      </c>
      <c r="W190" s="2043" t="s">
        <v>2909</v>
      </c>
      <c r="X190" s="2043" t="s">
        <v>1166</v>
      </c>
      <c r="Y190" s="2043" t="s">
        <v>1166</v>
      </c>
      <c r="Z190" s="2067" t="s">
        <v>1166</v>
      </c>
      <c r="AA190" s="2179" t="s">
        <v>1166</v>
      </c>
      <c r="AB190" s="821"/>
      <c r="AC190" s="821"/>
      <c r="AD190" s="821"/>
    </row>
    <row r="191" spans="1:30" s="259" customFormat="1" ht="18">
      <c r="A191" s="2043">
        <v>78</v>
      </c>
      <c r="B191" s="2043" t="s">
        <v>3349</v>
      </c>
      <c r="C191" s="2045" t="s">
        <v>1250</v>
      </c>
      <c r="D191" s="2046" t="s">
        <v>2252</v>
      </c>
      <c r="E191" s="2046" t="s">
        <v>954</v>
      </c>
      <c r="F191" s="2046" t="s">
        <v>3371</v>
      </c>
      <c r="G191" s="2046">
        <v>9538868906</v>
      </c>
      <c r="H191" s="1810" t="s">
        <v>3372</v>
      </c>
      <c r="I191" s="2045" t="s">
        <v>3379</v>
      </c>
      <c r="J191" s="2046" t="s">
        <v>83</v>
      </c>
      <c r="K191" s="2051" t="s">
        <v>157</v>
      </c>
      <c r="L191" s="2058" t="s">
        <v>3380</v>
      </c>
      <c r="M191" s="2131" t="s">
        <v>3367</v>
      </c>
      <c r="N191" s="2043">
        <v>499986</v>
      </c>
      <c r="O191" s="2043" t="s">
        <v>28</v>
      </c>
      <c r="P191" s="2043" t="s">
        <v>39</v>
      </c>
      <c r="Q191" s="2056">
        <v>0.6</v>
      </c>
      <c r="R191" s="2269">
        <v>87518617</v>
      </c>
      <c r="S191" s="2138">
        <v>45814</v>
      </c>
      <c r="T191" s="2043">
        <v>499986</v>
      </c>
      <c r="U191" s="2043" t="s">
        <v>34</v>
      </c>
      <c r="V191" s="1814">
        <v>0</v>
      </c>
      <c r="W191" s="2043" t="s">
        <v>2909</v>
      </c>
      <c r="X191" s="2043" t="s">
        <v>1166</v>
      </c>
      <c r="Y191" s="2043" t="s">
        <v>1166</v>
      </c>
      <c r="Z191" s="2067" t="s">
        <v>157</v>
      </c>
      <c r="AA191" s="2179" t="s">
        <v>157</v>
      </c>
      <c r="AB191" s="821"/>
      <c r="AC191" s="821"/>
      <c r="AD191" s="821"/>
    </row>
    <row r="192" spans="1:30" s="259" customFormat="1" ht="18">
      <c r="A192" s="2043">
        <v>79</v>
      </c>
      <c r="B192" s="2043" t="s">
        <v>3349</v>
      </c>
      <c r="C192" s="2045" t="s">
        <v>1250</v>
      </c>
      <c r="D192" s="2046" t="s">
        <v>2252</v>
      </c>
      <c r="E192" s="2046" t="s">
        <v>3381</v>
      </c>
      <c r="F192" s="2046" t="s">
        <v>3382</v>
      </c>
      <c r="G192" s="2046">
        <v>6366901263</v>
      </c>
      <c r="H192" s="1810" t="s">
        <v>3383</v>
      </c>
      <c r="I192" s="2045" t="s">
        <v>3384</v>
      </c>
      <c r="J192" s="2051" t="s">
        <v>75</v>
      </c>
      <c r="K192" s="2051" t="s">
        <v>157</v>
      </c>
      <c r="L192" s="2058" t="s">
        <v>3385</v>
      </c>
      <c r="M192" s="2131" t="s">
        <v>3245</v>
      </c>
      <c r="N192" s="2043">
        <v>291930</v>
      </c>
      <c r="O192" s="2043" t="s">
        <v>28</v>
      </c>
      <c r="P192" s="2043" t="s">
        <v>30</v>
      </c>
      <c r="Q192" s="2056">
        <v>0.6</v>
      </c>
      <c r="R192" s="2132">
        <v>85399827</v>
      </c>
      <c r="S192" s="2186">
        <v>45996</v>
      </c>
      <c r="T192" s="2043">
        <v>291930</v>
      </c>
      <c r="U192" s="2043" t="s">
        <v>30</v>
      </c>
      <c r="V192" s="1814">
        <v>0</v>
      </c>
      <c r="W192" s="2043" t="s">
        <v>2909</v>
      </c>
      <c r="X192" s="2043" t="s">
        <v>1166</v>
      </c>
      <c r="Y192" s="2043" t="s">
        <v>1166</v>
      </c>
      <c r="Z192" s="2067" t="s">
        <v>1166</v>
      </c>
      <c r="AA192" s="2179" t="s">
        <v>1166</v>
      </c>
      <c r="AB192" s="821"/>
      <c r="AC192" s="821"/>
      <c r="AD192" s="821"/>
    </row>
    <row r="193" spans="1:30" s="259" customFormat="1" ht="18">
      <c r="A193" s="1248">
        <v>80</v>
      </c>
      <c r="B193" s="2187">
        <v>45783</v>
      </c>
      <c r="C193" s="1252" t="s">
        <v>3299</v>
      </c>
      <c r="D193" s="1246" t="s">
        <v>3034</v>
      </c>
      <c r="E193" s="1246" t="s">
        <v>873</v>
      </c>
      <c r="F193" s="1246" t="s">
        <v>3300</v>
      </c>
      <c r="G193" s="1246">
        <v>7722089199</v>
      </c>
      <c r="H193" s="1142" t="s">
        <v>3301</v>
      </c>
      <c r="I193" s="1252" t="s">
        <v>3386</v>
      </c>
      <c r="J193" s="1247" t="s">
        <v>73</v>
      </c>
      <c r="K193" s="1247" t="s">
        <v>138</v>
      </c>
      <c r="L193" s="1249" t="s">
        <v>3387</v>
      </c>
      <c r="M193" s="2188">
        <v>45782</v>
      </c>
      <c r="N193" s="1248">
        <v>88000</v>
      </c>
      <c r="O193" s="1248" t="s">
        <v>30</v>
      </c>
      <c r="P193" s="1248" t="s">
        <v>37</v>
      </c>
      <c r="Q193" s="2189">
        <v>1</v>
      </c>
      <c r="R193" s="2019">
        <v>4503060756</v>
      </c>
      <c r="S193" s="2187">
        <v>45853</v>
      </c>
      <c r="T193" s="1248">
        <v>67966</v>
      </c>
      <c r="U193" s="1248" t="s">
        <v>37</v>
      </c>
      <c r="V193" s="1844">
        <v>0</v>
      </c>
      <c r="W193" s="1248" t="s">
        <v>2909</v>
      </c>
      <c r="X193" s="1248" t="s">
        <v>1166</v>
      </c>
      <c r="Y193" s="1248" t="s">
        <v>1166</v>
      </c>
      <c r="Z193" s="2163" t="s">
        <v>1166</v>
      </c>
      <c r="AA193" s="2190" t="s">
        <v>1166</v>
      </c>
      <c r="AB193" s="821"/>
      <c r="AC193" s="821"/>
      <c r="AD193" s="821"/>
    </row>
    <row r="194" spans="1:30" s="259" customFormat="1" ht="18">
      <c r="A194" s="1248" t="s">
        <v>1166</v>
      </c>
      <c r="B194" s="1248"/>
      <c r="C194" s="1252" t="s">
        <v>3299</v>
      </c>
      <c r="D194" s="1246" t="s">
        <v>3034</v>
      </c>
      <c r="E194" s="1246" t="s">
        <v>873</v>
      </c>
      <c r="F194" s="1246" t="s">
        <v>3300</v>
      </c>
      <c r="G194" s="1246">
        <v>7722089199</v>
      </c>
      <c r="H194" s="1142" t="s">
        <v>3301</v>
      </c>
      <c r="I194" s="1252" t="s">
        <v>3388</v>
      </c>
      <c r="J194" s="1247" t="s">
        <v>73</v>
      </c>
      <c r="K194" s="1247" t="s">
        <v>138</v>
      </c>
      <c r="L194" s="1249" t="s">
        <v>3387</v>
      </c>
      <c r="M194" s="2188">
        <v>45782</v>
      </c>
      <c r="N194" s="1248">
        <v>88000</v>
      </c>
      <c r="O194" s="1248" t="s">
        <v>30</v>
      </c>
      <c r="P194" s="1248" t="s">
        <v>37</v>
      </c>
      <c r="Q194" s="2189">
        <v>1</v>
      </c>
      <c r="R194" s="2019">
        <v>4503060756</v>
      </c>
      <c r="S194" s="2187">
        <v>45853</v>
      </c>
      <c r="T194" s="1248">
        <v>67966</v>
      </c>
      <c r="U194" s="1248" t="s">
        <v>37</v>
      </c>
      <c r="V194" s="1844">
        <v>0</v>
      </c>
      <c r="W194" s="1248" t="s">
        <v>2909</v>
      </c>
      <c r="X194" s="1248" t="s">
        <v>1166</v>
      </c>
      <c r="Y194" s="1248" t="s">
        <v>1166</v>
      </c>
      <c r="Z194" s="2163" t="s">
        <v>1166</v>
      </c>
      <c r="AA194" s="2190" t="s">
        <v>1166</v>
      </c>
      <c r="AB194" s="821"/>
      <c r="AC194" s="821"/>
      <c r="AD194" s="821"/>
    </row>
    <row r="195" spans="1:30" s="259" customFormat="1" ht="18">
      <c r="A195" s="1248" t="s">
        <v>1166</v>
      </c>
      <c r="B195" s="1248"/>
      <c r="C195" s="1252" t="s">
        <v>3299</v>
      </c>
      <c r="D195" s="1246" t="s">
        <v>3034</v>
      </c>
      <c r="E195" s="1246" t="s">
        <v>873</v>
      </c>
      <c r="F195" s="1246" t="s">
        <v>3300</v>
      </c>
      <c r="G195" s="1246">
        <v>7722089199</v>
      </c>
      <c r="H195" s="1142" t="s">
        <v>3301</v>
      </c>
      <c r="I195" s="1252" t="s">
        <v>3302</v>
      </c>
      <c r="J195" s="1247" t="s">
        <v>73</v>
      </c>
      <c r="K195" s="1247" t="s">
        <v>138</v>
      </c>
      <c r="L195" s="1249" t="s">
        <v>3387</v>
      </c>
      <c r="M195" s="2188">
        <v>45782</v>
      </c>
      <c r="N195" s="1248">
        <v>88000</v>
      </c>
      <c r="O195" s="1248" t="s">
        <v>30</v>
      </c>
      <c r="P195" s="1248" t="s">
        <v>37</v>
      </c>
      <c r="Q195" s="2189">
        <v>1</v>
      </c>
      <c r="R195" s="2019">
        <v>4503060756</v>
      </c>
      <c r="S195" s="2187">
        <v>45853</v>
      </c>
      <c r="T195" s="1248">
        <v>67966</v>
      </c>
      <c r="U195" s="1248" t="s">
        <v>37</v>
      </c>
      <c r="V195" s="1844">
        <v>0</v>
      </c>
      <c r="W195" s="1248" t="s">
        <v>2909</v>
      </c>
      <c r="X195" s="1248" t="s">
        <v>1166</v>
      </c>
      <c r="Y195" s="1248" t="s">
        <v>1166</v>
      </c>
      <c r="Z195" s="2163" t="s">
        <v>1166</v>
      </c>
      <c r="AA195" s="2190" t="s">
        <v>1166</v>
      </c>
      <c r="AB195" s="821"/>
      <c r="AC195" s="821"/>
      <c r="AD195" s="821"/>
    </row>
    <row r="196" spans="1:30" s="259" customFormat="1" ht="18">
      <c r="A196" s="1248" t="s">
        <v>1166</v>
      </c>
      <c r="B196" s="1248"/>
      <c r="C196" s="1252" t="s">
        <v>3299</v>
      </c>
      <c r="D196" s="1246" t="s">
        <v>3034</v>
      </c>
      <c r="E196" s="1246" t="s">
        <v>873</v>
      </c>
      <c r="F196" s="1246" t="s">
        <v>3300</v>
      </c>
      <c r="G196" s="1246">
        <v>7722089199</v>
      </c>
      <c r="H196" s="1142" t="s">
        <v>3301</v>
      </c>
      <c r="I196" s="1252" t="s">
        <v>3389</v>
      </c>
      <c r="J196" s="1247" t="s">
        <v>73</v>
      </c>
      <c r="K196" s="1247" t="s">
        <v>138</v>
      </c>
      <c r="L196" s="1249" t="s">
        <v>3387</v>
      </c>
      <c r="M196" s="2188">
        <v>45782</v>
      </c>
      <c r="N196" s="1248">
        <v>88000</v>
      </c>
      <c r="O196" s="1248" t="s">
        <v>30</v>
      </c>
      <c r="P196" s="1248" t="s">
        <v>37</v>
      </c>
      <c r="Q196" s="2189">
        <v>1</v>
      </c>
      <c r="R196" s="2019">
        <v>4503060756</v>
      </c>
      <c r="S196" s="2187">
        <v>45853</v>
      </c>
      <c r="T196" s="1248">
        <v>67966</v>
      </c>
      <c r="U196" s="1248" t="s">
        <v>37</v>
      </c>
      <c r="V196" s="1844">
        <v>0</v>
      </c>
      <c r="W196" s="1248" t="s">
        <v>2909</v>
      </c>
      <c r="X196" s="1248" t="s">
        <v>1166</v>
      </c>
      <c r="Y196" s="1248" t="s">
        <v>1166</v>
      </c>
      <c r="Z196" s="2163" t="s">
        <v>1166</v>
      </c>
      <c r="AA196" s="2190" t="s">
        <v>1166</v>
      </c>
      <c r="AB196" s="821"/>
      <c r="AC196" s="821"/>
      <c r="AD196" s="821"/>
    </row>
    <row r="197" spans="1:30" s="259" customFormat="1" ht="18">
      <c r="A197" s="2043">
        <v>81</v>
      </c>
      <c r="B197" s="2138">
        <v>45783</v>
      </c>
      <c r="C197" s="2045" t="s">
        <v>1250</v>
      </c>
      <c r="D197" s="2046" t="s">
        <v>2252</v>
      </c>
      <c r="E197" s="2046" t="s">
        <v>3390</v>
      </c>
      <c r="F197" s="2046" t="s">
        <v>3391</v>
      </c>
      <c r="G197" s="2046">
        <v>9538868907</v>
      </c>
      <c r="H197" s="1810" t="s">
        <v>3392</v>
      </c>
      <c r="I197" s="2045" t="s">
        <v>3379</v>
      </c>
      <c r="J197" s="2051" t="s">
        <v>73</v>
      </c>
      <c r="K197" s="2051" t="s">
        <v>138</v>
      </c>
      <c r="L197" s="2058" t="s">
        <v>3393</v>
      </c>
      <c r="M197" s="2133">
        <v>45782</v>
      </c>
      <c r="N197" s="2043">
        <v>76440</v>
      </c>
      <c r="O197" s="2043" t="s">
        <v>30</v>
      </c>
      <c r="P197" s="2043" t="s">
        <v>37</v>
      </c>
      <c r="Q197" s="2056">
        <v>1</v>
      </c>
      <c r="R197" s="2269">
        <v>87519648</v>
      </c>
      <c r="S197" s="2043" t="s">
        <v>3394</v>
      </c>
      <c r="T197" s="2043">
        <v>76440</v>
      </c>
      <c r="U197" s="2043" t="s">
        <v>37</v>
      </c>
      <c r="V197" s="1814">
        <v>0</v>
      </c>
      <c r="W197" s="2043" t="s">
        <v>2909</v>
      </c>
      <c r="X197" s="2043" t="s">
        <v>1166</v>
      </c>
      <c r="Y197" s="2043" t="s">
        <v>1166</v>
      </c>
      <c r="Z197" s="2067" t="s">
        <v>1166</v>
      </c>
      <c r="AA197" s="2179" t="s">
        <v>1166</v>
      </c>
      <c r="AB197" s="821"/>
      <c r="AC197" s="821"/>
      <c r="AD197" s="821"/>
    </row>
    <row r="198" spans="1:30" s="259" customFormat="1" ht="18">
      <c r="A198" s="2043" t="s">
        <v>1166</v>
      </c>
      <c r="B198" s="2043"/>
      <c r="C198" s="2045" t="s">
        <v>1250</v>
      </c>
      <c r="D198" s="2046" t="s">
        <v>2252</v>
      </c>
      <c r="E198" s="2046" t="s">
        <v>3390</v>
      </c>
      <c r="F198" s="2046" t="s">
        <v>3391</v>
      </c>
      <c r="G198" s="2046">
        <v>9538868907</v>
      </c>
      <c r="H198" s="1810" t="s">
        <v>3392</v>
      </c>
      <c r="I198" s="2045" t="s">
        <v>3373</v>
      </c>
      <c r="J198" s="2051" t="s">
        <v>73</v>
      </c>
      <c r="K198" s="2051" t="s">
        <v>138</v>
      </c>
      <c r="L198" s="2058" t="s">
        <v>3393</v>
      </c>
      <c r="M198" s="2133">
        <v>45782</v>
      </c>
      <c r="N198" s="2043">
        <v>76440</v>
      </c>
      <c r="O198" s="2043" t="s">
        <v>30</v>
      </c>
      <c r="P198" s="2043" t="s">
        <v>37</v>
      </c>
      <c r="Q198" s="2056">
        <v>1</v>
      </c>
      <c r="R198" s="2269">
        <v>87519648</v>
      </c>
      <c r="S198" s="2043" t="s">
        <v>3394</v>
      </c>
      <c r="T198" s="2043">
        <v>76440</v>
      </c>
      <c r="U198" s="2043" t="s">
        <v>37</v>
      </c>
      <c r="V198" s="1814">
        <v>0</v>
      </c>
      <c r="W198" s="2043" t="s">
        <v>2909</v>
      </c>
      <c r="X198" s="2043" t="s">
        <v>1166</v>
      </c>
      <c r="Y198" s="2043" t="s">
        <v>1166</v>
      </c>
      <c r="Z198" s="2067" t="s">
        <v>1166</v>
      </c>
      <c r="AA198" s="2179" t="s">
        <v>1166</v>
      </c>
      <c r="AB198" s="821"/>
      <c r="AC198" s="821"/>
      <c r="AD198" s="821"/>
    </row>
    <row r="199" spans="1:30" s="259" customFormat="1" ht="18">
      <c r="A199" s="2043" t="s">
        <v>1166</v>
      </c>
      <c r="B199" s="2043"/>
      <c r="C199" s="2045" t="s">
        <v>1250</v>
      </c>
      <c r="D199" s="2046" t="s">
        <v>2445</v>
      </c>
      <c r="E199" s="2046" t="s">
        <v>3390</v>
      </c>
      <c r="F199" s="2046" t="s">
        <v>3391</v>
      </c>
      <c r="G199" s="2046">
        <v>9538868907</v>
      </c>
      <c r="H199" s="1810" t="s">
        <v>3392</v>
      </c>
      <c r="I199" s="2045" t="s">
        <v>3395</v>
      </c>
      <c r="J199" s="2051" t="s">
        <v>73</v>
      </c>
      <c r="K199" s="2051" t="s">
        <v>138</v>
      </c>
      <c r="L199" s="2058" t="s">
        <v>3393</v>
      </c>
      <c r="M199" s="2133">
        <v>45782</v>
      </c>
      <c r="N199" s="2043">
        <v>76440</v>
      </c>
      <c r="O199" s="2043" t="s">
        <v>30</v>
      </c>
      <c r="P199" s="2043" t="s">
        <v>37</v>
      </c>
      <c r="Q199" s="2056">
        <v>1</v>
      </c>
      <c r="R199" s="2269">
        <v>87519648</v>
      </c>
      <c r="S199" s="2043" t="s">
        <v>3394</v>
      </c>
      <c r="T199" s="2043">
        <v>76440</v>
      </c>
      <c r="U199" s="2043" t="s">
        <v>37</v>
      </c>
      <c r="V199" s="1814">
        <v>0</v>
      </c>
      <c r="W199" s="2043" t="s">
        <v>2909</v>
      </c>
      <c r="X199" s="2043" t="s">
        <v>1166</v>
      </c>
      <c r="Y199" s="2043" t="s">
        <v>1166</v>
      </c>
      <c r="Z199" s="2067" t="s">
        <v>1166</v>
      </c>
      <c r="AA199" s="2179" t="s">
        <v>1166</v>
      </c>
      <c r="AB199" s="821"/>
      <c r="AC199" s="821"/>
      <c r="AD199" s="821"/>
    </row>
    <row r="200" spans="1:30" s="259" customFormat="1" ht="18">
      <c r="A200" s="2043" t="s">
        <v>1166</v>
      </c>
      <c r="B200" s="2043"/>
      <c r="C200" s="2045" t="s">
        <v>1250</v>
      </c>
      <c r="D200" s="2046" t="s">
        <v>2252</v>
      </c>
      <c r="E200" s="2046" t="s">
        <v>3390</v>
      </c>
      <c r="F200" s="2046" t="s">
        <v>3391</v>
      </c>
      <c r="G200" s="2046">
        <v>9538868907</v>
      </c>
      <c r="H200" s="1810" t="s">
        <v>3392</v>
      </c>
      <c r="I200" s="2045" t="s">
        <v>3375</v>
      </c>
      <c r="J200" s="2051" t="s">
        <v>73</v>
      </c>
      <c r="K200" s="2051" t="s">
        <v>138</v>
      </c>
      <c r="L200" s="2058" t="s">
        <v>3393</v>
      </c>
      <c r="M200" s="2133">
        <v>45782</v>
      </c>
      <c r="N200" s="2043">
        <v>76440</v>
      </c>
      <c r="O200" s="2043" t="s">
        <v>30</v>
      </c>
      <c r="P200" s="2043" t="s">
        <v>37</v>
      </c>
      <c r="Q200" s="2056">
        <v>1</v>
      </c>
      <c r="R200" s="2269">
        <v>87519648</v>
      </c>
      <c r="S200" s="2043" t="s">
        <v>3394</v>
      </c>
      <c r="T200" s="2043">
        <v>76440</v>
      </c>
      <c r="U200" s="2043" t="s">
        <v>37</v>
      </c>
      <c r="V200" s="1814" t="s">
        <v>3396</v>
      </c>
      <c r="W200" s="2043" t="s">
        <v>2909</v>
      </c>
      <c r="X200" s="2043" t="s">
        <v>1166</v>
      </c>
      <c r="Y200" s="2043" t="s">
        <v>1166</v>
      </c>
      <c r="Z200" s="2067" t="s">
        <v>1166</v>
      </c>
      <c r="AA200" s="2179" t="s">
        <v>1166</v>
      </c>
      <c r="AB200" s="821"/>
      <c r="AC200" s="821"/>
      <c r="AD200" s="821"/>
    </row>
    <row r="201" spans="1:30" s="259" customFormat="1" ht="18">
      <c r="A201" s="2043" t="s">
        <v>1166</v>
      </c>
      <c r="B201" s="2043"/>
      <c r="C201" s="2045" t="s">
        <v>1250</v>
      </c>
      <c r="D201" s="2046" t="s">
        <v>2252</v>
      </c>
      <c r="E201" s="2046" t="s">
        <v>3390</v>
      </c>
      <c r="F201" s="2046" t="s">
        <v>3391</v>
      </c>
      <c r="G201" s="2046">
        <v>9538868907</v>
      </c>
      <c r="H201" s="1810" t="s">
        <v>3392</v>
      </c>
      <c r="I201" s="2045" t="s">
        <v>3377</v>
      </c>
      <c r="J201" s="2051" t="s">
        <v>73</v>
      </c>
      <c r="K201" s="2051" t="s">
        <v>138</v>
      </c>
      <c r="L201" s="2058" t="s">
        <v>3393</v>
      </c>
      <c r="M201" s="2133">
        <v>45782</v>
      </c>
      <c r="N201" s="2043">
        <v>76440</v>
      </c>
      <c r="O201" s="2043" t="s">
        <v>30</v>
      </c>
      <c r="P201" s="2043" t="s">
        <v>37</v>
      </c>
      <c r="Q201" s="2056">
        <v>1</v>
      </c>
      <c r="R201" s="2269">
        <v>87519648</v>
      </c>
      <c r="S201" s="2043" t="s">
        <v>3394</v>
      </c>
      <c r="T201" s="2043">
        <v>76440</v>
      </c>
      <c r="U201" s="2043" t="s">
        <v>37</v>
      </c>
      <c r="V201" s="1814">
        <v>0</v>
      </c>
      <c r="W201" s="2043" t="s">
        <v>2909</v>
      </c>
      <c r="X201" s="2043" t="s">
        <v>1166</v>
      </c>
      <c r="Y201" s="2043" t="s">
        <v>1166</v>
      </c>
      <c r="Z201" s="2067" t="s">
        <v>1166</v>
      </c>
      <c r="AA201" s="2179" t="s">
        <v>1166</v>
      </c>
      <c r="AB201" s="821"/>
      <c r="AC201" s="821"/>
      <c r="AD201" s="821"/>
    </row>
    <row r="202" spans="1:30" s="259" customFormat="1" ht="18">
      <c r="A202" s="2043" t="s">
        <v>1166</v>
      </c>
      <c r="B202" s="2043"/>
      <c r="C202" s="2045" t="s">
        <v>1250</v>
      </c>
      <c r="D202" s="2046" t="s">
        <v>2252</v>
      </c>
      <c r="E202" s="2046" t="s">
        <v>3390</v>
      </c>
      <c r="F202" s="2046" t="s">
        <v>3391</v>
      </c>
      <c r="G202" s="2046">
        <v>9538868907</v>
      </c>
      <c r="H202" s="1810" t="s">
        <v>3392</v>
      </c>
      <c r="I202" s="2045" t="s">
        <v>3397</v>
      </c>
      <c r="J202" s="2051" t="s">
        <v>73</v>
      </c>
      <c r="K202" s="2051" t="s">
        <v>138</v>
      </c>
      <c r="L202" s="2058" t="s">
        <v>3393</v>
      </c>
      <c r="M202" s="2133">
        <v>45782</v>
      </c>
      <c r="N202" s="2043">
        <v>76440</v>
      </c>
      <c r="O202" s="2043" t="s">
        <v>30</v>
      </c>
      <c r="P202" s="2043" t="s">
        <v>37</v>
      </c>
      <c r="Q202" s="2056">
        <v>1</v>
      </c>
      <c r="R202" s="2269">
        <v>87519648</v>
      </c>
      <c r="S202" s="2043" t="s">
        <v>3394</v>
      </c>
      <c r="T202" s="2043">
        <v>76440</v>
      </c>
      <c r="U202" s="2043" t="s">
        <v>37</v>
      </c>
      <c r="V202" s="1814">
        <v>0</v>
      </c>
      <c r="W202" s="2043" t="s">
        <v>2909</v>
      </c>
      <c r="X202" s="2058" t="s">
        <v>1166</v>
      </c>
      <c r="Y202" s="2043" t="s">
        <v>1166</v>
      </c>
      <c r="Z202" s="2191" t="s">
        <v>1166</v>
      </c>
      <c r="AA202" s="2179" t="s">
        <v>1166</v>
      </c>
    </row>
    <row r="203" spans="1:30" s="259" customFormat="1" ht="18">
      <c r="A203" s="2043" t="s">
        <v>1166</v>
      </c>
      <c r="B203" s="2043"/>
      <c r="C203" s="2045" t="s">
        <v>1250</v>
      </c>
      <c r="D203" s="2046" t="s">
        <v>2252</v>
      </c>
      <c r="E203" s="2046" t="s">
        <v>3390</v>
      </c>
      <c r="F203" s="2046" t="s">
        <v>3391</v>
      </c>
      <c r="G203" s="2046">
        <v>9538868907</v>
      </c>
      <c r="H203" s="1810" t="s">
        <v>3392</v>
      </c>
      <c r="I203" s="2045" t="s">
        <v>3398</v>
      </c>
      <c r="J203" s="2051" t="s">
        <v>73</v>
      </c>
      <c r="K203" s="2051" t="s">
        <v>138</v>
      </c>
      <c r="L203" s="2058" t="s">
        <v>3393</v>
      </c>
      <c r="M203" s="2133">
        <v>45782</v>
      </c>
      <c r="N203" s="2043">
        <v>76440</v>
      </c>
      <c r="O203" s="2043" t="s">
        <v>30</v>
      </c>
      <c r="P203" s="2043" t="s">
        <v>37</v>
      </c>
      <c r="Q203" s="2056">
        <v>1</v>
      </c>
      <c r="R203" s="2269">
        <v>87519648</v>
      </c>
      <c r="S203" s="2043" t="s">
        <v>3394</v>
      </c>
      <c r="T203" s="2043">
        <v>76440</v>
      </c>
      <c r="U203" s="2043" t="s">
        <v>37</v>
      </c>
      <c r="V203" s="1814">
        <v>0</v>
      </c>
      <c r="W203" s="2043" t="s">
        <v>2909</v>
      </c>
      <c r="X203" s="2043" t="s">
        <v>1166</v>
      </c>
      <c r="Y203" s="2043" t="s">
        <v>1166</v>
      </c>
      <c r="Z203" s="2067" t="s">
        <v>1166</v>
      </c>
      <c r="AA203" s="2179" t="s">
        <v>1166</v>
      </c>
    </row>
    <row r="204" spans="1:30" s="259" customFormat="1" ht="18">
      <c r="A204" s="2043" t="s">
        <v>1166</v>
      </c>
      <c r="B204" s="2043"/>
      <c r="C204" s="2045" t="s">
        <v>1250</v>
      </c>
      <c r="D204" s="2046" t="s">
        <v>2252</v>
      </c>
      <c r="E204" s="2046" t="s">
        <v>3390</v>
      </c>
      <c r="F204" s="2046" t="s">
        <v>3391</v>
      </c>
      <c r="G204" s="2046">
        <v>9538868907</v>
      </c>
      <c r="H204" s="1810" t="s">
        <v>3392</v>
      </c>
      <c r="I204" s="2045" t="s">
        <v>3399</v>
      </c>
      <c r="J204" s="2051" t="s">
        <v>73</v>
      </c>
      <c r="K204" s="2051" t="s">
        <v>138</v>
      </c>
      <c r="L204" s="2058" t="s">
        <v>3393</v>
      </c>
      <c r="M204" s="2133">
        <v>45782</v>
      </c>
      <c r="N204" s="2043">
        <v>76440</v>
      </c>
      <c r="O204" s="2043" t="s">
        <v>30</v>
      </c>
      <c r="P204" s="2043" t="s">
        <v>37</v>
      </c>
      <c r="Q204" s="2056">
        <v>1</v>
      </c>
      <c r="R204" s="2269">
        <v>87519648</v>
      </c>
      <c r="S204" s="2043" t="s">
        <v>3394</v>
      </c>
      <c r="T204" s="2043">
        <v>76440</v>
      </c>
      <c r="U204" s="2043" t="s">
        <v>37</v>
      </c>
      <c r="V204" s="1814">
        <v>0</v>
      </c>
      <c r="W204" s="2043" t="s">
        <v>2909</v>
      </c>
      <c r="X204" s="2043" t="s">
        <v>1166</v>
      </c>
      <c r="Y204" s="2043" t="s">
        <v>1166</v>
      </c>
      <c r="Z204" s="2067" t="s">
        <v>1166</v>
      </c>
      <c r="AA204" s="2179" t="s">
        <v>1166</v>
      </c>
    </row>
    <row r="205" spans="1:30" s="259" customFormat="1" ht="18">
      <c r="A205" s="2043" t="s">
        <v>1166</v>
      </c>
      <c r="B205" s="2043"/>
      <c r="C205" s="2045" t="s">
        <v>1250</v>
      </c>
      <c r="D205" s="2046" t="s">
        <v>2252</v>
      </c>
      <c r="E205" s="2046" t="s">
        <v>3390</v>
      </c>
      <c r="F205" s="2046" t="s">
        <v>3391</v>
      </c>
      <c r="G205" s="2046">
        <v>9538868907</v>
      </c>
      <c r="H205" s="1810" t="s">
        <v>3392</v>
      </c>
      <c r="I205" s="2045" t="s">
        <v>3289</v>
      </c>
      <c r="J205" s="2051" t="s">
        <v>73</v>
      </c>
      <c r="K205" s="2051" t="s">
        <v>138</v>
      </c>
      <c r="L205" s="2058" t="s">
        <v>3393</v>
      </c>
      <c r="M205" s="2133">
        <v>45782</v>
      </c>
      <c r="N205" s="2043">
        <v>76440</v>
      </c>
      <c r="O205" s="2043" t="s">
        <v>30</v>
      </c>
      <c r="P205" s="2043" t="s">
        <v>37</v>
      </c>
      <c r="Q205" s="2056">
        <v>1</v>
      </c>
      <c r="R205" s="2269">
        <v>87519648</v>
      </c>
      <c r="S205" s="2043" t="s">
        <v>3394</v>
      </c>
      <c r="T205" s="2043">
        <v>76440</v>
      </c>
      <c r="U205" s="2043" t="s">
        <v>37</v>
      </c>
      <c r="V205" s="1814">
        <v>0</v>
      </c>
      <c r="W205" s="2043" t="s">
        <v>2909</v>
      </c>
      <c r="X205" s="2043" t="s">
        <v>1166</v>
      </c>
      <c r="Y205" s="2043" t="s">
        <v>1166</v>
      </c>
      <c r="Z205" s="2067" t="s">
        <v>1166</v>
      </c>
      <c r="AA205" s="2179" t="s">
        <v>1166</v>
      </c>
    </row>
    <row r="206" spans="1:30" s="259" customFormat="1" ht="18">
      <c r="A206" s="2043" t="s">
        <v>1166</v>
      </c>
      <c r="B206" s="2043"/>
      <c r="C206" s="2045" t="s">
        <v>1250</v>
      </c>
      <c r="D206" s="2046" t="s">
        <v>2252</v>
      </c>
      <c r="E206" s="2046" t="s">
        <v>3390</v>
      </c>
      <c r="F206" s="2046" t="s">
        <v>3391</v>
      </c>
      <c r="G206" s="2046">
        <v>9538868907</v>
      </c>
      <c r="H206" s="1810" t="s">
        <v>3392</v>
      </c>
      <c r="I206" s="2045" t="s">
        <v>3400</v>
      </c>
      <c r="J206" s="2051" t="s">
        <v>73</v>
      </c>
      <c r="K206" s="2051" t="s">
        <v>138</v>
      </c>
      <c r="L206" s="2058" t="s">
        <v>3393</v>
      </c>
      <c r="M206" s="2133">
        <v>45782</v>
      </c>
      <c r="N206" s="2043">
        <v>76440</v>
      </c>
      <c r="O206" s="2043" t="s">
        <v>30</v>
      </c>
      <c r="P206" s="2043" t="s">
        <v>37</v>
      </c>
      <c r="Q206" s="2056">
        <v>1</v>
      </c>
      <c r="R206" s="2269">
        <v>87519648</v>
      </c>
      <c r="S206" s="2043" t="s">
        <v>3394</v>
      </c>
      <c r="T206" s="2043">
        <v>76440</v>
      </c>
      <c r="U206" s="2043" t="s">
        <v>37</v>
      </c>
      <c r="V206" s="1814">
        <v>0</v>
      </c>
      <c r="W206" s="2043" t="s">
        <v>2909</v>
      </c>
      <c r="X206" s="2043" t="s">
        <v>1166</v>
      </c>
      <c r="Y206" s="2043" t="s">
        <v>1166</v>
      </c>
      <c r="Z206" s="2067" t="s">
        <v>1166</v>
      </c>
      <c r="AA206" s="2179" t="s">
        <v>1166</v>
      </c>
    </row>
    <row r="207" spans="1:30" s="259" customFormat="1" ht="18">
      <c r="A207" s="2043" t="s">
        <v>1166</v>
      </c>
      <c r="B207" s="2043"/>
      <c r="C207" s="2045" t="s">
        <v>1250</v>
      </c>
      <c r="D207" s="2046" t="s">
        <v>2252</v>
      </c>
      <c r="E207" s="2046" t="s">
        <v>3390</v>
      </c>
      <c r="F207" s="2046" t="s">
        <v>3391</v>
      </c>
      <c r="G207" s="2046">
        <v>9538868907</v>
      </c>
      <c r="H207" s="1810" t="s">
        <v>3392</v>
      </c>
      <c r="I207" s="2045" t="s">
        <v>3384</v>
      </c>
      <c r="J207" s="2051" t="s">
        <v>73</v>
      </c>
      <c r="K207" s="2051" t="s">
        <v>138</v>
      </c>
      <c r="L207" s="2058" t="s">
        <v>3393</v>
      </c>
      <c r="M207" s="2133">
        <v>45782</v>
      </c>
      <c r="N207" s="2043">
        <v>76440</v>
      </c>
      <c r="O207" s="2043" t="s">
        <v>30</v>
      </c>
      <c r="P207" s="2043" t="s">
        <v>37</v>
      </c>
      <c r="Q207" s="2056">
        <v>1</v>
      </c>
      <c r="R207" s="2269">
        <v>87519648</v>
      </c>
      <c r="S207" s="2043" t="s">
        <v>3394</v>
      </c>
      <c r="T207" s="2043">
        <v>76440</v>
      </c>
      <c r="U207" s="2043" t="s">
        <v>37</v>
      </c>
      <c r="V207" s="1814">
        <v>0</v>
      </c>
      <c r="W207" s="2043" t="s">
        <v>2909</v>
      </c>
      <c r="X207" s="2043" t="s">
        <v>1166</v>
      </c>
      <c r="Y207" s="2043" t="s">
        <v>1166</v>
      </c>
      <c r="Z207" s="2067" t="s">
        <v>1166</v>
      </c>
      <c r="AA207" s="2179" t="s">
        <v>1166</v>
      </c>
    </row>
    <row r="208" spans="1:30" s="259" customFormat="1" ht="18">
      <c r="A208" s="2043" t="s">
        <v>1166</v>
      </c>
      <c r="B208" s="2043"/>
      <c r="C208" s="2045" t="s">
        <v>1250</v>
      </c>
      <c r="D208" s="2046" t="s">
        <v>2252</v>
      </c>
      <c r="E208" s="2046" t="s">
        <v>3390</v>
      </c>
      <c r="F208" s="2046" t="s">
        <v>3391</v>
      </c>
      <c r="G208" s="2046">
        <v>9538868907</v>
      </c>
      <c r="H208" s="1810" t="s">
        <v>3392</v>
      </c>
      <c r="I208" s="2045" t="s">
        <v>3401</v>
      </c>
      <c r="J208" s="2051" t="s">
        <v>73</v>
      </c>
      <c r="K208" s="2051" t="s">
        <v>138</v>
      </c>
      <c r="L208" s="2058" t="s">
        <v>3393</v>
      </c>
      <c r="M208" s="2133">
        <v>45782</v>
      </c>
      <c r="N208" s="2043">
        <v>76440</v>
      </c>
      <c r="O208" s="2043" t="s">
        <v>30</v>
      </c>
      <c r="P208" s="2043" t="s">
        <v>37</v>
      </c>
      <c r="Q208" s="2056">
        <v>1</v>
      </c>
      <c r="R208" s="2269">
        <v>87519648</v>
      </c>
      <c r="S208" s="2043" t="s">
        <v>3394</v>
      </c>
      <c r="T208" s="2043">
        <v>76440</v>
      </c>
      <c r="U208" s="2043" t="s">
        <v>37</v>
      </c>
      <c r="V208" s="1814">
        <v>0</v>
      </c>
      <c r="W208" s="2043" t="s">
        <v>2909</v>
      </c>
      <c r="X208" s="2043" t="s">
        <v>1166</v>
      </c>
      <c r="Y208" s="2043" t="s">
        <v>1166</v>
      </c>
      <c r="Z208" s="2067" t="s">
        <v>1166</v>
      </c>
      <c r="AA208" s="2179" t="s">
        <v>1166</v>
      </c>
    </row>
    <row r="209" spans="1:27" s="259" customFormat="1" ht="18">
      <c r="A209" s="2043" t="s">
        <v>1166</v>
      </c>
      <c r="B209" s="2043"/>
      <c r="C209" s="2045" t="s">
        <v>1250</v>
      </c>
      <c r="D209" s="2046" t="s">
        <v>2252</v>
      </c>
      <c r="E209" s="2046" t="s">
        <v>3390</v>
      </c>
      <c r="F209" s="2046" t="s">
        <v>3391</v>
      </c>
      <c r="G209" s="2046">
        <v>9538868907</v>
      </c>
      <c r="H209" s="1810" t="s">
        <v>3392</v>
      </c>
      <c r="I209" s="2045" t="s">
        <v>3402</v>
      </c>
      <c r="J209" s="2051" t="s">
        <v>73</v>
      </c>
      <c r="K209" s="2051" t="s">
        <v>138</v>
      </c>
      <c r="L209" s="2058" t="s">
        <v>3393</v>
      </c>
      <c r="M209" s="2133">
        <v>45782</v>
      </c>
      <c r="N209" s="2043">
        <v>76440</v>
      </c>
      <c r="O209" s="2043" t="s">
        <v>30</v>
      </c>
      <c r="P209" s="2043" t="s">
        <v>37</v>
      </c>
      <c r="Q209" s="2056">
        <v>1</v>
      </c>
      <c r="R209" s="2269">
        <v>87519648</v>
      </c>
      <c r="S209" s="2043" t="s">
        <v>3394</v>
      </c>
      <c r="T209" s="2043">
        <v>76440</v>
      </c>
      <c r="U209" s="2043" t="s">
        <v>37</v>
      </c>
      <c r="V209" s="1814">
        <v>0</v>
      </c>
      <c r="W209" s="2043" t="s">
        <v>2909</v>
      </c>
      <c r="X209" s="2043" t="s">
        <v>1166</v>
      </c>
      <c r="Y209" s="2043" t="s">
        <v>1166</v>
      </c>
      <c r="Z209" s="2067" t="s">
        <v>1166</v>
      </c>
      <c r="AA209" s="2179" t="s">
        <v>1166</v>
      </c>
    </row>
    <row r="210" spans="1:27" s="259" customFormat="1" ht="18">
      <c r="A210" s="2043" t="s">
        <v>1166</v>
      </c>
      <c r="B210" s="2043"/>
      <c r="C210" s="2045" t="s">
        <v>1250</v>
      </c>
      <c r="D210" s="2046" t="s">
        <v>2252</v>
      </c>
      <c r="E210" s="2046" t="s">
        <v>3390</v>
      </c>
      <c r="F210" s="2046" t="s">
        <v>3391</v>
      </c>
      <c r="G210" s="2046">
        <v>9538868907</v>
      </c>
      <c r="H210" s="1810" t="s">
        <v>3392</v>
      </c>
      <c r="I210" s="2045" t="s">
        <v>3289</v>
      </c>
      <c r="J210" s="2051" t="s">
        <v>73</v>
      </c>
      <c r="K210" s="2051" t="s">
        <v>138</v>
      </c>
      <c r="L210" s="2058" t="s">
        <v>3393</v>
      </c>
      <c r="M210" s="2133">
        <v>45782</v>
      </c>
      <c r="N210" s="2043">
        <v>76440</v>
      </c>
      <c r="O210" s="2043" t="s">
        <v>30</v>
      </c>
      <c r="P210" s="2043" t="s">
        <v>37</v>
      </c>
      <c r="Q210" s="2056">
        <v>1</v>
      </c>
      <c r="R210" s="2269">
        <v>87519648</v>
      </c>
      <c r="S210" s="2043" t="s">
        <v>3394</v>
      </c>
      <c r="T210" s="2043">
        <v>76440</v>
      </c>
      <c r="U210" s="2043" t="s">
        <v>37</v>
      </c>
      <c r="V210" s="1814">
        <v>0</v>
      </c>
      <c r="W210" s="2043" t="s">
        <v>2909</v>
      </c>
      <c r="X210" s="2043" t="s">
        <v>1166</v>
      </c>
      <c r="Y210" s="2043" t="s">
        <v>1166</v>
      </c>
      <c r="Z210" s="2067" t="s">
        <v>1166</v>
      </c>
      <c r="AA210" s="2179" t="s">
        <v>1166</v>
      </c>
    </row>
    <row r="211" spans="1:27" s="259" customFormat="1" ht="18">
      <c r="A211" s="2043" t="s">
        <v>1166</v>
      </c>
      <c r="B211" s="2043"/>
      <c r="C211" s="2045" t="s">
        <v>1250</v>
      </c>
      <c r="D211" s="2046" t="s">
        <v>2252</v>
      </c>
      <c r="E211" s="2046" t="s">
        <v>3390</v>
      </c>
      <c r="F211" s="2046" t="s">
        <v>3391</v>
      </c>
      <c r="G211" s="2046">
        <v>9538868907</v>
      </c>
      <c r="H211" s="1810" t="s">
        <v>3392</v>
      </c>
      <c r="I211" s="2045" t="s">
        <v>3403</v>
      </c>
      <c r="J211" s="2051" t="s">
        <v>73</v>
      </c>
      <c r="K211" s="2051" t="s">
        <v>138</v>
      </c>
      <c r="L211" s="2058" t="s">
        <v>3393</v>
      </c>
      <c r="M211" s="2133">
        <v>45782</v>
      </c>
      <c r="N211" s="2043">
        <v>76440</v>
      </c>
      <c r="O211" s="2043" t="s">
        <v>30</v>
      </c>
      <c r="P211" s="2043" t="s">
        <v>37</v>
      </c>
      <c r="Q211" s="2056">
        <v>1</v>
      </c>
      <c r="R211" s="2269">
        <v>87519648</v>
      </c>
      <c r="S211" s="2043" t="s">
        <v>3394</v>
      </c>
      <c r="T211" s="2043">
        <v>76440</v>
      </c>
      <c r="U211" s="2043" t="s">
        <v>37</v>
      </c>
      <c r="V211" s="1814">
        <v>0</v>
      </c>
      <c r="W211" s="2043" t="s">
        <v>2909</v>
      </c>
      <c r="X211" s="2043" t="s">
        <v>1166</v>
      </c>
      <c r="Y211" s="2043" t="s">
        <v>1166</v>
      </c>
      <c r="Z211" s="2067" t="s">
        <v>1166</v>
      </c>
      <c r="AA211" s="2179" t="s">
        <v>1166</v>
      </c>
    </row>
    <row r="212" spans="1:27" s="259" customFormat="1" ht="18">
      <c r="A212" s="2043">
        <v>82</v>
      </c>
      <c r="B212" s="2138">
        <v>45783</v>
      </c>
      <c r="C212" s="2045" t="s">
        <v>3051</v>
      </c>
      <c r="D212" s="2046" t="s">
        <v>2252</v>
      </c>
      <c r="E212" s="2105" t="s">
        <v>954</v>
      </c>
      <c r="F212" s="2106" t="s">
        <v>3052</v>
      </c>
      <c r="G212" s="2106">
        <v>9663804313</v>
      </c>
      <c r="H212" s="1801" t="s">
        <v>3053</v>
      </c>
      <c r="I212" s="2045" t="s">
        <v>3057</v>
      </c>
      <c r="J212" s="2051" t="s">
        <v>81</v>
      </c>
      <c r="K212" s="2051" t="s">
        <v>157</v>
      </c>
      <c r="L212" s="2058" t="s">
        <v>3404</v>
      </c>
      <c r="M212" s="2133">
        <v>45782</v>
      </c>
      <c r="N212" s="2043">
        <v>238000</v>
      </c>
      <c r="O212" s="2043" t="s">
        <v>30</v>
      </c>
      <c r="P212" s="2043" t="s">
        <v>34</v>
      </c>
      <c r="Q212" s="2056">
        <v>0.5</v>
      </c>
      <c r="R212" s="2057">
        <v>4200274106</v>
      </c>
      <c r="S212" s="2043" t="s">
        <v>3405</v>
      </c>
      <c r="T212" s="2043">
        <v>218000</v>
      </c>
      <c r="U212" s="2043" t="s">
        <v>30</v>
      </c>
      <c r="V212" s="1814">
        <v>0</v>
      </c>
      <c r="W212" s="2043" t="s">
        <v>2909</v>
      </c>
      <c r="X212" s="2043" t="s">
        <v>1166</v>
      </c>
      <c r="Y212" s="2043" t="s">
        <v>1166</v>
      </c>
      <c r="Z212" s="2067" t="s">
        <v>1166</v>
      </c>
      <c r="AA212" s="2179" t="s">
        <v>1166</v>
      </c>
    </row>
    <row r="213" spans="1:27" s="259" customFormat="1" ht="15.75" customHeight="1">
      <c r="A213" s="2043">
        <v>83</v>
      </c>
      <c r="B213" s="2138">
        <v>45779</v>
      </c>
      <c r="C213" s="2046" t="s">
        <v>3130</v>
      </c>
      <c r="D213" s="2045" t="s">
        <v>2252</v>
      </c>
      <c r="E213" s="2045" t="s">
        <v>3086</v>
      </c>
      <c r="F213" s="2045" t="s">
        <v>3131</v>
      </c>
      <c r="G213" s="2045">
        <v>8147685871</v>
      </c>
      <c r="H213" s="1845" t="s">
        <v>3132</v>
      </c>
      <c r="I213" s="2046" t="s">
        <v>3133</v>
      </c>
      <c r="J213" s="2046" t="s">
        <v>75</v>
      </c>
      <c r="K213" s="2046" t="s">
        <v>157</v>
      </c>
      <c r="L213" s="2046" t="s">
        <v>3406</v>
      </c>
      <c r="M213" s="2133">
        <v>45659</v>
      </c>
      <c r="N213" s="2043">
        <v>45396</v>
      </c>
      <c r="O213" s="2043" t="s">
        <v>18</v>
      </c>
      <c r="P213" s="2043" t="s">
        <v>39</v>
      </c>
      <c r="Q213" s="2056">
        <v>0.6</v>
      </c>
      <c r="R213" s="2132" t="s">
        <v>3407</v>
      </c>
      <c r="S213" s="2713">
        <v>45813</v>
      </c>
      <c r="T213" s="2146">
        <v>45936</v>
      </c>
      <c r="U213" s="2043" t="s">
        <v>30</v>
      </c>
      <c r="V213" s="1797">
        <v>0</v>
      </c>
      <c r="W213" s="2043" t="s">
        <v>2909</v>
      </c>
      <c r="X213" s="2043" t="s">
        <v>1166</v>
      </c>
      <c r="Y213" s="2043" t="s">
        <v>1166</v>
      </c>
      <c r="Z213" s="2067" t="s">
        <v>157</v>
      </c>
      <c r="AA213" s="2179" t="s">
        <v>157</v>
      </c>
    </row>
    <row r="214" spans="1:27" s="259" customFormat="1" ht="18">
      <c r="A214" s="1248">
        <v>84</v>
      </c>
      <c r="B214" s="1248" t="s">
        <v>3408</v>
      </c>
      <c r="C214" s="1252" t="s">
        <v>1250</v>
      </c>
      <c r="D214" s="1246" t="s">
        <v>2252</v>
      </c>
      <c r="E214" s="1246" t="s">
        <v>3409</v>
      </c>
      <c r="F214" s="1246" t="s">
        <v>3410</v>
      </c>
      <c r="G214" s="1246">
        <v>9620228907</v>
      </c>
      <c r="H214" s="1142" t="s">
        <v>3411</v>
      </c>
      <c r="I214" s="1252" t="s">
        <v>3412</v>
      </c>
      <c r="J214" s="1247" t="s">
        <v>73</v>
      </c>
      <c r="K214" s="1247" t="s">
        <v>138</v>
      </c>
      <c r="L214" s="1249" t="s">
        <v>3413</v>
      </c>
      <c r="M214" s="2188">
        <v>45905</v>
      </c>
      <c r="N214" s="1248">
        <v>76440</v>
      </c>
      <c r="O214" s="1248" t="s">
        <v>30</v>
      </c>
      <c r="P214" s="1248" t="s">
        <v>37</v>
      </c>
      <c r="Q214" s="2189">
        <v>0.9</v>
      </c>
      <c r="R214" s="2019">
        <v>85407024</v>
      </c>
      <c r="S214" s="2187">
        <v>45827</v>
      </c>
      <c r="T214" s="1248">
        <v>76440</v>
      </c>
      <c r="U214" s="1248" t="s">
        <v>37</v>
      </c>
      <c r="V214" s="1844">
        <v>0</v>
      </c>
      <c r="W214" s="1248" t="s">
        <v>2909</v>
      </c>
      <c r="X214" s="1248" t="s">
        <v>1166</v>
      </c>
      <c r="Y214" s="1248" t="s">
        <v>1166</v>
      </c>
      <c r="Z214" s="2163" t="s">
        <v>1166</v>
      </c>
      <c r="AA214" s="2190" t="s">
        <v>1166</v>
      </c>
    </row>
    <row r="215" spans="1:27" s="259" customFormat="1" ht="18">
      <c r="A215" s="2043">
        <v>85</v>
      </c>
      <c r="B215" s="2043" t="s">
        <v>3408</v>
      </c>
      <c r="C215" s="2045" t="s">
        <v>1250</v>
      </c>
      <c r="D215" s="2046" t="s">
        <v>2252</v>
      </c>
      <c r="E215" s="2046" t="s">
        <v>3414</v>
      </c>
      <c r="F215" s="2046" t="s">
        <v>3415</v>
      </c>
      <c r="G215" s="2046">
        <v>9845202031</v>
      </c>
      <c r="H215" s="1810" t="s">
        <v>3416</v>
      </c>
      <c r="I215" s="2045" t="s">
        <v>2927</v>
      </c>
      <c r="J215" s="2051" t="s">
        <v>73</v>
      </c>
      <c r="K215" s="2051" t="s">
        <v>138</v>
      </c>
      <c r="L215" s="2058" t="s">
        <v>3417</v>
      </c>
      <c r="M215" s="2133">
        <v>45905</v>
      </c>
      <c r="N215" s="2043">
        <v>76440</v>
      </c>
      <c r="O215" s="2043" t="s">
        <v>30</v>
      </c>
      <c r="P215" s="2043" t="s">
        <v>30</v>
      </c>
      <c r="Q215" s="2056">
        <v>0.9</v>
      </c>
      <c r="R215" s="2057">
        <v>4500049503</v>
      </c>
      <c r="S215" s="2043" t="s">
        <v>3405</v>
      </c>
      <c r="T215" s="2043">
        <v>76440</v>
      </c>
      <c r="U215" s="2043" t="s">
        <v>30</v>
      </c>
      <c r="V215" s="1814">
        <v>0</v>
      </c>
      <c r="W215" s="2043" t="s">
        <v>2909</v>
      </c>
      <c r="X215" s="2043" t="s">
        <v>1166</v>
      </c>
      <c r="Y215" s="2043" t="s">
        <v>1166</v>
      </c>
      <c r="Z215" s="2067" t="s">
        <v>1166</v>
      </c>
      <c r="AA215" s="2179" t="s">
        <v>1166</v>
      </c>
    </row>
    <row r="216" spans="1:27" s="259" customFormat="1" ht="18">
      <c r="A216" s="2043" t="s">
        <v>1166</v>
      </c>
      <c r="B216" s="2043"/>
      <c r="C216" s="2045" t="s">
        <v>1250</v>
      </c>
      <c r="D216" s="2046" t="s">
        <v>2252</v>
      </c>
      <c r="E216" s="2046" t="s">
        <v>3414</v>
      </c>
      <c r="F216" s="2046" t="s">
        <v>3415</v>
      </c>
      <c r="G216" s="2046">
        <v>9845202031</v>
      </c>
      <c r="H216" s="1810" t="s">
        <v>3416</v>
      </c>
      <c r="I216" s="2045" t="s">
        <v>3418</v>
      </c>
      <c r="J216" s="2051" t="s">
        <v>73</v>
      </c>
      <c r="K216" s="2051" t="s">
        <v>138</v>
      </c>
      <c r="L216" s="2058" t="s">
        <v>3417</v>
      </c>
      <c r="M216" s="2133">
        <v>45905</v>
      </c>
      <c r="N216" s="2043">
        <v>76440</v>
      </c>
      <c r="O216" s="2043" t="s">
        <v>30</v>
      </c>
      <c r="P216" s="2043" t="s">
        <v>30</v>
      </c>
      <c r="Q216" s="2056">
        <v>0.9</v>
      </c>
      <c r="R216" s="2057">
        <v>4500049503</v>
      </c>
      <c r="S216" s="2043" t="s">
        <v>3405</v>
      </c>
      <c r="T216" s="2043">
        <v>76440</v>
      </c>
      <c r="U216" s="2043" t="s">
        <v>30</v>
      </c>
      <c r="V216" s="1814">
        <v>0</v>
      </c>
      <c r="W216" s="2043" t="s">
        <v>2909</v>
      </c>
      <c r="X216" s="2043" t="s">
        <v>1166</v>
      </c>
      <c r="Y216" s="2043" t="s">
        <v>1166</v>
      </c>
      <c r="Z216" s="2067" t="s">
        <v>1166</v>
      </c>
      <c r="AA216" s="2179" t="s">
        <v>1166</v>
      </c>
    </row>
    <row r="217" spans="1:27" s="259" customFormat="1" ht="18">
      <c r="A217" s="2043">
        <v>86</v>
      </c>
      <c r="B217" s="2043" t="s">
        <v>3408</v>
      </c>
      <c r="C217" s="2045" t="s">
        <v>1250</v>
      </c>
      <c r="D217" s="2046" t="s">
        <v>2252</v>
      </c>
      <c r="E217" s="2046" t="s">
        <v>3419</v>
      </c>
      <c r="F217" s="2046" t="s">
        <v>2925</v>
      </c>
      <c r="G217" s="2046">
        <v>9845769113</v>
      </c>
      <c r="H217" s="1810" t="s">
        <v>2926</v>
      </c>
      <c r="I217" s="2045" t="s">
        <v>3420</v>
      </c>
      <c r="J217" s="2051" t="s">
        <v>73</v>
      </c>
      <c r="K217" s="2051" t="s">
        <v>138</v>
      </c>
      <c r="L217" s="2058" t="s">
        <v>3421</v>
      </c>
      <c r="M217" s="2133">
        <v>45905</v>
      </c>
      <c r="N217" s="2043">
        <v>76440</v>
      </c>
      <c r="O217" s="2043" t="s">
        <v>30</v>
      </c>
      <c r="P217" s="2043" t="s">
        <v>34</v>
      </c>
      <c r="Q217" s="2056">
        <v>0.9</v>
      </c>
      <c r="R217" s="2269">
        <v>4500049533</v>
      </c>
      <c r="S217" s="2135">
        <v>45694</v>
      </c>
      <c r="T217" s="2043">
        <v>76440</v>
      </c>
      <c r="U217" s="2043" t="s">
        <v>34</v>
      </c>
      <c r="V217" s="1814">
        <v>0</v>
      </c>
      <c r="W217" s="2043" t="s">
        <v>2909</v>
      </c>
      <c r="X217" s="2043" t="s">
        <v>1166</v>
      </c>
      <c r="Y217" s="2043" t="s">
        <v>1166</v>
      </c>
      <c r="Z217" s="2067" t="s">
        <v>1166</v>
      </c>
      <c r="AA217" s="2179" t="s">
        <v>1166</v>
      </c>
    </row>
    <row r="218" spans="1:27" s="259" customFormat="1" ht="18">
      <c r="A218" s="2043" t="s">
        <v>1166</v>
      </c>
      <c r="B218" s="2043"/>
      <c r="C218" s="2045" t="s">
        <v>1250</v>
      </c>
      <c r="D218" s="2046" t="s">
        <v>2252</v>
      </c>
      <c r="E218" s="2046" t="s">
        <v>3419</v>
      </c>
      <c r="F218" s="2046" t="s">
        <v>2925</v>
      </c>
      <c r="G218" s="2046">
        <v>9845769113</v>
      </c>
      <c r="H218" s="1810" t="s">
        <v>2926</v>
      </c>
      <c r="I218" s="2045" t="s">
        <v>3422</v>
      </c>
      <c r="J218" s="2051" t="s">
        <v>73</v>
      </c>
      <c r="K218" s="2051" t="s">
        <v>138</v>
      </c>
      <c r="L218" s="2058" t="s">
        <v>3421</v>
      </c>
      <c r="M218" s="2133">
        <v>45905</v>
      </c>
      <c r="N218" s="2043">
        <v>76440</v>
      </c>
      <c r="O218" s="2043" t="s">
        <v>30</v>
      </c>
      <c r="P218" s="2043" t="s">
        <v>34</v>
      </c>
      <c r="Q218" s="2056">
        <v>0.9</v>
      </c>
      <c r="R218" s="2269">
        <v>4500049533</v>
      </c>
      <c r="S218" s="2135">
        <v>45694</v>
      </c>
      <c r="T218" s="2043">
        <v>76440</v>
      </c>
      <c r="U218" s="2043" t="s">
        <v>34</v>
      </c>
      <c r="V218" s="1814">
        <v>0</v>
      </c>
      <c r="W218" s="2043" t="s">
        <v>2909</v>
      </c>
      <c r="X218" s="2043" t="s">
        <v>1166</v>
      </c>
      <c r="Y218" s="2043" t="s">
        <v>1166</v>
      </c>
      <c r="Z218" s="2067" t="s">
        <v>1166</v>
      </c>
      <c r="AA218" s="2179" t="s">
        <v>1166</v>
      </c>
    </row>
    <row r="219" spans="1:27" s="918" customFormat="1" ht="18">
      <c r="A219" s="2043">
        <v>87</v>
      </c>
      <c r="B219" s="2043" t="s">
        <v>3408</v>
      </c>
      <c r="C219" s="2045" t="s">
        <v>2938</v>
      </c>
      <c r="D219" s="2046" t="s">
        <v>2252</v>
      </c>
      <c r="E219" s="2046" t="s">
        <v>873</v>
      </c>
      <c r="F219" s="2046" t="s">
        <v>3350</v>
      </c>
      <c r="G219" s="2046">
        <v>6366560432</v>
      </c>
      <c r="H219" s="2183" t="s">
        <v>3351</v>
      </c>
      <c r="I219" s="2045" t="s">
        <v>2941</v>
      </c>
      <c r="J219" s="2051" t="s">
        <v>74</v>
      </c>
      <c r="K219" s="2051" t="s">
        <v>138</v>
      </c>
      <c r="L219" s="2058" t="s">
        <v>3423</v>
      </c>
      <c r="M219" s="2131" t="s">
        <v>3424</v>
      </c>
      <c r="N219" s="2043">
        <v>38280</v>
      </c>
      <c r="O219" s="2043" t="s">
        <v>30</v>
      </c>
      <c r="P219" s="2043" t="s">
        <v>30</v>
      </c>
      <c r="Q219" s="2056">
        <v>1</v>
      </c>
      <c r="R219" s="2132">
        <v>3300013355</v>
      </c>
      <c r="S219" s="2043" t="s">
        <v>3425</v>
      </c>
      <c r="T219" s="2043">
        <v>38280</v>
      </c>
      <c r="U219" s="2043" t="s">
        <v>30</v>
      </c>
      <c r="V219" s="1814">
        <v>0</v>
      </c>
      <c r="W219" s="2043" t="s">
        <v>2909</v>
      </c>
      <c r="X219" s="2043" t="s">
        <v>1166</v>
      </c>
      <c r="Y219" s="2043" t="s">
        <v>1166</v>
      </c>
      <c r="Z219" s="2067" t="s">
        <v>1166</v>
      </c>
      <c r="AA219" s="2179" t="s">
        <v>1166</v>
      </c>
    </row>
    <row r="220" spans="1:27" s="259" customFormat="1" ht="18">
      <c r="A220" s="2043">
        <v>88</v>
      </c>
      <c r="B220" s="2043" t="s">
        <v>3408</v>
      </c>
      <c r="C220" s="2045" t="s">
        <v>1250</v>
      </c>
      <c r="D220" s="2046" t="s">
        <v>2252</v>
      </c>
      <c r="E220" s="2046" t="s">
        <v>3381</v>
      </c>
      <c r="F220" s="2046" t="s">
        <v>3382</v>
      </c>
      <c r="G220" s="2046">
        <v>6366901263</v>
      </c>
      <c r="H220" s="1810" t="s">
        <v>3383</v>
      </c>
      <c r="I220" s="2045" t="s">
        <v>3384</v>
      </c>
      <c r="J220" s="2051" t="s">
        <v>81</v>
      </c>
      <c r="K220" s="2051" t="s">
        <v>157</v>
      </c>
      <c r="L220" s="2058" t="s">
        <v>3426</v>
      </c>
      <c r="M220" s="2131" t="s">
        <v>3222</v>
      </c>
      <c r="N220" s="2043">
        <v>287000</v>
      </c>
      <c r="O220" s="2043" t="s">
        <v>30</v>
      </c>
      <c r="P220" s="2043" t="s">
        <v>37</v>
      </c>
      <c r="Q220" s="2056">
        <v>0.8</v>
      </c>
      <c r="R220" s="2132">
        <v>85407922</v>
      </c>
      <c r="S220" s="2043" t="s">
        <v>3427</v>
      </c>
      <c r="T220" s="2043">
        <v>287000</v>
      </c>
      <c r="U220" s="2043" t="s">
        <v>37</v>
      </c>
      <c r="V220" s="1814">
        <v>0</v>
      </c>
      <c r="W220" s="2043" t="s">
        <v>1323</v>
      </c>
      <c r="X220" s="2043" t="s">
        <v>1166</v>
      </c>
      <c r="Y220" s="2043" t="s">
        <v>1166</v>
      </c>
      <c r="Z220" s="2067" t="s">
        <v>1166</v>
      </c>
      <c r="AA220" s="2179" t="s">
        <v>1166</v>
      </c>
    </row>
    <row r="221" spans="1:27" s="259" customFormat="1" ht="18">
      <c r="A221" s="2043">
        <v>89</v>
      </c>
      <c r="B221" s="2043" t="s">
        <v>3408</v>
      </c>
      <c r="C221" s="2045" t="s">
        <v>1250</v>
      </c>
      <c r="D221" s="2046" t="s">
        <v>2252</v>
      </c>
      <c r="E221" s="2046" t="s">
        <v>3357</v>
      </c>
      <c r="F221" s="2046" t="s">
        <v>3358</v>
      </c>
      <c r="G221" s="2046">
        <v>8147178373</v>
      </c>
      <c r="H221" s="1810" t="s">
        <v>3359</v>
      </c>
      <c r="I221" s="2045" t="s">
        <v>3428</v>
      </c>
      <c r="J221" s="2051" t="s">
        <v>75</v>
      </c>
      <c r="K221" s="2051" t="s">
        <v>157</v>
      </c>
      <c r="L221" s="2058" t="s">
        <v>3429</v>
      </c>
      <c r="M221" s="2131" t="s">
        <v>3408</v>
      </c>
      <c r="N221" s="2043">
        <v>270900</v>
      </c>
      <c r="O221" s="2043" t="s">
        <v>30</v>
      </c>
      <c r="P221" s="2043" t="s">
        <v>37</v>
      </c>
      <c r="Q221" s="2056">
        <v>0.6</v>
      </c>
      <c r="R221" s="2132">
        <v>85403322</v>
      </c>
      <c r="S221" s="2043" t="s">
        <v>3121</v>
      </c>
      <c r="T221" s="2043">
        <v>270900</v>
      </c>
      <c r="U221" s="2043" t="s">
        <v>34</v>
      </c>
      <c r="V221" s="1814">
        <v>0</v>
      </c>
      <c r="W221" s="2043" t="s">
        <v>1323</v>
      </c>
      <c r="X221" s="2043" t="s">
        <v>1166</v>
      </c>
      <c r="Y221" s="2043" t="s">
        <v>1166</v>
      </c>
      <c r="Z221" s="2067" t="s">
        <v>1166</v>
      </c>
      <c r="AA221" s="2179" t="s">
        <v>1166</v>
      </c>
    </row>
    <row r="222" spans="1:27" s="259" customFormat="1" ht="18">
      <c r="A222" s="2069">
        <v>90</v>
      </c>
      <c r="B222" s="2069"/>
      <c r="C222" s="2170" t="s">
        <v>614</v>
      </c>
      <c r="D222" s="2070" t="s">
        <v>2932</v>
      </c>
      <c r="E222" s="2070" t="s">
        <v>954</v>
      </c>
      <c r="F222" s="2108" t="s">
        <v>3118</v>
      </c>
      <c r="G222" s="2170">
        <v>9492487256</v>
      </c>
      <c r="H222" s="1846" t="s">
        <v>3119</v>
      </c>
      <c r="I222" s="2170" t="s">
        <v>2935</v>
      </c>
      <c r="J222" s="2108" t="s">
        <v>79</v>
      </c>
      <c r="K222" s="2108" t="s">
        <v>138</v>
      </c>
      <c r="L222" s="2072" t="s">
        <v>3430</v>
      </c>
      <c r="M222" s="2171" t="s">
        <v>3121</v>
      </c>
      <c r="N222" s="2069">
        <v>71000</v>
      </c>
      <c r="O222" s="2069" t="s">
        <v>30</v>
      </c>
      <c r="P222" s="2069" t="s">
        <v>37</v>
      </c>
      <c r="Q222" s="2071">
        <v>0.4</v>
      </c>
      <c r="R222" s="2192" t="s">
        <v>1166</v>
      </c>
      <c r="S222" s="2069" t="s">
        <v>1166</v>
      </c>
      <c r="T222" s="2069" t="s">
        <v>1166</v>
      </c>
      <c r="U222" s="2069" t="s">
        <v>1166</v>
      </c>
      <c r="V222" s="1847">
        <v>0</v>
      </c>
      <c r="W222" s="2069" t="s">
        <v>3431</v>
      </c>
      <c r="X222" s="2069" t="s">
        <v>1166</v>
      </c>
      <c r="Y222" s="2069" t="s">
        <v>1166</v>
      </c>
      <c r="Z222" s="2073" t="s">
        <v>1166</v>
      </c>
      <c r="AA222" s="2185" t="s">
        <v>1166</v>
      </c>
    </row>
    <row r="223" spans="1:27" s="259" customFormat="1" ht="18">
      <c r="A223" s="2043">
        <v>91</v>
      </c>
      <c r="B223" s="2043" t="s">
        <v>3432</v>
      </c>
      <c r="C223" s="2045" t="s">
        <v>3043</v>
      </c>
      <c r="D223" s="2046" t="s">
        <v>2252</v>
      </c>
      <c r="E223" s="2105" t="s">
        <v>873</v>
      </c>
      <c r="F223" s="2106" t="s">
        <v>3044</v>
      </c>
      <c r="G223" s="2106">
        <v>9008301410</v>
      </c>
      <c r="H223" s="1801" t="s">
        <v>3045</v>
      </c>
      <c r="I223" s="2045" t="s">
        <v>3046</v>
      </c>
      <c r="J223" s="2051" t="s">
        <v>81</v>
      </c>
      <c r="K223" s="2051" t="s">
        <v>157</v>
      </c>
      <c r="L223" s="2058" t="s">
        <v>3433</v>
      </c>
      <c r="M223" s="2133">
        <v>45722</v>
      </c>
      <c r="N223" s="2043">
        <v>671700</v>
      </c>
      <c r="O223" s="2043" t="s">
        <v>34</v>
      </c>
      <c r="P223" s="2043" t="s">
        <v>37</v>
      </c>
      <c r="Q223" s="2056">
        <v>0.8</v>
      </c>
      <c r="R223" s="2132">
        <v>1000072046</v>
      </c>
      <c r="S223" s="2043" t="s">
        <v>3434</v>
      </c>
      <c r="T223" s="2043">
        <v>771700</v>
      </c>
      <c r="U223" s="2043" t="s">
        <v>37</v>
      </c>
      <c r="V223" s="1814">
        <v>0</v>
      </c>
      <c r="W223" s="2043" t="s">
        <v>1323</v>
      </c>
      <c r="X223" s="2043" t="s">
        <v>1166</v>
      </c>
      <c r="Y223" s="2043" t="s">
        <v>1166</v>
      </c>
      <c r="Z223" s="2067" t="s">
        <v>157</v>
      </c>
      <c r="AA223" s="2179" t="s">
        <v>157</v>
      </c>
    </row>
    <row r="224" spans="1:27" s="259" customFormat="1" ht="18">
      <c r="A224" s="2043">
        <v>92</v>
      </c>
      <c r="B224" s="2043" t="s">
        <v>3432</v>
      </c>
      <c r="C224" s="2045" t="s">
        <v>614</v>
      </c>
      <c r="D224" s="2046" t="s">
        <v>2932</v>
      </c>
      <c r="E224" s="2046" t="s">
        <v>954</v>
      </c>
      <c r="F224" s="2051" t="s">
        <v>3118</v>
      </c>
      <c r="G224" s="2045">
        <v>9492487256</v>
      </c>
      <c r="H224" s="1810" t="s">
        <v>3119</v>
      </c>
      <c r="I224" s="2045" t="s">
        <v>2935</v>
      </c>
      <c r="J224" s="2051" t="s">
        <v>74</v>
      </c>
      <c r="K224" s="2051" t="s">
        <v>138</v>
      </c>
      <c r="L224" s="2058" t="s">
        <v>3435</v>
      </c>
      <c r="M224" s="2133">
        <v>45906</v>
      </c>
      <c r="N224" s="2043">
        <v>46000</v>
      </c>
      <c r="O224" s="2043" t="s">
        <v>34</v>
      </c>
      <c r="P224" s="2043" t="s">
        <v>37</v>
      </c>
      <c r="Q224" s="2056">
        <v>0.8</v>
      </c>
      <c r="R224" s="2132">
        <v>4000545900</v>
      </c>
      <c r="S224" s="2043" t="s">
        <v>3434</v>
      </c>
      <c r="T224" s="2043">
        <v>46000</v>
      </c>
      <c r="U224" s="2043" t="s">
        <v>37</v>
      </c>
      <c r="V224" s="1814">
        <v>0</v>
      </c>
      <c r="W224" s="2043" t="s">
        <v>1323</v>
      </c>
      <c r="X224" s="2043" t="s">
        <v>1166</v>
      </c>
      <c r="Y224" s="2043" t="s">
        <v>1166</v>
      </c>
      <c r="Z224" s="2067" t="s">
        <v>1166</v>
      </c>
      <c r="AA224" s="2179" t="s">
        <v>1166</v>
      </c>
    </row>
    <row r="225" spans="1:27" s="259" customFormat="1" ht="18">
      <c r="A225" s="2043">
        <v>93</v>
      </c>
      <c r="B225" s="2043" t="s">
        <v>3432</v>
      </c>
      <c r="C225" s="2045" t="s">
        <v>3014</v>
      </c>
      <c r="D225" s="2046" t="s">
        <v>2252</v>
      </c>
      <c r="E225" s="2046" t="s">
        <v>3436</v>
      </c>
      <c r="F225" s="2046" t="s">
        <v>3015</v>
      </c>
      <c r="G225" s="2046">
        <v>9945766825</v>
      </c>
      <c r="H225" s="1810" t="s">
        <v>3016</v>
      </c>
      <c r="I225" s="2045" t="s">
        <v>3020</v>
      </c>
      <c r="J225" s="2051" t="s">
        <v>74</v>
      </c>
      <c r="K225" s="2051" t="s">
        <v>138</v>
      </c>
      <c r="L225" s="2058" t="s">
        <v>3437</v>
      </c>
      <c r="M225" s="2133">
        <v>45967</v>
      </c>
      <c r="N225" s="2043">
        <v>3600</v>
      </c>
      <c r="O225" s="2043" t="s">
        <v>34</v>
      </c>
      <c r="P225" s="2043" t="s">
        <v>34</v>
      </c>
      <c r="Q225" s="2056">
        <v>1</v>
      </c>
      <c r="R225" s="2132" t="s">
        <v>3438</v>
      </c>
      <c r="S225" s="2043" t="s">
        <v>3439</v>
      </c>
      <c r="T225" s="2043">
        <v>3600</v>
      </c>
      <c r="U225" s="2043" t="s">
        <v>34</v>
      </c>
      <c r="V225" s="1814">
        <v>0</v>
      </c>
      <c r="W225" s="2043" t="s">
        <v>1323</v>
      </c>
      <c r="X225" s="2043" t="s">
        <v>1166</v>
      </c>
      <c r="Y225" s="2043" t="s">
        <v>1166</v>
      </c>
      <c r="Z225" s="2067" t="s">
        <v>1166</v>
      </c>
      <c r="AA225" s="2179" t="s">
        <v>1166</v>
      </c>
    </row>
    <row r="226" spans="1:27" s="259" customFormat="1" ht="18">
      <c r="A226" s="1248">
        <v>94</v>
      </c>
      <c r="B226" s="1248" t="s">
        <v>3432</v>
      </c>
      <c r="C226" s="1252" t="s">
        <v>614</v>
      </c>
      <c r="D226" s="1246" t="s">
        <v>2932</v>
      </c>
      <c r="E226" s="1246" t="s">
        <v>954</v>
      </c>
      <c r="F226" s="1246" t="s">
        <v>3118</v>
      </c>
      <c r="G226" s="1252">
        <v>9492487256</v>
      </c>
      <c r="H226" s="2591" t="s">
        <v>3119</v>
      </c>
      <c r="I226" s="1252" t="s">
        <v>3124</v>
      </c>
      <c r="J226" s="1246" t="s">
        <v>83</v>
      </c>
      <c r="K226" s="1246" t="s">
        <v>157</v>
      </c>
      <c r="L226" s="1248" t="s">
        <v>3440</v>
      </c>
      <c r="M226" s="2199" t="s">
        <v>3441</v>
      </c>
      <c r="N226" s="1248">
        <v>1702843</v>
      </c>
      <c r="O226" s="1248" t="s">
        <v>34</v>
      </c>
      <c r="P226" s="1042" t="s">
        <v>49</v>
      </c>
      <c r="Q226" s="2189">
        <v>0.8</v>
      </c>
      <c r="R226" s="1248">
        <v>4000566504</v>
      </c>
      <c r="S226" s="1251">
        <v>45936</v>
      </c>
      <c r="T226" s="1248">
        <v>1242315</v>
      </c>
      <c r="U226" s="1042" t="s">
        <v>47</v>
      </c>
      <c r="V226" s="1844">
        <v>1242315</v>
      </c>
      <c r="W226" s="1248" t="s">
        <v>2909</v>
      </c>
      <c r="X226" s="1248" t="s">
        <v>1166</v>
      </c>
      <c r="Y226" s="1248" t="s">
        <v>1166</v>
      </c>
      <c r="Z226" s="2163" t="s">
        <v>157</v>
      </c>
      <c r="AA226" s="2190"/>
    </row>
    <row r="227" spans="1:27" s="259" customFormat="1" ht="18">
      <c r="A227" s="1248">
        <v>95</v>
      </c>
      <c r="B227" s="1248" t="s">
        <v>3432</v>
      </c>
      <c r="C227" s="1252" t="s">
        <v>1380</v>
      </c>
      <c r="D227" s="1246" t="s">
        <v>2902</v>
      </c>
      <c r="E227" s="1246" t="s">
        <v>954</v>
      </c>
      <c r="F227" s="1246" t="s">
        <v>3442</v>
      </c>
      <c r="G227" s="1246">
        <v>9172054952</v>
      </c>
      <c r="H227" s="1142" t="s">
        <v>3443</v>
      </c>
      <c r="I227" s="1252" t="s">
        <v>3444</v>
      </c>
      <c r="J227" s="1247" t="s">
        <v>73</v>
      </c>
      <c r="K227" s="1247" t="s">
        <v>138</v>
      </c>
      <c r="L227" s="1249" t="s">
        <v>3445</v>
      </c>
      <c r="M227" s="2199" t="s">
        <v>3434</v>
      </c>
      <c r="N227" s="1248">
        <v>148435</v>
      </c>
      <c r="O227" s="2194" t="s">
        <v>34</v>
      </c>
      <c r="P227" s="1276" t="s">
        <v>39</v>
      </c>
      <c r="Q227" s="2195">
        <v>0.8</v>
      </c>
      <c r="R227" s="1248">
        <v>2500252147</v>
      </c>
      <c r="S227" s="1251">
        <v>45883</v>
      </c>
      <c r="T227" s="1248">
        <v>148435</v>
      </c>
      <c r="U227" s="1248" t="s">
        <v>39</v>
      </c>
      <c r="V227" s="1844">
        <v>0</v>
      </c>
      <c r="W227" s="1248" t="s">
        <v>2909</v>
      </c>
      <c r="X227" s="1248" t="s">
        <v>1166</v>
      </c>
      <c r="Y227" s="1248" t="s">
        <v>1166</v>
      </c>
      <c r="Z227" s="2163" t="s">
        <v>1166</v>
      </c>
      <c r="AA227" s="2190" t="s">
        <v>1166</v>
      </c>
    </row>
    <row r="228" spans="1:27" s="259" customFormat="1" ht="18">
      <c r="A228" s="1248">
        <v>96</v>
      </c>
      <c r="B228" s="1248" t="s">
        <v>3432</v>
      </c>
      <c r="C228" s="1252" t="s">
        <v>2917</v>
      </c>
      <c r="D228" s="1252" t="s">
        <v>2252</v>
      </c>
      <c r="E228" s="1252" t="s">
        <v>2918</v>
      </c>
      <c r="F228" s="1252" t="s">
        <v>2919</v>
      </c>
      <c r="G228" s="1252">
        <v>9880829868</v>
      </c>
      <c r="H228" s="1142" t="s">
        <v>2920</v>
      </c>
      <c r="I228" s="1252" t="s">
        <v>3446</v>
      </c>
      <c r="J228" s="1252" t="s">
        <v>73</v>
      </c>
      <c r="K228" s="1252" t="s">
        <v>138</v>
      </c>
      <c r="L228" s="1249" t="s">
        <v>3447</v>
      </c>
      <c r="M228" s="2193" t="s">
        <v>3434</v>
      </c>
      <c r="N228" s="1248">
        <v>64584</v>
      </c>
      <c r="O228" s="2194" t="s">
        <v>34</v>
      </c>
      <c r="P228" s="1276" t="s">
        <v>39</v>
      </c>
      <c r="Q228" s="2195">
        <v>0.8</v>
      </c>
      <c r="R228" s="2019" t="s">
        <v>3448</v>
      </c>
      <c r="S228" s="1251">
        <v>45869</v>
      </c>
      <c r="T228" s="1248">
        <v>62000</v>
      </c>
      <c r="U228" s="1042" t="s">
        <v>39</v>
      </c>
      <c r="V228" s="1844">
        <v>0</v>
      </c>
      <c r="W228" s="1248" t="s">
        <v>2909</v>
      </c>
      <c r="X228" s="1248" t="s">
        <v>1166</v>
      </c>
      <c r="Y228" s="1248" t="s">
        <v>1166</v>
      </c>
      <c r="Z228" s="2163" t="s">
        <v>1166</v>
      </c>
      <c r="AA228" s="2190" t="s">
        <v>1166</v>
      </c>
    </row>
    <row r="229" spans="1:27" s="259" customFormat="1" ht="18">
      <c r="A229" s="1248" t="s">
        <v>1166</v>
      </c>
      <c r="B229" s="1248"/>
      <c r="C229" s="1252" t="s">
        <v>2917</v>
      </c>
      <c r="D229" s="1252" t="s">
        <v>2252</v>
      </c>
      <c r="E229" s="1252" t="s">
        <v>2918</v>
      </c>
      <c r="F229" s="1252" t="s">
        <v>2919</v>
      </c>
      <c r="G229" s="1252">
        <v>9880829868</v>
      </c>
      <c r="H229" s="1142" t="s">
        <v>2920</v>
      </c>
      <c r="I229" s="1252" t="s">
        <v>3449</v>
      </c>
      <c r="J229" s="2196" t="s">
        <v>73</v>
      </c>
      <c r="K229" s="2196" t="s">
        <v>138</v>
      </c>
      <c r="L229" s="1249" t="s">
        <v>3447</v>
      </c>
      <c r="M229" s="2193" t="s">
        <v>3434</v>
      </c>
      <c r="N229" s="1248">
        <v>64584</v>
      </c>
      <c r="O229" s="2194" t="s">
        <v>34</v>
      </c>
      <c r="P229" s="1276" t="s">
        <v>39</v>
      </c>
      <c r="Q229" s="2195">
        <v>0.8</v>
      </c>
      <c r="R229" s="2019" t="s">
        <v>3448</v>
      </c>
      <c r="S229" s="1251">
        <v>45869</v>
      </c>
      <c r="T229" s="1248">
        <v>62000</v>
      </c>
      <c r="U229" s="1042" t="s">
        <v>39</v>
      </c>
      <c r="V229" s="1844">
        <v>0</v>
      </c>
      <c r="W229" s="1248" t="s">
        <v>2909</v>
      </c>
      <c r="X229" s="1248" t="s">
        <v>1166</v>
      </c>
      <c r="Y229" s="1248" t="s">
        <v>1166</v>
      </c>
      <c r="Z229" s="2163" t="s">
        <v>1166</v>
      </c>
      <c r="AA229" s="2190" t="s">
        <v>1166</v>
      </c>
    </row>
    <row r="230" spans="1:27" s="259" customFormat="1" ht="18">
      <c r="A230" s="1248" t="s">
        <v>1166</v>
      </c>
      <c r="B230" s="1248"/>
      <c r="C230" s="1252" t="s">
        <v>2917</v>
      </c>
      <c r="D230" s="1252" t="s">
        <v>2252</v>
      </c>
      <c r="E230" s="1252" t="s">
        <v>2918</v>
      </c>
      <c r="F230" s="1252" t="s">
        <v>2919</v>
      </c>
      <c r="G230" s="1252">
        <v>9880829868</v>
      </c>
      <c r="H230" s="1142" t="s">
        <v>2920</v>
      </c>
      <c r="I230" s="1252" t="s">
        <v>3450</v>
      </c>
      <c r="J230" s="2196" t="s">
        <v>73</v>
      </c>
      <c r="K230" s="2196" t="s">
        <v>138</v>
      </c>
      <c r="L230" s="1249" t="s">
        <v>3447</v>
      </c>
      <c r="M230" s="2193" t="s">
        <v>3434</v>
      </c>
      <c r="N230" s="1248">
        <v>52346</v>
      </c>
      <c r="O230" s="2194" t="s">
        <v>34</v>
      </c>
      <c r="P230" s="1276" t="s">
        <v>39</v>
      </c>
      <c r="Q230" s="2195">
        <v>0.8</v>
      </c>
      <c r="R230" s="2019" t="s">
        <v>3448</v>
      </c>
      <c r="S230" s="1251">
        <v>45869</v>
      </c>
      <c r="T230" s="1248">
        <v>50252</v>
      </c>
      <c r="U230" s="1042" t="s">
        <v>39</v>
      </c>
      <c r="V230" s="1844">
        <v>0</v>
      </c>
      <c r="W230" s="1248" t="s">
        <v>2909</v>
      </c>
      <c r="X230" s="1248" t="s">
        <v>1166</v>
      </c>
      <c r="Y230" s="1248" t="s">
        <v>1166</v>
      </c>
      <c r="Z230" s="2163" t="s">
        <v>1166</v>
      </c>
      <c r="AA230" s="2190" t="s">
        <v>1166</v>
      </c>
    </row>
    <row r="231" spans="1:27" s="259" customFormat="1" ht="18">
      <c r="A231" s="1248" t="s">
        <v>1166</v>
      </c>
      <c r="B231" s="1248"/>
      <c r="C231" s="1252" t="s">
        <v>2917</v>
      </c>
      <c r="D231" s="1252" t="s">
        <v>2252</v>
      </c>
      <c r="E231" s="1252" t="s">
        <v>2918</v>
      </c>
      <c r="F231" s="1252" t="s">
        <v>2919</v>
      </c>
      <c r="G231" s="1252">
        <v>9880829868</v>
      </c>
      <c r="H231" s="1142" t="s">
        <v>2920</v>
      </c>
      <c r="I231" s="1252" t="s">
        <v>2921</v>
      </c>
      <c r="J231" s="2196" t="s">
        <v>73</v>
      </c>
      <c r="K231" s="2196" t="s">
        <v>138</v>
      </c>
      <c r="L231" s="1249" t="s">
        <v>3447</v>
      </c>
      <c r="M231" s="2193" t="s">
        <v>3434</v>
      </c>
      <c r="N231" s="1248">
        <v>64584</v>
      </c>
      <c r="O231" s="2194" t="s">
        <v>34</v>
      </c>
      <c r="P231" s="1276" t="s">
        <v>39</v>
      </c>
      <c r="Q231" s="2195">
        <v>0.8</v>
      </c>
      <c r="R231" s="2019" t="s">
        <v>3448</v>
      </c>
      <c r="S231" s="1251">
        <v>45869</v>
      </c>
      <c r="T231" s="1248">
        <v>62000</v>
      </c>
      <c r="U231" s="1042" t="s">
        <v>39</v>
      </c>
      <c r="V231" s="1844">
        <v>0</v>
      </c>
      <c r="W231" s="1248" t="s">
        <v>2909</v>
      </c>
      <c r="X231" s="1248" t="s">
        <v>1166</v>
      </c>
      <c r="Y231" s="1248" t="s">
        <v>1166</v>
      </c>
      <c r="Z231" s="2163" t="s">
        <v>1166</v>
      </c>
      <c r="AA231" s="2190" t="s">
        <v>1166</v>
      </c>
    </row>
    <row r="232" spans="1:27" s="259" customFormat="1" ht="18">
      <c r="A232" s="1248">
        <v>97</v>
      </c>
      <c r="B232" s="2187">
        <v>45695</v>
      </c>
      <c r="C232" s="1252" t="s">
        <v>614</v>
      </c>
      <c r="D232" s="1252" t="s">
        <v>2902</v>
      </c>
      <c r="E232" s="1252" t="s">
        <v>3451</v>
      </c>
      <c r="F232" s="1252" t="s">
        <v>2994</v>
      </c>
      <c r="G232" s="1252">
        <v>8333984571</v>
      </c>
      <c r="H232" s="1142" t="s">
        <v>2995</v>
      </c>
      <c r="I232" s="1252" t="s">
        <v>2996</v>
      </c>
      <c r="J232" s="2196" t="s">
        <v>73</v>
      </c>
      <c r="K232" s="2196" t="s">
        <v>138</v>
      </c>
      <c r="L232" s="2313" t="s">
        <v>3452</v>
      </c>
      <c r="M232" s="2193" t="s">
        <v>3453</v>
      </c>
      <c r="N232" s="1248">
        <v>84484</v>
      </c>
      <c r="O232" s="1248" t="s">
        <v>34</v>
      </c>
      <c r="P232" s="2314" t="s">
        <v>44</v>
      </c>
      <c r="Q232" s="2189">
        <v>0.8</v>
      </c>
      <c r="R232" s="1248">
        <v>4800090188</v>
      </c>
      <c r="S232" s="1251">
        <v>45901</v>
      </c>
      <c r="T232" s="1248">
        <v>81104.639999999999</v>
      </c>
      <c r="U232" s="1042" t="s">
        <v>44</v>
      </c>
      <c r="V232" s="1844">
        <v>0</v>
      </c>
      <c r="W232" s="1248" t="s">
        <v>3454</v>
      </c>
      <c r="X232" s="1248" t="s">
        <v>1166</v>
      </c>
      <c r="Y232" s="1248" t="s">
        <v>1166</v>
      </c>
      <c r="Z232" s="2163" t="s">
        <v>1166</v>
      </c>
      <c r="AA232" s="2190" t="s">
        <v>1166</v>
      </c>
    </row>
    <row r="233" spans="1:27" s="259" customFormat="1" ht="18">
      <c r="A233" s="1248" t="s">
        <v>1166</v>
      </c>
      <c r="B233" s="1248"/>
      <c r="C233" s="1252" t="s">
        <v>614</v>
      </c>
      <c r="D233" s="1252" t="s">
        <v>2902</v>
      </c>
      <c r="E233" s="1252" t="s">
        <v>3451</v>
      </c>
      <c r="F233" s="1252" t="s">
        <v>2994</v>
      </c>
      <c r="G233" s="1252">
        <v>8333984571</v>
      </c>
      <c r="H233" s="1142" t="s">
        <v>2995</v>
      </c>
      <c r="I233" s="1252" t="s">
        <v>3455</v>
      </c>
      <c r="J233" s="2196" t="s">
        <v>73</v>
      </c>
      <c r="K233" s="2196" t="s">
        <v>138</v>
      </c>
      <c r="L233" s="2313" t="s">
        <v>3452</v>
      </c>
      <c r="M233" s="2193" t="s">
        <v>3453</v>
      </c>
      <c r="N233" s="1248">
        <v>84484</v>
      </c>
      <c r="O233" s="1248" t="s">
        <v>34</v>
      </c>
      <c r="P233" s="1248" t="s">
        <v>44</v>
      </c>
      <c r="Q233" s="2189">
        <v>0.8</v>
      </c>
      <c r="R233" s="1248">
        <v>4800090188</v>
      </c>
      <c r="S233" s="1251">
        <v>45901</v>
      </c>
      <c r="T233" s="1248">
        <v>81104.639999999999</v>
      </c>
      <c r="U233" s="1042" t="s">
        <v>44</v>
      </c>
      <c r="V233" s="1844">
        <v>0</v>
      </c>
      <c r="W233" s="1248" t="s">
        <v>3454</v>
      </c>
      <c r="X233" s="1248" t="s">
        <v>1166</v>
      </c>
      <c r="Y233" s="1248" t="s">
        <v>1166</v>
      </c>
      <c r="Z233" s="2163" t="s">
        <v>1166</v>
      </c>
      <c r="AA233" s="2201" t="s">
        <v>1166</v>
      </c>
    </row>
    <row r="234" spans="1:27" s="259" customFormat="1" ht="18">
      <c r="A234" s="1248" t="s">
        <v>1166</v>
      </c>
      <c r="B234" s="1248"/>
      <c r="C234" s="1252" t="s">
        <v>614</v>
      </c>
      <c r="D234" s="1252" t="s">
        <v>2902</v>
      </c>
      <c r="E234" s="1252" t="s">
        <v>3451</v>
      </c>
      <c r="F234" s="1252" t="s">
        <v>2994</v>
      </c>
      <c r="G234" s="1252">
        <v>8333984571</v>
      </c>
      <c r="H234" s="1142" t="s">
        <v>2995</v>
      </c>
      <c r="I234" s="1252" t="s">
        <v>3456</v>
      </c>
      <c r="J234" s="2196" t="s">
        <v>73</v>
      </c>
      <c r="K234" s="2196" t="s">
        <v>138</v>
      </c>
      <c r="L234" s="2313" t="s">
        <v>3452</v>
      </c>
      <c r="M234" s="2193" t="s">
        <v>3453</v>
      </c>
      <c r="N234" s="1248">
        <v>84484</v>
      </c>
      <c r="O234" s="1248" t="s">
        <v>34</v>
      </c>
      <c r="P234" s="1248" t="s">
        <v>44</v>
      </c>
      <c r="Q234" s="2189">
        <v>0.8</v>
      </c>
      <c r="R234" s="1248">
        <v>4800090188</v>
      </c>
      <c r="S234" s="1251">
        <v>45901</v>
      </c>
      <c r="T234" s="1248">
        <v>81104.639999999999</v>
      </c>
      <c r="U234" s="1042" t="s">
        <v>44</v>
      </c>
      <c r="V234" s="1844">
        <v>0</v>
      </c>
      <c r="W234" s="1248" t="s">
        <v>3454</v>
      </c>
      <c r="X234" s="1248" t="s">
        <v>1166</v>
      </c>
      <c r="Y234" s="1248" t="s">
        <v>1166</v>
      </c>
      <c r="Z234" s="2163" t="s">
        <v>1166</v>
      </c>
      <c r="AA234" s="2201" t="s">
        <v>1166</v>
      </c>
    </row>
    <row r="235" spans="1:27" s="259" customFormat="1" ht="18">
      <c r="A235" s="1248" t="s">
        <v>1166</v>
      </c>
      <c r="B235" s="1248"/>
      <c r="C235" s="1252" t="s">
        <v>614</v>
      </c>
      <c r="D235" s="1252" t="s">
        <v>2902</v>
      </c>
      <c r="E235" s="1252" t="s">
        <v>3451</v>
      </c>
      <c r="F235" s="1252" t="s">
        <v>2994</v>
      </c>
      <c r="G235" s="1252">
        <v>8333984571</v>
      </c>
      <c r="H235" s="1142" t="s">
        <v>2995</v>
      </c>
      <c r="I235" s="1252" t="s">
        <v>3457</v>
      </c>
      <c r="J235" s="2196" t="s">
        <v>73</v>
      </c>
      <c r="K235" s="2196" t="s">
        <v>138</v>
      </c>
      <c r="L235" s="2313" t="s">
        <v>3452</v>
      </c>
      <c r="M235" s="2193" t="s">
        <v>3453</v>
      </c>
      <c r="N235" s="1248">
        <v>84484</v>
      </c>
      <c r="O235" s="1248" t="s">
        <v>34</v>
      </c>
      <c r="P235" s="1248" t="s">
        <v>44</v>
      </c>
      <c r="Q235" s="2189">
        <v>0.8</v>
      </c>
      <c r="R235" s="1248">
        <v>4800090188</v>
      </c>
      <c r="S235" s="1251">
        <v>45901</v>
      </c>
      <c r="T235" s="1248">
        <v>81104.639999999999</v>
      </c>
      <c r="U235" s="1042" t="s">
        <v>44</v>
      </c>
      <c r="V235" s="1844">
        <v>0</v>
      </c>
      <c r="W235" s="1248" t="s">
        <v>3454</v>
      </c>
      <c r="X235" s="1248" t="s">
        <v>1166</v>
      </c>
      <c r="Y235" s="1248" t="s">
        <v>1166</v>
      </c>
      <c r="Z235" s="2163" t="s">
        <v>1166</v>
      </c>
      <c r="AA235" s="2201" t="s">
        <v>1166</v>
      </c>
    </row>
    <row r="236" spans="1:27" s="259" customFormat="1" ht="18">
      <c r="A236" s="1248" t="s">
        <v>1166</v>
      </c>
      <c r="B236" s="1248"/>
      <c r="C236" s="1252" t="s">
        <v>614</v>
      </c>
      <c r="D236" s="1252" t="s">
        <v>2902</v>
      </c>
      <c r="E236" s="1252" t="s">
        <v>3451</v>
      </c>
      <c r="F236" s="1252" t="s">
        <v>2994</v>
      </c>
      <c r="G236" s="1252">
        <v>8333984571</v>
      </c>
      <c r="H236" s="1142" t="s">
        <v>2995</v>
      </c>
      <c r="I236" s="1252" t="s">
        <v>3458</v>
      </c>
      <c r="J236" s="2196" t="s">
        <v>73</v>
      </c>
      <c r="K236" s="2196" t="s">
        <v>138</v>
      </c>
      <c r="L236" s="2313" t="s">
        <v>3452</v>
      </c>
      <c r="M236" s="2193" t="s">
        <v>3453</v>
      </c>
      <c r="N236" s="1248">
        <v>84484</v>
      </c>
      <c r="O236" s="1248" t="s">
        <v>34</v>
      </c>
      <c r="P236" s="1248" t="s">
        <v>44</v>
      </c>
      <c r="Q236" s="2189">
        <v>0.8</v>
      </c>
      <c r="R236" s="1248">
        <v>4800090188</v>
      </c>
      <c r="S236" s="1251">
        <v>45901</v>
      </c>
      <c r="T236" s="1248">
        <v>81104.639999999999</v>
      </c>
      <c r="U236" s="1042" t="s">
        <v>44</v>
      </c>
      <c r="V236" s="1844">
        <v>0</v>
      </c>
      <c r="W236" s="1248" t="s">
        <v>3454</v>
      </c>
      <c r="X236" s="1248" t="s">
        <v>1166</v>
      </c>
      <c r="Y236" s="1248" t="s">
        <v>1166</v>
      </c>
      <c r="Z236" s="2163" t="s">
        <v>1166</v>
      </c>
      <c r="AA236" s="2201" t="s">
        <v>1166</v>
      </c>
    </row>
    <row r="237" spans="1:27" s="259" customFormat="1" ht="18">
      <c r="A237" s="1248" t="s">
        <v>1166</v>
      </c>
      <c r="B237" s="1248"/>
      <c r="C237" s="1252" t="s">
        <v>614</v>
      </c>
      <c r="D237" s="1252" t="s">
        <v>2902</v>
      </c>
      <c r="E237" s="1252" t="s">
        <v>3451</v>
      </c>
      <c r="F237" s="1252" t="s">
        <v>2994</v>
      </c>
      <c r="G237" s="1252">
        <v>8333984571</v>
      </c>
      <c r="H237" s="1142" t="s">
        <v>2995</v>
      </c>
      <c r="I237" s="1252" t="s">
        <v>3267</v>
      </c>
      <c r="J237" s="2196" t="s">
        <v>73</v>
      </c>
      <c r="K237" s="2196" t="s">
        <v>138</v>
      </c>
      <c r="L237" s="2313" t="s">
        <v>3452</v>
      </c>
      <c r="M237" s="2193" t="s">
        <v>3453</v>
      </c>
      <c r="N237" s="1248">
        <v>84484</v>
      </c>
      <c r="O237" s="1248" t="s">
        <v>34</v>
      </c>
      <c r="P237" s="1248" t="s">
        <v>44</v>
      </c>
      <c r="Q237" s="2189">
        <v>0.8</v>
      </c>
      <c r="R237" s="1248">
        <v>4800090188</v>
      </c>
      <c r="S237" s="1251">
        <v>45901</v>
      </c>
      <c r="T237" s="1248">
        <v>81104.639999999999</v>
      </c>
      <c r="U237" s="1042" t="s">
        <v>44</v>
      </c>
      <c r="V237" s="1844">
        <v>0</v>
      </c>
      <c r="W237" s="1248" t="s">
        <v>3454</v>
      </c>
      <c r="X237" s="1248" t="s">
        <v>1166</v>
      </c>
      <c r="Y237" s="1248" t="s">
        <v>1166</v>
      </c>
      <c r="Z237" s="2163" t="s">
        <v>1166</v>
      </c>
      <c r="AA237" s="2201" t="s">
        <v>1166</v>
      </c>
    </row>
    <row r="238" spans="1:27" s="259" customFormat="1" ht="18">
      <c r="A238" s="1248" t="s">
        <v>1166</v>
      </c>
      <c r="B238" s="1248"/>
      <c r="C238" s="1252" t="s">
        <v>614</v>
      </c>
      <c r="D238" s="1252" t="s">
        <v>2902</v>
      </c>
      <c r="E238" s="1252" t="s">
        <v>3451</v>
      </c>
      <c r="F238" s="1252" t="s">
        <v>2994</v>
      </c>
      <c r="G238" s="1252">
        <v>8333984571</v>
      </c>
      <c r="H238" s="1142" t="s">
        <v>2995</v>
      </c>
      <c r="I238" s="1252" t="s">
        <v>2963</v>
      </c>
      <c r="J238" s="2196" t="s">
        <v>73</v>
      </c>
      <c r="K238" s="2196" t="s">
        <v>138</v>
      </c>
      <c r="L238" s="2313" t="s">
        <v>3452</v>
      </c>
      <c r="M238" s="2193" t="s">
        <v>3453</v>
      </c>
      <c r="N238" s="1248">
        <v>84484</v>
      </c>
      <c r="O238" s="1248" t="s">
        <v>34</v>
      </c>
      <c r="P238" s="1248" t="s">
        <v>44</v>
      </c>
      <c r="Q238" s="2189">
        <v>0.8</v>
      </c>
      <c r="R238" s="1248">
        <v>4800090188</v>
      </c>
      <c r="S238" s="1251">
        <v>45901</v>
      </c>
      <c r="T238" s="1248">
        <v>81104.639999999999</v>
      </c>
      <c r="U238" s="1042" t="s">
        <v>44</v>
      </c>
      <c r="V238" s="1844">
        <v>0</v>
      </c>
      <c r="W238" s="1248" t="s">
        <v>3454</v>
      </c>
      <c r="X238" s="1248" t="s">
        <v>1166</v>
      </c>
      <c r="Y238" s="1248" t="s">
        <v>1166</v>
      </c>
      <c r="Z238" s="2163" t="s">
        <v>1166</v>
      </c>
      <c r="AA238" s="2201" t="s">
        <v>1166</v>
      </c>
    </row>
    <row r="239" spans="1:27" s="259" customFormat="1" ht="18">
      <c r="A239" s="1248" t="s">
        <v>1166</v>
      </c>
      <c r="B239" s="1248"/>
      <c r="C239" s="1252" t="s">
        <v>614</v>
      </c>
      <c r="D239" s="1252" t="s">
        <v>2902</v>
      </c>
      <c r="E239" s="1252" t="s">
        <v>3451</v>
      </c>
      <c r="F239" s="1252" t="s">
        <v>2994</v>
      </c>
      <c r="G239" s="1252">
        <v>8333984571</v>
      </c>
      <c r="H239" s="1142" t="s">
        <v>2995</v>
      </c>
      <c r="I239" s="1252" t="s">
        <v>3270</v>
      </c>
      <c r="J239" s="2196" t="s">
        <v>73</v>
      </c>
      <c r="K239" s="2196" t="s">
        <v>138</v>
      </c>
      <c r="L239" s="2313" t="s">
        <v>3452</v>
      </c>
      <c r="M239" s="2193" t="s">
        <v>3453</v>
      </c>
      <c r="N239" s="1248">
        <v>84484</v>
      </c>
      <c r="O239" s="1248" t="s">
        <v>34</v>
      </c>
      <c r="P239" s="1248" t="s">
        <v>44</v>
      </c>
      <c r="Q239" s="2189">
        <v>0.8</v>
      </c>
      <c r="R239" s="1248">
        <v>4800090188</v>
      </c>
      <c r="S239" s="1251">
        <v>45901</v>
      </c>
      <c r="T239" s="1248">
        <v>81104.639999999999</v>
      </c>
      <c r="U239" s="1042" t="s">
        <v>44</v>
      </c>
      <c r="V239" s="1844">
        <v>0</v>
      </c>
      <c r="W239" s="1248" t="s">
        <v>3454</v>
      </c>
      <c r="X239" s="1248" t="s">
        <v>1166</v>
      </c>
      <c r="Y239" s="1248" t="s">
        <v>1166</v>
      </c>
      <c r="Z239" s="2163" t="s">
        <v>1166</v>
      </c>
      <c r="AA239" s="2201" t="s">
        <v>1166</v>
      </c>
    </row>
    <row r="240" spans="1:27" s="259" customFormat="1" ht="18">
      <c r="A240" s="1248" t="s">
        <v>1166</v>
      </c>
      <c r="B240" s="1248"/>
      <c r="C240" s="1252" t="s">
        <v>614</v>
      </c>
      <c r="D240" s="1252" t="s">
        <v>2902</v>
      </c>
      <c r="E240" s="1252" t="s">
        <v>3451</v>
      </c>
      <c r="F240" s="1252" t="s">
        <v>2994</v>
      </c>
      <c r="G240" s="1252">
        <v>8333984571</v>
      </c>
      <c r="H240" s="1142" t="s">
        <v>2995</v>
      </c>
      <c r="I240" s="2193">
        <v>102002436</v>
      </c>
      <c r="J240" s="2196" t="s">
        <v>73</v>
      </c>
      <c r="K240" s="2196" t="s">
        <v>138</v>
      </c>
      <c r="L240" s="2313" t="s">
        <v>3452</v>
      </c>
      <c r="M240" s="2193" t="s">
        <v>3453</v>
      </c>
      <c r="N240" s="1248">
        <v>84484</v>
      </c>
      <c r="O240" s="1248" t="s">
        <v>34</v>
      </c>
      <c r="P240" s="1248" t="s">
        <v>44</v>
      </c>
      <c r="Q240" s="2189">
        <v>0.8</v>
      </c>
      <c r="R240" s="1248">
        <v>4800090188</v>
      </c>
      <c r="S240" s="1251">
        <v>45901</v>
      </c>
      <c r="T240" s="1248">
        <v>81104.639999999999</v>
      </c>
      <c r="U240" s="1042" t="s">
        <v>44</v>
      </c>
      <c r="V240" s="1844">
        <v>0</v>
      </c>
      <c r="W240" s="1248" t="s">
        <v>3454</v>
      </c>
      <c r="X240" s="1248" t="s">
        <v>1166</v>
      </c>
      <c r="Y240" s="1248" t="s">
        <v>1166</v>
      </c>
      <c r="Z240" s="2163" t="s">
        <v>1166</v>
      </c>
      <c r="AA240" s="2201" t="s">
        <v>1166</v>
      </c>
    </row>
    <row r="241" spans="1:27" s="259" customFormat="1" ht="18">
      <c r="A241" s="1248">
        <v>98</v>
      </c>
      <c r="B241" s="2187">
        <v>45845</v>
      </c>
      <c r="C241" s="1252" t="s">
        <v>1387</v>
      </c>
      <c r="D241" s="1252" t="s">
        <v>2252</v>
      </c>
      <c r="E241" s="1246" t="s">
        <v>3086</v>
      </c>
      <c r="F241" s="1252" t="s">
        <v>3087</v>
      </c>
      <c r="G241" s="1252">
        <v>9620262387</v>
      </c>
      <c r="H241" s="1142" t="s">
        <v>3088</v>
      </c>
      <c r="I241" s="1252" t="s">
        <v>3099</v>
      </c>
      <c r="J241" s="1252" t="s">
        <v>83</v>
      </c>
      <c r="K241" s="2196" t="s">
        <v>157</v>
      </c>
      <c r="L241" s="1249" t="s">
        <v>3459</v>
      </c>
      <c r="M241" s="2199" t="s">
        <v>3367</v>
      </c>
      <c r="N241" s="1248">
        <v>789574</v>
      </c>
      <c r="O241" s="1248" t="s">
        <v>28</v>
      </c>
      <c r="P241" s="1248" t="s">
        <v>37</v>
      </c>
      <c r="Q241" s="2189">
        <v>0.8</v>
      </c>
      <c r="R241" s="2019">
        <v>3391141756</v>
      </c>
      <c r="S241" s="2187">
        <v>45840</v>
      </c>
      <c r="T241" s="2200">
        <v>757991.4</v>
      </c>
      <c r="U241" s="1248" t="s">
        <v>37</v>
      </c>
      <c r="V241" s="1844">
        <v>0</v>
      </c>
      <c r="W241" s="1248" t="s">
        <v>2909</v>
      </c>
      <c r="X241" s="1248" t="s">
        <v>1166</v>
      </c>
      <c r="Y241" s="1248" t="s">
        <v>1166</v>
      </c>
      <c r="Z241" s="2163" t="s">
        <v>157</v>
      </c>
      <c r="AA241" s="2201" t="s">
        <v>1166</v>
      </c>
    </row>
    <row r="242" spans="1:27" s="259" customFormat="1" ht="18">
      <c r="A242" s="2074" t="s">
        <v>1166</v>
      </c>
      <c r="B242" s="2074"/>
      <c r="C242" s="2165" t="s">
        <v>1387</v>
      </c>
      <c r="D242" s="2165" t="s">
        <v>2252</v>
      </c>
      <c r="E242" s="2165" t="s">
        <v>3086</v>
      </c>
      <c r="F242" s="2165" t="s">
        <v>3087</v>
      </c>
      <c r="G242" s="2165">
        <v>9620262387</v>
      </c>
      <c r="H242" s="1817" t="s">
        <v>3088</v>
      </c>
      <c r="I242" s="2165" t="s">
        <v>3099</v>
      </c>
      <c r="J242" s="2165" t="s">
        <v>83</v>
      </c>
      <c r="K242" s="2159" t="s">
        <v>157</v>
      </c>
      <c r="L242" s="2080" t="s">
        <v>3460</v>
      </c>
      <c r="M242" s="2197" t="s">
        <v>2541</v>
      </c>
      <c r="N242" s="2074">
        <v>880053</v>
      </c>
      <c r="O242" s="2074" t="s">
        <v>28</v>
      </c>
      <c r="P242" s="817" t="s">
        <v>49</v>
      </c>
      <c r="Q242" s="2079">
        <v>0.8</v>
      </c>
      <c r="R242" s="2074" t="s">
        <v>1166</v>
      </c>
      <c r="S242" s="2074" t="s">
        <v>1166</v>
      </c>
      <c r="T242" s="2074" t="s">
        <v>1166</v>
      </c>
      <c r="U242" s="2074" t="s">
        <v>1166</v>
      </c>
      <c r="V242" s="1818">
        <v>880053</v>
      </c>
      <c r="W242" s="2074" t="s">
        <v>3269</v>
      </c>
      <c r="X242" s="2074" t="s">
        <v>1166</v>
      </c>
      <c r="Y242" s="2074" t="s">
        <v>1166</v>
      </c>
      <c r="Z242" s="2081" t="s">
        <v>157</v>
      </c>
      <c r="AA242" s="2198" t="s">
        <v>1166</v>
      </c>
    </row>
    <row r="243" spans="1:27" s="259" customFormat="1" ht="18">
      <c r="A243" s="1248">
        <v>99</v>
      </c>
      <c r="B243" s="2187">
        <v>45862</v>
      </c>
      <c r="C243" s="1120" t="s">
        <v>1250</v>
      </c>
      <c r="D243" s="1120" t="s">
        <v>2252</v>
      </c>
      <c r="E243" s="2022" t="s">
        <v>3461</v>
      </c>
      <c r="F243" s="2022" t="s">
        <v>3462</v>
      </c>
      <c r="G243" s="2022">
        <v>7899744400</v>
      </c>
      <c r="H243" s="1142" t="s">
        <v>3463</v>
      </c>
      <c r="I243" s="1120" t="s">
        <v>3401</v>
      </c>
      <c r="J243" s="1122" t="s">
        <v>75</v>
      </c>
      <c r="K243" s="1122" t="s">
        <v>157</v>
      </c>
      <c r="L243" s="1252" t="s">
        <v>3464</v>
      </c>
      <c r="M243" s="2202">
        <v>45664</v>
      </c>
      <c r="N243" s="1248">
        <v>283200</v>
      </c>
      <c r="O243" s="1042" t="s">
        <v>37</v>
      </c>
      <c r="P243" s="1042" t="s">
        <v>39</v>
      </c>
      <c r="Q243" s="1306">
        <v>0.8</v>
      </c>
      <c r="R243" s="1248">
        <v>85413531</v>
      </c>
      <c r="S243" s="2187">
        <v>45860</v>
      </c>
      <c r="T243" s="1248">
        <v>192200</v>
      </c>
      <c r="U243" s="1042" t="s">
        <v>39</v>
      </c>
      <c r="V243" s="1844">
        <v>0</v>
      </c>
      <c r="W243" s="1248" t="s">
        <v>2909</v>
      </c>
      <c r="X243" s="1248" t="s">
        <v>1166</v>
      </c>
      <c r="Y243" s="1248" t="s">
        <v>1166</v>
      </c>
      <c r="Z243" s="2163" t="s">
        <v>1166</v>
      </c>
      <c r="AA243" s="2201" t="s">
        <v>1166</v>
      </c>
    </row>
    <row r="244" spans="1:27" s="259" customFormat="1" ht="18">
      <c r="A244" s="2271">
        <v>100</v>
      </c>
      <c r="B244" s="2272"/>
      <c r="C244" s="2273" t="s">
        <v>2938</v>
      </c>
      <c r="D244" s="2273" t="s">
        <v>2252</v>
      </c>
      <c r="E244" s="2273" t="s">
        <v>873</v>
      </c>
      <c r="F244" s="2273" t="s">
        <v>3465</v>
      </c>
      <c r="G244" s="2540">
        <v>6366560432</v>
      </c>
      <c r="H244" s="2541" t="s">
        <v>2940</v>
      </c>
      <c r="I244" s="2273" t="s">
        <v>2941</v>
      </c>
      <c r="J244" s="2277" t="s">
        <v>81</v>
      </c>
      <c r="K244" s="2277" t="s">
        <v>157</v>
      </c>
      <c r="L244" s="2542" t="s">
        <v>3466</v>
      </c>
      <c r="M244" s="2278">
        <v>45664</v>
      </c>
      <c r="N244" s="2271">
        <v>736150</v>
      </c>
      <c r="O244" s="2279" t="s">
        <v>37</v>
      </c>
      <c r="P244" s="2279" t="s">
        <v>62</v>
      </c>
      <c r="Q244" s="2280">
        <v>0.2</v>
      </c>
      <c r="R244" s="2281"/>
      <c r="S244" s="2272"/>
      <c r="T244" s="2279"/>
      <c r="U244" s="2279"/>
      <c r="V244" s="2282">
        <v>0</v>
      </c>
      <c r="W244" s="2279" t="s">
        <v>3467</v>
      </c>
      <c r="X244" s="2279"/>
      <c r="Y244" s="2271"/>
      <c r="Z244" s="2283" t="s">
        <v>157</v>
      </c>
      <c r="AA244" s="2284"/>
    </row>
    <row r="245" spans="1:27" s="259" customFormat="1" ht="18">
      <c r="A245" s="1243">
        <v>101</v>
      </c>
      <c r="B245" s="1125">
        <v>45862</v>
      </c>
      <c r="C245" s="1120" t="s">
        <v>993</v>
      </c>
      <c r="D245" s="1120" t="s">
        <v>2252</v>
      </c>
      <c r="E245" s="1120" t="s">
        <v>873</v>
      </c>
      <c r="F245" s="1246" t="s">
        <v>3026</v>
      </c>
      <c r="G245" s="1246">
        <v>8888826015</v>
      </c>
      <c r="H245" s="1142" t="s">
        <v>3027</v>
      </c>
      <c r="I245" s="1120" t="s">
        <v>3030</v>
      </c>
      <c r="J245" s="1122" t="s">
        <v>74</v>
      </c>
      <c r="K245" s="1122" t="s">
        <v>138</v>
      </c>
      <c r="L245" s="1252" t="s">
        <v>3468</v>
      </c>
      <c r="M245" s="1124">
        <v>45907</v>
      </c>
      <c r="N245" s="1243">
        <v>4800</v>
      </c>
      <c r="O245" s="1042" t="s">
        <v>37</v>
      </c>
      <c r="P245" s="1042" t="s">
        <v>37</v>
      </c>
      <c r="Q245" s="1306">
        <v>1</v>
      </c>
      <c r="R245" s="1243">
        <v>4400012897</v>
      </c>
      <c r="S245" s="1125">
        <v>45852</v>
      </c>
      <c r="T245" s="1042">
        <v>9600</v>
      </c>
      <c r="U245" s="1042" t="s">
        <v>37</v>
      </c>
      <c r="V245" s="1843">
        <v>0</v>
      </c>
      <c r="W245" s="1042" t="s">
        <v>2909</v>
      </c>
      <c r="X245" s="1042"/>
      <c r="Y245" s="1243"/>
      <c r="Z245" s="1128"/>
      <c r="AA245" s="1267"/>
    </row>
    <row r="246" spans="1:27" s="259" customFormat="1" ht="18">
      <c r="A246" s="1243">
        <v>102</v>
      </c>
      <c r="B246" s="1125">
        <v>45862</v>
      </c>
      <c r="C246" s="1120" t="s">
        <v>1157</v>
      </c>
      <c r="D246" s="1120" t="s">
        <v>2945</v>
      </c>
      <c r="E246" s="1120" t="s">
        <v>3469</v>
      </c>
      <c r="F246" s="1120" t="s">
        <v>3470</v>
      </c>
      <c r="G246" s="1245">
        <v>8008801317</v>
      </c>
      <c r="H246" s="1132" t="s">
        <v>3471</v>
      </c>
      <c r="I246" s="1120" t="s">
        <v>2949</v>
      </c>
      <c r="J246" s="1122" t="s">
        <v>74</v>
      </c>
      <c r="K246" s="1122" t="s">
        <v>138</v>
      </c>
      <c r="L246" s="1252" t="s">
        <v>3472</v>
      </c>
      <c r="M246" s="1124">
        <v>45937</v>
      </c>
      <c r="N246" s="1243">
        <v>245300</v>
      </c>
      <c r="O246" s="1042" t="s">
        <v>37</v>
      </c>
      <c r="P246" s="1042" t="s">
        <v>39</v>
      </c>
      <c r="Q246" s="1306">
        <v>1</v>
      </c>
      <c r="R246" s="1243">
        <v>5700189578</v>
      </c>
      <c r="S246" s="1125">
        <v>45866</v>
      </c>
      <c r="T246" s="1042">
        <v>245300</v>
      </c>
      <c r="U246" s="1042" t="s">
        <v>39</v>
      </c>
      <c r="V246" s="1843">
        <v>0</v>
      </c>
      <c r="W246" s="1042" t="s">
        <v>2909</v>
      </c>
      <c r="X246" s="1042"/>
      <c r="Y246" s="1243"/>
      <c r="Z246" s="1128"/>
      <c r="AA246" s="1267"/>
    </row>
    <row r="247" spans="1:27" s="259" customFormat="1" ht="18">
      <c r="A247" s="1243">
        <v>103</v>
      </c>
      <c r="B247" s="1125">
        <v>45862</v>
      </c>
      <c r="C247" s="1120" t="s">
        <v>3142</v>
      </c>
      <c r="D247" s="1120" t="s">
        <v>3143</v>
      </c>
      <c r="E247" s="1120" t="s">
        <v>3469</v>
      </c>
      <c r="F247" s="1246" t="s">
        <v>3230</v>
      </c>
      <c r="G247" s="2209" t="s">
        <v>3231</v>
      </c>
      <c r="H247" s="1142" t="s">
        <v>3232</v>
      </c>
      <c r="I247" s="1120" t="s">
        <v>3157</v>
      </c>
      <c r="J247" s="1122" t="s">
        <v>80</v>
      </c>
      <c r="K247" s="1122" t="s">
        <v>157</v>
      </c>
      <c r="L247" s="1252" t="s">
        <v>3473</v>
      </c>
      <c r="M247" s="1124">
        <v>45907</v>
      </c>
      <c r="N247" s="1243">
        <v>2424000</v>
      </c>
      <c r="O247" s="1042" t="s">
        <v>37</v>
      </c>
      <c r="P247" s="1042" t="s">
        <v>39</v>
      </c>
      <c r="Q247" s="1306">
        <v>0.9</v>
      </c>
      <c r="R247" s="1243" t="s">
        <v>3474</v>
      </c>
      <c r="S247" s="1125">
        <v>45883</v>
      </c>
      <c r="T247" s="1042">
        <v>2399760</v>
      </c>
      <c r="U247" s="1042" t="s">
        <v>39</v>
      </c>
      <c r="V247" s="1843">
        <v>0</v>
      </c>
      <c r="W247" s="1042" t="s">
        <v>2909</v>
      </c>
      <c r="X247" s="1042"/>
      <c r="Y247" s="1243"/>
      <c r="Z247" s="1128" t="s">
        <v>157</v>
      </c>
      <c r="AA247" s="1267" t="s">
        <v>157</v>
      </c>
    </row>
    <row r="248" spans="1:27" s="259" customFormat="1" ht="18">
      <c r="A248" s="1243">
        <v>104</v>
      </c>
      <c r="B248" s="1125">
        <v>45862</v>
      </c>
      <c r="C248" s="1120" t="s">
        <v>3006</v>
      </c>
      <c r="D248" s="1120" t="s">
        <v>2252</v>
      </c>
      <c r="E248" s="1120" t="s">
        <v>3475</v>
      </c>
      <c r="F248" s="1120" t="s">
        <v>3476</v>
      </c>
      <c r="G248" s="1245">
        <v>7411788312</v>
      </c>
      <c r="H248" s="1132" t="s">
        <v>3477</v>
      </c>
      <c r="I248" s="1120" t="s">
        <v>3010</v>
      </c>
      <c r="J248" s="1041" t="s">
        <v>77</v>
      </c>
      <c r="K248" s="1041" t="s">
        <v>138</v>
      </c>
      <c r="L248" s="2270" t="s">
        <v>3478</v>
      </c>
      <c r="M248" s="1120" t="s">
        <v>1487</v>
      </c>
      <c r="N248" s="1243">
        <v>485385</v>
      </c>
      <c r="O248" s="1042" t="s">
        <v>37</v>
      </c>
      <c r="P248" s="1042" t="s">
        <v>39</v>
      </c>
      <c r="Q248" s="1306">
        <v>0.8</v>
      </c>
      <c r="R248" s="1243">
        <v>4100033302</v>
      </c>
      <c r="S248" s="1125">
        <v>45861</v>
      </c>
      <c r="T248" s="1042">
        <v>448385</v>
      </c>
      <c r="U248" s="1042" t="s">
        <v>39</v>
      </c>
      <c r="V248" s="1843">
        <v>0</v>
      </c>
      <c r="W248" s="1042" t="s">
        <v>2909</v>
      </c>
      <c r="X248" s="1042"/>
      <c r="Y248" s="1243"/>
      <c r="Z248" s="1128"/>
      <c r="AA248" s="1267"/>
    </row>
    <row r="249" spans="1:27" s="259" customFormat="1" ht="18">
      <c r="A249" s="1042"/>
      <c r="B249" s="1042"/>
      <c r="C249" s="1120" t="s">
        <v>3006</v>
      </c>
      <c r="D249" s="1120" t="s">
        <v>2252</v>
      </c>
      <c r="E249" s="1120" t="s">
        <v>3475</v>
      </c>
      <c r="F249" s="1120" t="s">
        <v>3476</v>
      </c>
      <c r="G249" s="1245">
        <v>7411788312</v>
      </c>
      <c r="H249" s="1132" t="s">
        <v>3477</v>
      </c>
      <c r="I249" s="1120" t="s">
        <v>3010</v>
      </c>
      <c r="J249" s="1041" t="s">
        <v>75</v>
      </c>
      <c r="K249" s="1041" t="s">
        <v>157</v>
      </c>
      <c r="L249" s="2270" t="s">
        <v>3478</v>
      </c>
      <c r="M249" s="1120" t="s">
        <v>1487</v>
      </c>
      <c r="N249" s="1243">
        <v>112930</v>
      </c>
      <c r="O249" s="1042" t="s">
        <v>37</v>
      </c>
      <c r="P249" s="1042" t="s">
        <v>39</v>
      </c>
      <c r="Q249" s="1306">
        <v>0.8</v>
      </c>
      <c r="R249" s="1243">
        <v>4100033302</v>
      </c>
      <c r="S249" s="1125">
        <v>45861</v>
      </c>
      <c r="T249" s="1042">
        <v>112930</v>
      </c>
      <c r="U249" s="1042" t="s">
        <v>39</v>
      </c>
      <c r="V249" s="1843">
        <v>0</v>
      </c>
      <c r="W249" s="1042" t="s">
        <v>2909</v>
      </c>
      <c r="X249" s="1042"/>
      <c r="Y249" s="1243"/>
      <c r="Z249" s="1128"/>
      <c r="AA249" s="1267"/>
    </row>
    <row r="250" spans="1:27" s="259" customFormat="1" ht="18">
      <c r="A250" s="1243">
        <v>105</v>
      </c>
      <c r="B250" s="1125">
        <v>45862</v>
      </c>
      <c r="C250" s="1120" t="s">
        <v>2058</v>
      </c>
      <c r="D250" s="1120" t="s">
        <v>2252</v>
      </c>
      <c r="E250" s="1120" t="s">
        <v>3479</v>
      </c>
      <c r="F250" s="1120" t="s">
        <v>3480</v>
      </c>
      <c r="G250" s="1245">
        <v>9663117964</v>
      </c>
      <c r="H250" s="1132" t="s">
        <v>3481</v>
      </c>
      <c r="I250" s="1120" t="s">
        <v>3202</v>
      </c>
      <c r="J250" s="1122" t="s">
        <v>77</v>
      </c>
      <c r="K250" s="1122" t="s">
        <v>138</v>
      </c>
      <c r="L250" s="1120" t="s">
        <v>3482</v>
      </c>
      <c r="M250" s="1124" t="s">
        <v>3483</v>
      </c>
      <c r="N250" s="1243">
        <v>368385</v>
      </c>
      <c r="O250" s="1042" t="s">
        <v>37</v>
      </c>
      <c r="P250" s="1042" t="s">
        <v>44</v>
      </c>
      <c r="Q250" s="1306">
        <v>0.6</v>
      </c>
      <c r="R250" s="1243">
        <v>8480231852</v>
      </c>
      <c r="S250" s="1125">
        <v>45909</v>
      </c>
      <c r="T250" s="1042">
        <v>338914</v>
      </c>
      <c r="U250" s="1042" t="s">
        <v>44</v>
      </c>
      <c r="V250" s="1843">
        <v>0</v>
      </c>
      <c r="W250" s="1042" t="s">
        <v>2909</v>
      </c>
      <c r="X250" s="1042"/>
      <c r="Y250" s="1243"/>
      <c r="Z250" s="1128"/>
      <c r="AA250" s="1267"/>
    </row>
    <row r="251" spans="1:27" s="259" customFormat="1" ht="18">
      <c r="A251" s="1042"/>
      <c r="B251" s="1125"/>
      <c r="C251" s="1120" t="s">
        <v>2058</v>
      </c>
      <c r="D251" s="1120" t="s">
        <v>2252</v>
      </c>
      <c r="E251" s="1120" t="s">
        <v>3479</v>
      </c>
      <c r="F251" s="1120" t="s">
        <v>3480</v>
      </c>
      <c r="G251" s="1245">
        <v>9663117964</v>
      </c>
      <c r="H251" s="1132" t="s">
        <v>3481</v>
      </c>
      <c r="I251" s="1120" t="s">
        <v>3202</v>
      </c>
      <c r="J251" s="1122" t="s">
        <v>75</v>
      </c>
      <c r="K251" s="1122" t="s">
        <v>157</v>
      </c>
      <c r="L251" s="1120" t="s">
        <v>3482</v>
      </c>
      <c r="M251" s="1124" t="s">
        <v>3483</v>
      </c>
      <c r="N251" s="1243">
        <v>112930</v>
      </c>
      <c r="O251" s="1042" t="s">
        <v>37</v>
      </c>
      <c r="P251" s="1042" t="s">
        <v>44</v>
      </c>
      <c r="Q251" s="1306">
        <v>0.6</v>
      </c>
      <c r="R251" s="1243">
        <v>8480231852</v>
      </c>
      <c r="S251" s="1125">
        <v>45909</v>
      </c>
      <c r="T251" s="1042">
        <v>112930</v>
      </c>
      <c r="U251" s="1042" t="s">
        <v>44</v>
      </c>
      <c r="V251" s="1843">
        <v>0</v>
      </c>
      <c r="W251" s="1042" t="s">
        <v>2909</v>
      </c>
      <c r="X251" s="1042"/>
      <c r="Y251" s="1243"/>
      <c r="Z251" s="1128"/>
      <c r="AA251" s="1267"/>
    </row>
    <row r="252" spans="1:27" s="259" customFormat="1" ht="18">
      <c r="A252" s="1466">
        <v>106</v>
      </c>
      <c r="B252" s="1465">
        <v>45862</v>
      </c>
      <c r="C252" s="1830" t="s">
        <v>3484</v>
      </c>
      <c r="D252" s="1830" t="s">
        <v>2902</v>
      </c>
      <c r="E252" s="1830" t="s">
        <v>954</v>
      </c>
      <c r="F252" s="1830" t="s">
        <v>3485</v>
      </c>
      <c r="G252" s="1840">
        <v>9840339808</v>
      </c>
      <c r="H252" s="1841" t="s">
        <v>3486</v>
      </c>
      <c r="I252" s="1830" t="s">
        <v>3487</v>
      </c>
      <c r="J252" s="1464" t="s">
        <v>73</v>
      </c>
      <c r="K252" s="1464" t="s">
        <v>138</v>
      </c>
      <c r="L252" s="1830" t="s">
        <v>3488</v>
      </c>
      <c r="M252" s="1833" t="s">
        <v>3489</v>
      </c>
      <c r="N252" s="1466">
        <v>104438</v>
      </c>
      <c r="O252" s="817" t="s">
        <v>37</v>
      </c>
      <c r="P252" s="817" t="s">
        <v>49</v>
      </c>
      <c r="Q252" s="1838">
        <v>0.7</v>
      </c>
      <c r="R252" s="1504"/>
      <c r="S252" s="1465"/>
      <c r="T252" s="817"/>
      <c r="U252" s="817"/>
      <c r="V252" s="1842">
        <v>104438</v>
      </c>
      <c r="W252" s="817" t="s">
        <v>3269</v>
      </c>
      <c r="X252" s="817"/>
      <c r="Y252" s="1466"/>
      <c r="Z252" s="1831"/>
      <c r="AA252" s="4"/>
    </row>
    <row r="253" spans="1:27" s="259" customFormat="1" ht="18">
      <c r="A253" s="817"/>
      <c r="B253" s="1465"/>
      <c r="C253" s="1830" t="s">
        <v>3484</v>
      </c>
      <c r="D253" s="1830" t="s">
        <v>2902</v>
      </c>
      <c r="E253" s="1830" t="s">
        <v>954</v>
      </c>
      <c r="F253" s="1830" t="s">
        <v>3485</v>
      </c>
      <c r="G253" s="1840">
        <v>9840339808</v>
      </c>
      <c r="H253" s="1841" t="s">
        <v>3486</v>
      </c>
      <c r="I253" s="1830" t="s">
        <v>3490</v>
      </c>
      <c r="J253" s="1464" t="s">
        <v>73</v>
      </c>
      <c r="K253" s="1464" t="s">
        <v>138</v>
      </c>
      <c r="L253" s="1830" t="s">
        <v>3488</v>
      </c>
      <c r="M253" s="1833" t="s">
        <v>3489</v>
      </c>
      <c r="N253" s="1466">
        <v>104438</v>
      </c>
      <c r="O253" s="817" t="s">
        <v>37</v>
      </c>
      <c r="P253" s="817" t="s">
        <v>49</v>
      </c>
      <c r="Q253" s="1838">
        <v>0.7</v>
      </c>
      <c r="R253" s="1834"/>
      <c r="S253" s="1465"/>
      <c r="T253" s="817"/>
      <c r="U253" s="817"/>
      <c r="V253" s="1842">
        <v>104438</v>
      </c>
      <c r="W253" s="817" t="s">
        <v>3269</v>
      </c>
      <c r="X253" s="817"/>
      <c r="Y253" s="1835"/>
      <c r="Z253" s="1831"/>
      <c r="AA253" s="4"/>
    </row>
    <row r="254" spans="1:27" s="259" customFormat="1" ht="18">
      <c r="A254" s="817"/>
      <c r="B254" s="1465"/>
      <c r="C254" s="1830" t="s">
        <v>3484</v>
      </c>
      <c r="D254" s="1830" t="s">
        <v>2902</v>
      </c>
      <c r="E254" s="1830" t="s">
        <v>954</v>
      </c>
      <c r="F254" s="1830" t="s">
        <v>3485</v>
      </c>
      <c r="G254" s="1840">
        <v>9840339808</v>
      </c>
      <c r="H254" s="1841" t="s">
        <v>3486</v>
      </c>
      <c r="I254" s="1830" t="s">
        <v>3491</v>
      </c>
      <c r="J254" s="1464" t="s">
        <v>73</v>
      </c>
      <c r="K254" s="1464" t="s">
        <v>138</v>
      </c>
      <c r="L254" s="1830" t="s">
        <v>3488</v>
      </c>
      <c r="M254" s="1833" t="s">
        <v>3489</v>
      </c>
      <c r="N254" s="1466">
        <v>104438</v>
      </c>
      <c r="O254" s="817" t="s">
        <v>37</v>
      </c>
      <c r="P254" s="817" t="s">
        <v>49</v>
      </c>
      <c r="Q254" s="1838">
        <v>0.7</v>
      </c>
      <c r="R254" s="1504"/>
      <c r="S254" s="1465"/>
      <c r="T254" s="817"/>
      <c r="U254" s="817"/>
      <c r="V254" s="1842">
        <v>104438</v>
      </c>
      <c r="W254" s="817" t="s">
        <v>3269</v>
      </c>
      <c r="X254" s="817"/>
      <c r="Y254" s="1466"/>
      <c r="Z254" s="1831"/>
      <c r="AA254" s="4"/>
    </row>
    <row r="255" spans="1:27" s="259" customFormat="1" ht="18">
      <c r="A255" s="1243">
        <v>107</v>
      </c>
      <c r="B255" s="1125">
        <v>45862</v>
      </c>
      <c r="C255" s="1120" t="s">
        <v>3051</v>
      </c>
      <c r="D255" s="1120" t="s">
        <v>2252</v>
      </c>
      <c r="E255" s="1120" t="s">
        <v>873</v>
      </c>
      <c r="F255" s="1120" t="s">
        <v>3052</v>
      </c>
      <c r="G255" s="1245">
        <v>9663804313</v>
      </c>
      <c r="H255" s="1132" t="s">
        <v>3492</v>
      </c>
      <c r="I255" s="1120">
        <v>102007494</v>
      </c>
      <c r="J255" s="1122" t="s">
        <v>79</v>
      </c>
      <c r="K255" s="1122" t="s">
        <v>138</v>
      </c>
      <c r="L255" s="1120" t="s">
        <v>3493</v>
      </c>
      <c r="M255" s="1124" t="s">
        <v>3494</v>
      </c>
      <c r="N255" s="1243">
        <v>25000</v>
      </c>
      <c r="O255" s="1042" t="s">
        <v>37</v>
      </c>
      <c r="P255" s="1042" t="s">
        <v>39</v>
      </c>
      <c r="Q255" s="1306">
        <v>0.8</v>
      </c>
      <c r="R255" s="1243">
        <v>4200288948</v>
      </c>
      <c r="S255" s="1125">
        <v>45868</v>
      </c>
      <c r="T255" s="1042">
        <v>25000</v>
      </c>
      <c r="U255" s="1042" t="s">
        <v>39</v>
      </c>
      <c r="V255" s="1843">
        <v>0</v>
      </c>
      <c r="W255" s="1042" t="s">
        <v>2909</v>
      </c>
      <c r="X255" s="1042"/>
      <c r="Y255" s="1243"/>
      <c r="Z255" s="1128"/>
      <c r="AA255" s="1267"/>
    </row>
    <row r="256" spans="1:27" s="259" customFormat="1" ht="18">
      <c r="A256" s="1243">
        <v>108</v>
      </c>
      <c r="B256" s="1125">
        <v>45880</v>
      </c>
      <c r="C256" s="1120" t="s">
        <v>3043</v>
      </c>
      <c r="D256" s="1120" t="s">
        <v>2252</v>
      </c>
      <c r="E256" s="1195" t="s">
        <v>873</v>
      </c>
      <c r="F256" s="2218" t="s">
        <v>3044</v>
      </c>
      <c r="G256" s="2218">
        <v>9008301410</v>
      </c>
      <c r="H256" s="2219" t="s">
        <v>3045</v>
      </c>
      <c r="I256" s="1120" t="s">
        <v>3049</v>
      </c>
      <c r="J256" s="1122" t="s">
        <v>74</v>
      </c>
      <c r="K256" s="1122" t="s">
        <v>138</v>
      </c>
      <c r="L256" s="1120" t="s">
        <v>3495</v>
      </c>
      <c r="M256" s="1124">
        <v>45866</v>
      </c>
      <c r="N256" s="1243">
        <v>7200</v>
      </c>
      <c r="O256" s="1042" t="s">
        <v>37</v>
      </c>
      <c r="P256" s="1042" t="s">
        <v>39</v>
      </c>
      <c r="Q256" s="1306">
        <v>1</v>
      </c>
      <c r="R256" s="1243">
        <v>1000085781</v>
      </c>
      <c r="S256" s="1125">
        <v>45877</v>
      </c>
      <c r="T256" s="1042">
        <v>7200</v>
      </c>
      <c r="U256" s="1042" t="s">
        <v>39</v>
      </c>
      <c r="V256" s="1843">
        <v>0</v>
      </c>
      <c r="W256" s="1042" t="s">
        <v>2909</v>
      </c>
      <c r="X256" s="1042"/>
      <c r="Y256" s="1243"/>
      <c r="Z256" s="1128"/>
      <c r="AA256" s="1267"/>
    </row>
    <row r="257" spans="1:27" s="259" customFormat="1" ht="18">
      <c r="A257" s="1466">
        <v>109</v>
      </c>
      <c r="B257" s="1465">
        <v>45880</v>
      </c>
      <c r="C257" s="1830"/>
      <c r="D257" s="1830" t="s">
        <v>2902</v>
      </c>
      <c r="E257" s="1830" t="s">
        <v>3086</v>
      </c>
      <c r="F257" s="1830" t="s">
        <v>3496</v>
      </c>
      <c r="G257" s="1840" t="s">
        <v>3497</v>
      </c>
      <c r="H257" s="1841" t="s">
        <v>3498</v>
      </c>
      <c r="I257" s="1830"/>
      <c r="J257" s="1464" t="s">
        <v>80</v>
      </c>
      <c r="K257" s="1464" t="s">
        <v>157</v>
      </c>
      <c r="L257" s="1830" t="s">
        <v>3499</v>
      </c>
      <c r="M257" s="1833">
        <v>45866</v>
      </c>
      <c r="N257" s="1466">
        <v>1348900</v>
      </c>
      <c r="O257" s="817" t="s">
        <v>37</v>
      </c>
      <c r="P257" s="817" t="s">
        <v>49</v>
      </c>
      <c r="Q257" s="1838">
        <v>0.3</v>
      </c>
      <c r="R257" s="1504"/>
      <c r="S257" s="1465"/>
      <c r="T257" s="817"/>
      <c r="U257" s="817"/>
      <c r="V257" s="1839">
        <v>1348900</v>
      </c>
      <c r="W257" s="817" t="s">
        <v>3269</v>
      </c>
      <c r="X257" s="817"/>
      <c r="Y257" s="1466"/>
      <c r="Z257" s="1831"/>
      <c r="AA257" s="4"/>
    </row>
    <row r="258" spans="1:27" s="259" customFormat="1" ht="18">
      <c r="A258" s="1466"/>
      <c r="B258" s="1465"/>
      <c r="C258" s="1830"/>
      <c r="D258" s="1830" t="s">
        <v>2902</v>
      </c>
      <c r="E258" s="1830" t="s">
        <v>3086</v>
      </c>
      <c r="F258" s="1830" t="s">
        <v>3496</v>
      </c>
      <c r="G258" s="1840" t="s">
        <v>3497</v>
      </c>
      <c r="H258" s="1841" t="s">
        <v>3498</v>
      </c>
      <c r="I258" s="1830"/>
      <c r="J258" s="1464" t="s">
        <v>80</v>
      </c>
      <c r="K258" s="1464" t="s">
        <v>157</v>
      </c>
      <c r="L258" s="1830" t="s">
        <v>3499</v>
      </c>
      <c r="M258" s="1833">
        <v>45866</v>
      </c>
      <c r="N258" s="1466">
        <v>1348900</v>
      </c>
      <c r="O258" s="817" t="s">
        <v>37</v>
      </c>
      <c r="P258" s="817" t="s">
        <v>49</v>
      </c>
      <c r="Q258" s="1838">
        <v>0.3</v>
      </c>
      <c r="R258" s="1834"/>
      <c r="S258" s="1465"/>
      <c r="T258" s="817"/>
      <c r="U258" s="817"/>
      <c r="V258" s="1839">
        <v>1348900</v>
      </c>
      <c r="W258" s="817" t="s">
        <v>3269</v>
      </c>
      <c r="X258" s="817"/>
      <c r="Y258" s="1835"/>
      <c r="Z258" s="1831"/>
      <c r="AA258" s="4"/>
    </row>
    <row r="259" spans="1:27" s="259" customFormat="1" ht="18">
      <c r="A259" s="1243">
        <v>110</v>
      </c>
      <c r="B259" s="1125">
        <v>45880</v>
      </c>
      <c r="C259" s="1120" t="s">
        <v>1250</v>
      </c>
      <c r="D259" s="1120" t="s">
        <v>2252</v>
      </c>
      <c r="E259" s="1120" t="s">
        <v>873</v>
      </c>
      <c r="F259" s="1120" t="s">
        <v>3500</v>
      </c>
      <c r="G259" s="1245">
        <v>9538868934</v>
      </c>
      <c r="H259" s="1132" t="s">
        <v>3501</v>
      </c>
      <c r="I259" s="1120" t="s">
        <v>3502</v>
      </c>
      <c r="J259" s="1122" t="s">
        <v>77</v>
      </c>
      <c r="K259" s="1122" t="s">
        <v>138</v>
      </c>
      <c r="L259" s="1120" t="s">
        <v>3503</v>
      </c>
      <c r="M259" s="1124">
        <v>45875</v>
      </c>
      <c r="N259" s="1243">
        <v>336000</v>
      </c>
      <c r="O259" s="1042" t="s">
        <v>39</v>
      </c>
      <c r="P259" s="1042" t="s">
        <v>44</v>
      </c>
      <c r="Q259" s="1306">
        <v>0.7</v>
      </c>
      <c r="R259" s="1243">
        <v>84517970</v>
      </c>
      <c r="S259" s="1125">
        <v>45882</v>
      </c>
      <c r="T259" s="1042">
        <v>336000</v>
      </c>
      <c r="U259" s="1042" t="s">
        <v>39</v>
      </c>
      <c r="V259" s="1843">
        <v>0</v>
      </c>
      <c r="W259" s="1042" t="s">
        <v>2909</v>
      </c>
      <c r="X259" s="1042"/>
      <c r="Y259" s="1243"/>
      <c r="Z259" s="1128"/>
      <c r="AA259" s="1267"/>
    </row>
    <row r="260" spans="1:27" s="259" customFormat="1" ht="18">
      <c r="A260" s="1243">
        <v>111</v>
      </c>
      <c r="B260" s="1125">
        <v>45880</v>
      </c>
      <c r="C260" s="1120" t="s">
        <v>1250</v>
      </c>
      <c r="D260" s="1120" t="s">
        <v>2252</v>
      </c>
      <c r="E260" s="1120" t="s">
        <v>3504</v>
      </c>
      <c r="F260" s="1120" t="s">
        <v>3505</v>
      </c>
      <c r="G260" s="1245">
        <v>9972311883</v>
      </c>
      <c r="H260" s="1132" t="s">
        <v>3506</v>
      </c>
      <c r="I260" s="1120" t="s">
        <v>3283</v>
      </c>
      <c r="J260" s="1122" t="s">
        <v>77</v>
      </c>
      <c r="K260" s="1122" t="s">
        <v>138</v>
      </c>
      <c r="L260" s="1120" t="s">
        <v>3507</v>
      </c>
      <c r="M260" s="1124">
        <v>45875</v>
      </c>
      <c r="N260" s="1243">
        <v>336000</v>
      </c>
      <c r="O260" s="1042" t="s">
        <v>39</v>
      </c>
      <c r="P260" s="1042" t="s">
        <v>44</v>
      </c>
      <c r="Q260" s="1306">
        <v>0.5</v>
      </c>
      <c r="R260" s="1243">
        <v>87356610</v>
      </c>
      <c r="S260" s="1125">
        <v>45912</v>
      </c>
      <c r="T260" s="1042">
        <v>336000</v>
      </c>
      <c r="U260" s="1042" t="s">
        <v>44</v>
      </c>
      <c r="V260" s="1843">
        <v>0</v>
      </c>
      <c r="W260" s="1042" t="s">
        <v>3508</v>
      </c>
      <c r="X260" s="1042"/>
      <c r="Y260" s="1243"/>
      <c r="Z260" s="1128"/>
      <c r="AA260" s="1267"/>
    </row>
    <row r="261" spans="1:27" s="259" customFormat="1" ht="18">
      <c r="A261" s="1243"/>
      <c r="B261" s="1125"/>
      <c r="C261" s="1120" t="s">
        <v>1250</v>
      </c>
      <c r="D261" s="1120" t="s">
        <v>2252</v>
      </c>
      <c r="E261" s="1120" t="s">
        <v>3504</v>
      </c>
      <c r="F261" s="1120" t="s">
        <v>3505</v>
      </c>
      <c r="G261" s="1245">
        <v>9972311883</v>
      </c>
      <c r="H261" s="1132" t="s">
        <v>3506</v>
      </c>
      <c r="I261" s="1120" t="s">
        <v>3286</v>
      </c>
      <c r="J261" s="1122" t="s">
        <v>77</v>
      </c>
      <c r="K261" s="1122" t="s">
        <v>138</v>
      </c>
      <c r="L261" s="1120" t="s">
        <v>3507</v>
      </c>
      <c r="M261" s="1124">
        <v>45875</v>
      </c>
      <c r="N261" s="1243">
        <v>336000</v>
      </c>
      <c r="O261" s="1042" t="s">
        <v>39</v>
      </c>
      <c r="P261" s="1042" t="s">
        <v>44</v>
      </c>
      <c r="Q261" s="1306">
        <v>0.5</v>
      </c>
      <c r="R261" s="1243">
        <v>87356610</v>
      </c>
      <c r="S261" s="1125">
        <v>45912</v>
      </c>
      <c r="T261" s="1042">
        <v>336000</v>
      </c>
      <c r="U261" s="1042" t="s">
        <v>44</v>
      </c>
      <c r="V261" s="1843">
        <v>0</v>
      </c>
      <c r="W261" s="1042" t="s">
        <v>3508</v>
      </c>
      <c r="X261" s="1042"/>
      <c r="Y261" s="1243"/>
      <c r="Z261" s="1128"/>
      <c r="AA261" s="1267"/>
    </row>
    <row r="262" spans="1:27" s="259" customFormat="1" ht="18">
      <c r="A262" s="2271">
        <v>112</v>
      </c>
      <c r="B262" s="2272"/>
      <c r="C262" s="2273" t="s">
        <v>1250</v>
      </c>
      <c r="D262" s="2273" t="s">
        <v>2445</v>
      </c>
      <c r="E262" s="2273" t="s">
        <v>3504</v>
      </c>
      <c r="F262" s="2273" t="s">
        <v>3505</v>
      </c>
      <c r="G262" s="2540">
        <v>9972311883</v>
      </c>
      <c r="H262" s="2541" t="s">
        <v>3506</v>
      </c>
      <c r="I262" s="2273" t="s">
        <v>3509</v>
      </c>
      <c r="J262" s="2277" t="s">
        <v>75</v>
      </c>
      <c r="K262" s="2277" t="s">
        <v>157</v>
      </c>
      <c r="L262" s="2273" t="s">
        <v>3510</v>
      </c>
      <c r="M262" s="2278">
        <v>45875</v>
      </c>
      <c r="N262" s="2271">
        <v>2128843</v>
      </c>
      <c r="O262" s="2279" t="s">
        <v>39</v>
      </c>
      <c r="P262" s="2279" t="s">
        <v>47</v>
      </c>
      <c r="Q262" s="2280">
        <v>0.4</v>
      </c>
      <c r="R262" s="2281"/>
      <c r="S262" s="2272"/>
      <c r="T262" s="2279"/>
      <c r="U262" s="2279"/>
      <c r="V262" s="2282">
        <v>0</v>
      </c>
      <c r="W262" s="2279" t="s">
        <v>3511</v>
      </c>
      <c r="X262" s="2279"/>
      <c r="Y262" s="2271"/>
      <c r="Z262" s="2283" t="s">
        <v>157</v>
      </c>
      <c r="AA262" s="2284"/>
    </row>
    <row r="263" spans="1:27" s="259" customFormat="1" ht="18">
      <c r="A263" s="2271">
        <v>113</v>
      </c>
      <c r="B263" s="2272">
        <v>45880</v>
      </c>
      <c r="C263" s="2273" t="s">
        <v>3142</v>
      </c>
      <c r="D263" s="2273" t="s">
        <v>3143</v>
      </c>
      <c r="E263" s="2273" t="s">
        <v>3469</v>
      </c>
      <c r="F263" s="2274" t="s">
        <v>3230</v>
      </c>
      <c r="G263" s="2275" t="s">
        <v>3231</v>
      </c>
      <c r="H263" s="2276" t="s">
        <v>3232</v>
      </c>
      <c r="I263" s="2273" t="s">
        <v>3233</v>
      </c>
      <c r="J263" s="2277" t="s">
        <v>77</v>
      </c>
      <c r="K263" s="2277" t="s">
        <v>138</v>
      </c>
      <c r="L263" s="2273" t="s">
        <v>3512</v>
      </c>
      <c r="M263" s="2278">
        <v>45869</v>
      </c>
      <c r="N263" s="2271">
        <v>466374</v>
      </c>
      <c r="O263" s="2279" t="s">
        <v>37</v>
      </c>
      <c r="P263" s="2279" t="s">
        <v>44</v>
      </c>
      <c r="Q263" s="2280">
        <v>0.9</v>
      </c>
      <c r="R263" s="2281"/>
      <c r="S263" s="2272"/>
      <c r="T263" s="2279"/>
      <c r="U263" s="2279"/>
      <c r="V263" s="2282">
        <v>0</v>
      </c>
      <c r="W263" s="2279" t="s">
        <v>3513</v>
      </c>
      <c r="X263" s="2279"/>
      <c r="Y263" s="2271"/>
      <c r="Z263" s="2283"/>
      <c r="AA263" s="2284"/>
    </row>
    <row r="264" spans="1:27" s="259" customFormat="1" ht="18">
      <c r="A264" s="2285"/>
      <c r="B264" s="2272"/>
      <c r="C264" s="2273" t="s">
        <v>3142</v>
      </c>
      <c r="D264" s="2273" t="s">
        <v>3143</v>
      </c>
      <c r="E264" s="2273" t="s">
        <v>3469</v>
      </c>
      <c r="F264" s="2274" t="s">
        <v>3230</v>
      </c>
      <c r="G264" s="2275" t="s">
        <v>3231</v>
      </c>
      <c r="H264" s="2276" t="s">
        <v>3232</v>
      </c>
      <c r="I264" s="2273" t="s">
        <v>3146</v>
      </c>
      <c r="J264" s="2277" t="s">
        <v>77</v>
      </c>
      <c r="K264" s="2277" t="s">
        <v>138</v>
      </c>
      <c r="L264" s="2273" t="s">
        <v>3512</v>
      </c>
      <c r="M264" s="2278">
        <v>45869</v>
      </c>
      <c r="N264" s="2271">
        <v>466374</v>
      </c>
      <c r="O264" s="2279" t="s">
        <v>37</v>
      </c>
      <c r="P264" s="2279" t="s">
        <v>44</v>
      </c>
      <c r="Q264" s="2280">
        <v>0.9</v>
      </c>
      <c r="R264" s="2286"/>
      <c r="S264" s="2272"/>
      <c r="T264" s="2279"/>
      <c r="U264" s="2279"/>
      <c r="V264" s="2282">
        <v>0</v>
      </c>
      <c r="W264" s="2279" t="s">
        <v>3513</v>
      </c>
      <c r="X264" s="2279"/>
      <c r="Y264" s="2287"/>
      <c r="Z264" s="2283"/>
      <c r="AA264" s="2284"/>
    </row>
    <row r="265" spans="1:27" s="259" customFormat="1" ht="18">
      <c r="A265" s="2285"/>
      <c r="B265" s="2272"/>
      <c r="C265" s="2273" t="s">
        <v>3142</v>
      </c>
      <c r="D265" s="2273" t="s">
        <v>3143</v>
      </c>
      <c r="E265" s="2273" t="s">
        <v>3469</v>
      </c>
      <c r="F265" s="2274" t="s">
        <v>3230</v>
      </c>
      <c r="G265" s="2275" t="s">
        <v>3231</v>
      </c>
      <c r="H265" s="2276" t="s">
        <v>3232</v>
      </c>
      <c r="I265" s="2273" t="s">
        <v>3152</v>
      </c>
      <c r="J265" s="2277" t="s">
        <v>77</v>
      </c>
      <c r="K265" s="2277" t="s">
        <v>138</v>
      </c>
      <c r="L265" s="2273" t="s">
        <v>3512</v>
      </c>
      <c r="M265" s="2278">
        <v>45869</v>
      </c>
      <c r="N265" s="2271">
        <v>466374</v>
      </c>
      <c r="O265" s="2279" t="s">
        <v>37</v>
      </c>
      <c r="P265" s="2279" t="s">
        <v>44</v>
      </c>
      <c r="Q265" s="2280">
        <v>0.9</v>
      </c>
      <c r="R265" s="2281"/>
      <c r="S265" s="2272"/>
      <c r="T265" s="2279"/>
      <c r="U265" s="2279"/>
      <c r="V265" s="2282">
        <v>0</v>
      </c>
      <c r="W265" s="2279" t="s">
        <v>3513</v>
      </c>
      <c r="X265" s="2279"/>
      <c r="Y265" s="2271"/>
      <c r="Z265" s="2283"/>
      <c r="AA265" s="2284"/>
    </row>
    <row r="266" spans="1:27" s="259" customFormat="1" ht="18">
      <c r="A266" s="2285"/>
      <c r="B266" s="2272"/>
      <c r="C266" s="2273" t="s">
        <v>3142</v>
      </c>
      <c r="D266" s="2273" t="s">
        <v>3143</v>
      </c>
      <c r="E266" s="2273" t="s">
        <v>3469</v>
      </c>
      <c r="F266" s="2274" t="s">
        <v>3230</v>
      </c>
      <c r="G266" s="2275" t="s">
        <v>3231</v>
      </c>
      <c r="H266" s="2276" t="s">
        <v>3232</v>
      </c>
      <c r="I266" s="2273" t="s">
        <v>3153</v>
      </c>
      <c r="J266" s="2277" t="s">
        <v>77</v>
      </c>
      <c r="K266" s="2277" t="s">
        <v>138</v>
      </c>
      <c r="L266" s="2273" t="s">
        <v>3512</v>
      </c>
      <c r="M266" s="2278">
        <v>45869</v>
      </c>
      <c r="N266" s="2271">
        <v>466374</v>
      </c>
      <c r="O266" s="2279" t="s">
        <v>37</v>
      </c>
      <c r="P266" s="2279" t="s">
        <v>44</v>
      </c>
      <c r="Q266" s="2280">
        <v>0.9</v>
      </c>
      <c r="R266" s="2281"/>
      <c r="S266" s="2272"/>
      <c r="T266" s="2279"/>
      <c r="U266" s="2279"/>
      <c r="V266" s="2282">
        <v>0</v>
      </c>
      <c r="W266" s="2279" t="s">
        <v>3513</v>
      </c>
      <c r="X266" s="2279"/>
      <c r="Y266" s="2271"/>
      <c r="Z266" s="2283"/>
      <c r="AA266" s="2284"/>
    </row>
    <row r="267" spans="1:27" s="259" customFormat="1" ht="18">
      <c r="A267" s="2285"/>
      <c r="B267" s="2272"/>
      <c r="C267" s="2273" t="s">
        <v>3142</v>
      </c>
      <c r="D267" s="2273" t="s">
        <v>3143</v>
      </c>
      <c r="E267" s="2273" t="s">
        <v>3469</v>
      </c>
      <c r="F267" s="2274" t="s">
        <v>3230</v>
      </c>
      <c r="G267" s="2275" t="s">
        <v>3231</v>
      </c>
      <c r="H267" s="2276" t="s">
        <v>3232</v>
      </c>
      <c r="I267" s="2273" t="s">
        <v>3154</v>
      </c>
      <c r="J267" s="2277" t="s">
        <v>77</v>
      </c>
      <c r="K267" s="2277" t="s">
        <v>138</v>
      </c>
      <c r="L267" s="2273" t="s">
        <v>3512</v>
      </c>
      <c r="M267" s="2278">
        <v>45869</v>
      </c>
      <c r="N267" s="2271">
        <v>466374</v>
      </c>
      <c r="O267" s="2279" t="s">
        <v>37</v>
      </c>
      <c r="P267" s="2279" t="s">
        <v>44</v>
      </c>
      <c r="Q267" s="2280">
        <v>0.9</v>
      </c>
      <c r="R267" s="2286"/>
      <c r="S267" s="2272"/>
      <c r="T267" s="2279"/>
      <c r="U267" s="2279"/>
      <c r="V267" s="2282">
        <v>0</v>
      </c>
      <c r="W267" s="2279" t="s">
        <v>3513</v>
      </c>
      <c r="X267" s="2279"/>
      <c r="Y267" s="2287"/>
      <c r="Z267" s="2283"/>
      <c r="AA267" s="2284"/>
    </row>
    <row r="268" spans="1:27" s="259" customFormat="1" ht="18">
      <c r="A268" s="2285"/>
      <c r="B268" s="2272"/>
      <c r="C268" s="2273" t="s">
        <v>3142</v>
      </c>
      <c r="D268" s="2273" t="s">
        <v>3143</v>
      </c>
      <c r="E268" s="2273" t="s">
        <v>3469</v>
      </c>
      <c r="F268" s="2274" t="s">
        <v>3230</v>
      </c>
      <c r="G268" s="2275" t="s">
        <v>3231</v>
      </c>
      <c r="H268" s="2276" t="s">
        <v>3232</v>
      </c>
      <c r="I268" s="2273" t="s">
        <v>3155</v>
      </c>
      <c r="J268" s="2277" t="s">
        <v>77</v>
      </c>
      <c r="K268" s="2277" t="s">
        <v>138</v>
      </c>
      <c r="L268" s="2273" t="s">
        <v>3512</v>
      </c>
      <c r="M268" s="2278">
        <v>45869</v>
      </c>
      <c r="N268" s="2271">
        <v>466374</v>
      </c>
      <c r="O268" s="2279" t="s">
        <v>37</v>
      </c>
      <c r="P268" s="2279" t="s">
        <v>44</v>
      </c>
      <c r="Q268" s="2280">
        <v>0.9</v>
      </c>
      <c r="R268" s="2286"/>
      <c r="S268" s="2272"/>
      <c r="T268" s="2279"/>
      <c r="U268" s="2279"/>
      <c r="V268" s="2282">
        <v>0</v>
      </c>
      <c r="W268" s="2279" t="s">
        <v>3513</v>
      </c>
      <c r="X268" s="2279"/>
      <c r="Y268" s="2287"/>
      <c r="Z268" s="2283"/>
      <c r="AA268" s="2284"/>
    </row>
    <row r="269" spans="1:27" s="259" customFormat="1" ht="18">
      <c r="A269" s="2285"/>
      <c r="B269" s="2272"/>
      <c r="C269" s="2273" t="s">
        <v>3142</v>
      </c>
      <c r="D269" s="2273" t="s">
        <v>3143</v>
      </c>
      <c r="E269" s="2273" t="s">
        <v>3469</v>
      </c>
      <c r="F269" s="2274" t="s">
        <v>3230</v>
      </c>
      <c r="G269" s="2275" t="s">
        <v>3231</v>
      </c>
      <c r="H269" s="2276" t="s">
        <v>3232</v>
      </c>
      <c r="I269" s="2273" t="s">
        <v>3156</v>
      </c>
      <c r="J269" s="2277" t="s">
        <v>77</v>
      </c>
      <c r="K269" s="2277" t="s">
        <v>138</v>
      </c>
      <c r="L269" s="2273" t="s">
        <v>3512</v>
      </c>
      <c r="M269" s="2278">
        <v>45869</v>
      </c>
      <c r="N269" s="2271">
        <v>466374</v>
      </c>
      <c r="O269" s="2279" t="s">
        <v>37</v>
      </c>
      <c r="P269" s="2279" t="s">
        <v>44</v>
      </c>
      <c r="Q269" s="2280">
        <v>0.9</v>
      </c>
      <c r="R269" s="2281"/>
      <c r="S269" s="2272"/>
      <c r="T269" s="2279"/>
      <c r="U269" s="2279"/>
      <c r="V269" s="2282">
        <v>0</v>
      </c>
      <c r="W269" s="2279" t="s">
        <v>3513</v>
      </c>
      <c r="X269" s="2279"/>
      <c r="Y269" s="2271"/>
      <c r="Z269" s="2283"/>
      <c r="AA269" s="2284"/>
    </row>
    <row r="270" spans="1:27" s="259" customFormat="1" ht="18">
      <c r="A270" s="2279"/>
      <c r="B270" s="2272"/>
      <c r="C270" s="2273" t="s">
        <v>3142</v>
      </c>
      <c r="D270" s="2273" t="s">
        <v>3143</v>
      </c>
      <c r="E270" s="2273" t="s">
        <v>3469</v>
      </c>
      <c r="F270" s="2274" t="s">
        <v>3230</v>
      </c>
      <c r="G270" s="2275" t="s">
        <v>3231</v>
      </c>
      <c r="H270" s="2276" t="s">
        <v>3232</v>
      </c>
      <c r="I270" s="2273" t="s">
        <v>3157</v>
      </c>
      <c r="J270" s="2277" t="s">
        <v>77</v>
      </c>
      <c r="K270" s="2277" t="s">
        <v>138</v>
      </c>
      <c r="L270" s="2273" t="s">
        <v>3512</v>
      </c>
      <c r="M270" s="2278">
        <v>45869</v>
      </c>
      <c r="N270" s="2271">
        <v>466374</v>
      </c>
      <c r="O270" s="2279" t="s">
        <v>37</v>
      </c>
      <c r="P270" s="2279" t="s">
        <v>44</v>
      </c>
      <c r="Q270" s="2280">
        <v>0.9</v>
      </c>
      <c r="R270" s="2286"/>
      <c r="S270" s="2272"/>
      <c r="T270" s="2279"/>
      <c r="U270" s="2279"/>
      <c r="V270" s="2282">
        <v>0</v>
      </c>
      <c r="W270" s="2279" t="s">
        <v>3513</v>
      </c>
      <c r="X270" s="2279"/>
      <c r="Y270" s="2287"/>
      <c r="Z270" s="2283"/>
      <c r="AA270" s="2284"/>
    </row>
    <row r="271" spans="1:27" s="259" customFormat="1" ht="18">
      <c r="A271" s="2279"/>
      <c r="B271" s="2279"/>
      <c r="C271" s="2273" t="s">
        <v>3142</v>
      </c>
      <c r="D271" s="2273" t="s">
        <v>3143</v>
      </c>
      <c r="E271" s="2273" t="s">
        <v>3469</v>
      </c>
      <c r="F271" s="2274" t="s">
        <v>3230</v>
      </c>
      <c r="G271" s="2275" t="s">
        <v>3231</v>
      </c>
      <c r="H271" s="2276" t="s">
        <v>3232</v>
      </c>
      <c r="I271" s="2273" t="s">
        <v>3158</v>
      </c>
      <c r="J271" s="2288" t="s">
        <v>77</v>
      </c>
      <c r="K271" s="2288" t="s">
        <v>138</v>
      </c>
      <c r="L271" s="2273" t="s">
        <v>3512</v>
      </c>
      <c r="M271" s="2278">
        <v>45869</v>
      </c>
      <c r="N271" s="2271">
        <v>466374</v>
      </c>
      <c r="O271" s="2279" t="s">
        <v>37</v>
      </c>
      <c r="P271" s="2279" t="s">
        <v>44</v>
      </c>
      <c r="Q271" s="2280">
        <v>0.9</v>
      </c>
      <c r="R271" s="2281"/>
      <c r="S271" s="2272"/>
      <c r="T271" s="2279"/>
      <c r="U271" s="2279"/>
      <c r="V271" s="2282">
        <v>0</v>
      </c>
      <c r="W271" s="2279" t="s">
        <v>3513</v>
      </c>
      <c r="X271" s="2279"/>
      <c r="Y271" s="2271"/>
      <c r="Z271" s="2283"/>
      <c r="AA271" s="2284"/>
    </row>
    <row r="272" spans="1:27" s="259" customFormat="1" ht="18">
      <c r="A272" s="2279"/>
      <c r="B272" s="2279"/>
      <c r="C272" s="2273" t="s">
        <v>3142</v>
      </c>
      <c r="D272" s="2273" t="s">
        <v>3143</v>
      </c>
      <c r="E272" s="2273" t="s">
        <v>3469</v>
      </c>
      <c r="F272" s="2274" t="s">
        <v>3230</v>
      </c>
      <c r="G272" s="2275" t="s">
        <v>3231</v>
      </c>
      <c r="H272" s="2276" t="s">
        <v>3232</v>
      </c>
      <c r="I272" s="2273" t="s">
        <v>3233</v>
      </c>
      <c r="J272" s="2288" t="s">
        <v>75</v>
      </c>
      <c r="K272" s="2288" t="s">
        <v>157</v>
      </c>
      <c r="L272" s="2273" t="s">
        <v>3512</v>
      </c>
      <c r="M272" s="2278">
        <v>45869</v>
      </c>
      <c r="N272" s="2271">
        <v>88071</v>
      </c>
      <c r="O272" s="2279" t="s">
        <v>37</v>
      </c>
      <c r="P272" s="2279" t="s">
        <v>44</v>
      </c>
      <c r="Q272" s="2280">
        <v>0.9</v>
      </c>
      <c r="R272" s="2281"/>
      <c r="S272" s="2272"/>
      <c r="T272" s="2279"/>
      <c r="U272" s="2279"/>
      <c r="V272" s="2282">
        <v>0</v>
      </c>
      <c r="W272" s="2279" t="s">
        <v>3513</v>
      </c>
      <c r="X272" s="2279"/>
      <c r="Y272" s="2271"/>
      <c r="Z272" s="2283"/>
      <c r="AA272" s="2284"/>
    </row>
    <row r="273" spans="1:27" s="259" customFormat="1" ht="18">
      <c r="A273" s="2279"/>
      <c r="B273" s="2279"/>
      <c r="C273" s="2273" t="s">
        <v>3142</v>
      </c>
      <c r="D273" s="2273" t="s">
        <v>3143</v>
      </c>
      <c r="E273" s="2273" t="s">
        <v>3469</v>
      </c>
      <c r="F273" s="2274" t="s">
        <v>3230</v>
      </c>
      <c r="G273" s="2275" t="s">
        <v>3231</v>
      </c>
      <c r="H273" s="2276" t="s">
        <v>3232</v>
      </c>
      <c r="I273" s="2273" t="s">
        <v>3146</v>
      </c>
      <c r="J273" s="2288" t="s">
        <v>75</v>
      </c>
      <c r="K273" s="2288" t="s">
        <v>157</v>
      </c>
      <c r="L273" s="2273" t="s">
        <v>3512</v>
      </c>
      <c r="M273" s="2278">
        <v>45869</v>
      </c>
      <c r="N273" s="2271">
        <v>88071</v>
      </c>
      <c r="O273" s="2279" t="s">
        <v>37</v>
      </c>
      <c r="P273" s="2279" t="s">
        <v>44</v>
      </c>
      <c r="Q273" s="2280">
        <v>0.9</v>
      </c>
      <c r="R273" s="2281"/>
      <c r="S273" s="2272"/>
      <c r="T273" s="2279"/>
      <c r="U273" s="2279"/>
      <c r="V273" s="2282">
        <v>0</v>
      </c>
      <c r="W273" s="2279" t="s">
        <v>3513</v>
      </c>
      <c r="X273" s="2279"/>
      <c r="Y273" s="2271"/>
      <c r="Z273" s="2283"/>
      <c r="AA273" s="2284"/>
    </row>
    <row r="274" spans="1:27" s="259" customFormat="1" ht="18">
      <c r="A274" s="2279"/>
      <c r="B274" s="2279"/>
      <c r="C274" s="2273" t="s">
        <v>3142</v>
      </c>
      <c r="D274" s="2273" t="s">
        <v>3143</v>
      </c>
      <c r="E274" s="2273" t="s">
        <v>3469</v>
      </c>
      <c r="F274" s="2274" t="s">
        <v>3230</v>
      </c>
      <c r="G274" s="2275" t="s">
        <v>3231</v>
      </c>
      <c r="H274" s="2276" t="s">
        <v>3232</v>
      </c>
      <c r="I274" s="2273" t="s">
        <v>3152</v>
      </c>
      <c r="J274" s="2288" t="s">
        <v>75</v>
      </c>
      <c r="K274" s="2288" t="s">
        <v>157</v>
      </c>
      <c r="L274" s="2273" t="s">
        <v>3512</v>
      </c>
      <c r="M274" s="2278">
        <v>45869</v>
      </c>
      <c r="N274" s="2271">
        <v>88071</v>
      </c>
      <c r="O274" s="2279" t="s">
        <v>37</v>
      </c>
      <c r="P274" s="2279" t="s">
        <v>44</v>
      </c>
      <c r="Q274" s="2280">
        <v>0.9</v>
      </c>
      <c r="R274" s="2281"/>
      <c r="S274" s="2272"/>
      <c r="T274" s="2279"/>
      <c r="U274" s="2279"/>
      <c r="V274" s="2282">
        <v>0</v>
      </c>
      <c r="W274" s="2279" t="s">
        <v>3513</v>
      </c>
      <c r="X274" s="2279"/>
      <c r="Y274" s="2271"/>
      <c r="Z274" s="2283"/>
      <c r="AA274" s="2284"/>
    </row>
    <row r="275" spans="1:27" s="259" customFormat="1" ht="18">
      <c r="A275" s="2279"/>
      <c r="B275" s="2279"/>
      <c r="C275" s="2273" t="s">
        <v>3142</v>
      </c>
      <c r="D275" s="2273" t="s">
        <v>3143</v>
      </c>
      <c r="E275" s="2273" t="s">
        <v>3469</v>
      </c>
      <c r="F275" s="2274" t="s">
        <v>3230</v>
      </c>
      <c r="G275" s="2275" t="s">
        <v>3231</v>
      </c>
      <c r="H275" s="2276" t="s">
        <v>3232</v>
      </c>
      <c r="I275" s="2273" t="s">
        <v>3153</v>
      </c>
      <c r="J275" s="2288" t="s">
        <v>75</v>
      </c>
      <c r="K275" s="2288" t="s">
        <v>157</v>
      </c>
      <c r="L275" s="2273" t="s">
        <v>3512</v>
      </c>
      <c r="M275" s="2278">
        <v>45869</v>
      </c>
      <c r="N275" s="2271">
        <v>88071</v>
      </c>
      <c r="O275" s="2279" t="s">
        <v>37</v>
      </c>
      <c r="P275" s="2279" t="s">
        <v>44</v>
      </c>
      <c r="Q275" s="2280">
        <v>0.9</v>
      </c>
      <c r="R275" s="2281"/>
      <c r="S275" s="2272"/>
      <c r="T275" s="2279"/>
      <c r="U275" s="2279"/>
      <c r="V275" s="2282">
        <v>0</v>
      </c>
      <c r="W275" s="2279" t="s">
        <v>3513</v>
      </c>
      <c r="X275" s="2279"/>
      <c r="Y275" s="2271"/>
      <c r="Z275" s="2283"/>
      <c r="AA275" s="2284"/>
    </row>
    <row r="276" spans="1:27" s="259" customFormat="1" ht="18">
      <c r="A276" s="2279"/>
      <c r="B276" s="2279"/>
      <c r="C276" s="2289" t="s">
        <v>3142</v>
      </c>
      <c r="D276" s="2289" t="s">
        <v>3143</v>
      </c>
      <c r="E276" s="2273" t="s">
        <v>3469</v>
      </c>
      <c r="F276" s="2274" t="s">
        <v>3230</v>
      </c>
      <c r="G276" s="2275" t="s">
        <v>3231</v>
      </c>
      <c r="H276" s="2276" t="s">
        <v>3232</v>
      </c>
      <c r="I276" s="2289" t="s">
        <v>3154</v>
      </c>
      <c r="J276" s="2288" t="s">
        <v>75</v>
      </c>
      <c r="K276" s="2288" t="s">
        <v>157</v>
      </c>
      <c r="L276" s="2273" t="s">
        <v>3512</v>
      </c>
      <c r="M276" s="2278">
        <v>45869</v>
      </c>
      <c r="N276" s="2271">
        <v>88071</v>
      </c>
      <c r="O276" s="2279" t="s">
        <v>37</v>
      </c>
      <c r="P276" s="2279" t="s">
        <v>44</v>
      </c>
      <c r="Q276" s="2280">
        <v>0.9</v>
      </c>
      <c r="R276" s="2281"/>
      <c r="S276" s="2272"/>
      <c r="T276" s="2279"/>
      <c r="U276" s="2279"/>
      <c r="V276" s="2282">
        <v>0</v>
      </c>
      <c r="W276" s="2279" t="s">
        <v>3513</v>
      </c>
      <c r="X276" s="2279"/>
      <c r="Y276" s="2271"/>
      <c r="Z276" s="2283"/>
      <c r="AA276" s="2284"/>
    </row>
    <row r="277" spans="1:27" s="259" customFormat="1" ht="18">
      <c r="A277" s="2279"/>
      <c r="B277" s="2279"/>
      <c r="C277" s="2273" t="s">
        <v>3142</v>
      </c>
      <c r="D277" s="2273" t="s">
        <v>3143</v>
      </c>
      <c r="E277" s="2273" t="s">
        <v>3469</v>
      </c>
      <c r="F277" s="2274" t="s">
        <v>3230</v>
      </c>
      <c r="G277" s="2275" t="s">
        <v>3231</v>
      </c>
      <c r="H277" s="2276" t="s">
        <v>3232</v>
      </c>
      <c r="I277" s="2273" t="s">
        <v>3155</v>
      </c>
      <c r="J277" s="2277" t="s">
        <v>75</v>
      </c>
      <c r="K277" s="2277" t="s">
        <v>157</v>
      </c>
      <c r="L277" s="2273" t="s">
        <v>3512</v>
      </c>
      <c r="M277" s="2278">
        <v>45869</v>
      </c>
      <c r="N277" s="2271">
        <v>88071</v>
      </c>
      <c r="O277" s="2279" t="s">
        <v>37</v>
      </c>
      <c r="P277" s="2279" t="s">
        <v>44</v>
      </c>
      <c r="Q277" s="2280">
        <v>0.9</v>
      </c>
      <c r="R277" s="2281"/>
      <c r="S277" s="2272"/>
      <c r="T277" s="2279"/>
      <c r="U277" s="2279"/>
      <c r="V277" s="2282">
        <v>0</v>
      </c>
      <c r="W277" s="2279" t="s">
        <v>3513</v>
      </c>
      <c r="X277" s="2279"/>
      <c r="Y277" s="2271"/>
      <c r="Z277" s="2283"/>
      <c r="AA277" s="2284"/>
    </row>
    <row r="278" spans="1:27" s="259" customFormat="1" ht="18">
      <c r="A278" s="2279"/>
      <c r="B278" s="2279"/>
      <c r="C278" s="2273" t="s">
        <v>3142</v>
      </c>
      <c r="D278" s="2273" t="s">
        <v>3143</v>
      </c>
      <c r="E278" s="2273" t="s">
        <v>3469</v>
      </c>
      <c r="F278" s="2274" t="s">
        <v>3230</v>
      </c>
      <c r="G278" s="2275" t="s">
        <v>3231</v>
      </c>
      <c r="H278" s="2276" t="s">
        <v>3232</v>
      </c>
      <c r="I278" s="2273" t="s">
        <v>3156</v>
      </c>
      <c r="J278" s="2277" t="s">
        <v>75</v>
      </c>
      <c r="K278" s="2277" t="s">
        <v>157</v>
      </c>
      <c r="L278" s="2273" t="s">
        <v>3512</v>
      </c>
      <c r="M278" s="2278">
        <v>45869</v>
      </c>
      <c r="N278" s="2271">
        <v>88071</v>
      </c>
      <c r="O278" s="2279" t="s">
        <v>37</v>
      </c>
      <c r="P278" s="2279" t="s">
        <v>44</v>
      </c>
      <c r="Q278" s="2280">
        <v>0.9</v>
      </c>
      <c r="R278" s="2281"/>
      <c r="S278" s="2272"/>
      <c r="T278" s="2279"/>
      <c r="U278" s="2279"/>
      <c r="V278" s="2282">
        <v>0</v>
      </c>
      <c r="W278" s="2279" t="s">
        <v>3513</v>
      </c>
      <c r="X278" s="2279"/>
      <c r="Y278" s="2271"/>
      <c r="Z278" s="2283"/>
      <c r="AA278" s="2284"/>
    </row>
    <row r="279" spans="1:27" s="259" customFormat="1" ht="18">
      <c r="A279" s="2279"/>
      <c r="B279" s="2279"/>
      <c r="C279" s="2273" t="s">
        <v>3142</v>
      </c>
      <c r="D279" s="2273" t="s">
        <v>3143</v>
      </c>
      <c r="E279" s="2273" t="s">
        <v>3469</v>
      </c>
      <c r="F279" s="2274" t="s">
        <v>3230</v>
      </c>
      <c r="G279" s="2275" t="s">
        <v>3231</v>
      </c>
      <c r="H279" s="2276" t="s">
        <v>3232</v>
      </c>
      <c r="I279" s="2273" t="s">
        <v>3157</v>
      </c>
      <c r="J279" s="2277" t="s">
        <v>75</v>
      </c>
      <c r="K279" s="2277" t="s">
        <v>157</v>
      </c>
      <c r="L279" s="2273" t="s">
        <v>3512</v>
      </c>
      <c r="M279" s="2278">
        <v>45869</v>
      </c>
      <c r="N279" s="2271">
        <v>88071</v>
      </c>
      <c r="O279" s="2279" t="s">
        <v>37</v>
      </c>
      <c r="P279" s="2279" t="s">
        <v>44</v>
      </c>
      <c r="Q279" s="2280">
        <v>0.9</v>
      </c>
      <c r="R279" s="2281"/>
      <c r="S279" s="2272"/>
      <c r="T279" s="2279"/>
      <c r="U279" s="2279"/>
      <c r="V279" s="2282">
        <v>0</v>
      </c>
      <c r="W279" s="2279" t="s">
        <v>3513</v>
      </c>
      <c r="X279" s="2279"/>
      <c r="Y279" s="2271"/>
      <c r="Z279" s="2283"/>
      <c r="AA279" s="2284"/>
    </row>
    <row r="280" spans="1:27" s="259" customFormat="1" ht="18">
      <c r="A280" s="2279"/>
      <c r="B280" s="2279"/>
      <c r="C280" s="2273" t="s">
        <v>3142</v>
      </c>
      <c r="D280" s="2273" t="s">
        <v>3143</v>
      </c>
      <c r="E280" s="2273" t="s">
        <v>3469</v>
      </c>
      <c r="F280" s="2274" t="s">
        <v>3230</v>
      </c>
      <c r="G280" s="2275" t="s">
        <v>3231</v>
      </c>
      <c r="H280" s="2276" t="s">
        <v>3232</v>
      </c>
      <c r="I280" s="2273" t="s">
        <v>3158</v>
      </c>
      <c r="J280" s="2277" t="s">
        <v>75</v>
      </c>
      <c r="K280" s="2277" t="s">
        <v>157</v>
      </c>
      <c r="L280" s="2273" t="s">
        <v>3512</v>
      </c>
      <c r="M280" s="2278">
        <v>45869</v>
      </c>
      <c r="N280" s="2271">
        <v>88071</v>
      </c>
      <c r="O280" s="2279" t="s">
        <v>37</v>
      </c>
      <c r="P280" s="2279" t="s">
        <v>44</v>
      </c>
      <c r="Q280" s="2280">
        <v>0.9</v>
      </c>
      <c r="R280" s="2281"/>
      <c r="S280" s="2272"/>
      <c r="T280" s="2279"/>
      <c r="U280" s="2279"/>
      <c r="V280" s="2282">
        <v>0</v>
      </c>
      <c r="W280" s="2279" t="s">
        <v>3513</v>
      </c>
      <c r="X280" s="2279"/>
      <c r="Y280" s="2271"/>
      <c r="Z280" s="2283"/>
      <c r="AA280" s="2284"/>
    </row>
    <row r="281" spans="1:27" s="259" customFormat="1" ht="18">
      <c r="A281" s="817">
        <v>114</v>
      </c>
      <c r="B281" s="1465">
        <v>45880</v>
      </c>
      <c r="C281" s="1830" t="s">
        <v>3142</v>
      </c>
      <c r="D281" s="1830" t="s">
        <v>3143</v>
      </c>
      <c r="E281" s="1830" t="s">
        <v>3469</v>
      </c>
      <c r="F281" s="2203" t="s">
        <v>3230</v>
      </c>
      <c r="G281" s="2204" t="s">
        <v>3231</v>
      </c>
      <c r="H281" s="1448" t="s">
        <v>3232</v>
      </c>
      <c r="I281" s="1830" t="s">
        <v>3157</v>
      </c>
      <c r="J281" s="1464" t="s">
        <v>81</v>
      </c>
      <c r="K281" s="1464" t="s">
        <v>157</v>
      </c>
      <c r="L281" s="1830" t="s">
        <v>3235</v>
      </c>
      <c r="M281" s="1833">
        <v>45719</v>
      </c>
      <c r="N281" s="1466">
        <v>2120000</v>
      </c>
      <c r="O281" s="817" t="s">
        <v>25</v>
      </c>
      <c r="P281" s="817" t="s">
        <v>44</v>
      </c>
      <c r="Q281" s="1838">
        <v>0.9</v>
      </c>
      <c r="R281" s="1504"/>
      <c r="S281" s="1465"/>
      <c r="T281" s="817"/>
      <c r="U281" s="817"/>
      <c r="V281" s="1839">
        <v>2120000</v>
      </c>
      <c r="W281" s="817" t="s">
        <v>3514</v>
      </c>
      <c r="X281" s="817"/>
      <c r="Y281" s="1466"/>
      <c r="Z281" s="1831" t="s">
        <v>3515</v>
      </c>
      <c r="AA281" s="1831" t="s">
        <v>3515</v>
      </c>
    </row>
    <row r="282" spans="1:27" s="259" customFormat="1" ht="18">
      <c r="A282" s="1042">
        <v>115</v>
      </c>
      <c r="B282" s="1125">
        <v>45895</v>
      </c>
      <c r="C282" s="1120" t="s">
        <v>3051</v>
      </c>
      <c r="D282" s="1120" t="s">
        <v>2252</v>
      </c>
      <c r="E282" s="1120" t="s">
        <v>3516</v>
      </c>
      <c r="F282" s="1120" t="s">
        <v>3517</v>
      </c>
      <c r="G282" s="1245" t="s">
        <v>3317</v>
      </c>
      <c r="H282" s="1132" t="s">
        <v>3518</v>
      </c>
      <c r="I282" s="1120">
        <v>102007494</v>
      </c>
      <c r="J282" s="1122" t="s">
        <v>77</v>
      </c>
      <c r="K282" s="1122" t="s">
        <v>138</v>
      </c>
      <c r="L282" s="1120" t="s">
        <v>3519</v>
      </c>
      <c r="M282" s="1124">
        <v>45882</v>
      </c>
      <c r="N282" s="1243">
        <v>268000</v>
      </c>
      <c r="O282" s="1042" t="s">
        <v>39</v>
      </c>
      <c r="P282" s="1042" t="s">
        <v>44</v>
      </c>
      <c r="Q282" s="1306">
        <v>0.9</v>
      </c>
      <c r="R282" s="1243">
        <v>4200292236</v>
      </c>
      <c r="S282" s="1125">
        <v>250013</v>
      </c>
      <c r="T282" s="1042">
        <v>250000</v>
      </c>
      <c r="U282" s="1042" t="s">
        <v>39</v>
      </c>
      <c r="V282" s="1843">
        <f>Table62689345679[[#This Row],[PO Value]]-Table62689345679[[#This Row],[Offer Value]]</f>
        <v>0</v>
      </c>
      <c r="W282" s="1042" t="s">
        <v>2909</v>
      </c>
      <c r="X282" s="1042"/>
      <c r="Y282" s="1243"/>
      <c r="Z282" s="1128"/>
      <c r="AA282" s="1267"/>
    </row>
    <row r="283" spans="1:27" s="259" customFormat="1" ht="18">
      <c r="A283" s="2640">
        <v>116</v>
      </c>
      <c r="B283" s="2539">
        <v>45895</v>
      </c>
      <c r="C283" s="2315" t="s">
        <v>614</v>
      </c>
      <c r="D283" s="2315" t="s">
        <v>2902</v>
      </c>
      <c r="E283" s="2076" t="s">
        <v>3263</v>
      </c>
      <c r="F283" s="2076" t="s">
        <v>3264</v>
      </c>
      <c r="G283" s="2175" t="s">
        <v>3265</v>
      </c>
      <c r="H283" s="1817" t="s">
        <v>3266</v>
      </c>
      <c r="I283" s="1830" t="s">
        <v>3270</v>
      </c>
      <c r="J283" s="1830" t="s">
        <v>83</v>
      </c>
      <c r="K283" s="1464" t="s">
        <v>157</v>
      </c>
      <c r="L283" s="1830" t="s">
        <v>3520</v>
      </c>
      <c r="M283" s="1833">
        <v>45882</v>
      </c>
      <c r="N283" s="1466">
        <v>1687010</v>
      </c>
      <c r="O283" s="817" t="s">
        <v>39</v>
      </c>
      <c r="P283" s="817" t="s">
        <v>62</v>
      </c>
      <c r="Q283" s="1838">
        <v>0.6</v>
      </c>
      <c r="R283" s="1835"/>
      <c r="S283" s="1465"/>
      <c r="T283" s="817"/>
      <c r="U283" s="817"/>
      <c r="V283" s="1839">
        <v>1687010</v>
      </c>
      <c r="W283" s="817" t="s">
        <v>3365</v>
      </c>
      <c r="X283" s="817"/>
      <c r="Y283" s="1835"/>
      <c r="Z283" s="1831" t="s">
        <v>157</v>
      </c>
      <c r="AA283" s="4"/>
    </row>
    <row r="284" spans="1:27" s="259" customFormat="1" ht="18">
      <c r="A284" s="1042">
        <v>117</v>
      </c>
      <c r="B284" s="1125">
        <v>45895</v>
      </c>
      <c r="C284" s="1120" t="s">
        <v>993</v>
      </c>
      <c r="D284" s="1120" t="s">
        <v>2902</v>
      </c>
      <c r="E284" s="1120" t="s">
        <v>873</v>
      </c>
      <c r="F284" s="1246" t="s">
        <v>3026</v>
      </c>
      <c r="G284" s="1246">
        <v>8888826015</v>
      </c>
      <c r="H284" s="1142" t="s">
        <v>3027</v>
      </c>
      <c r="I284" s="1120" t="s">
        <v>3028</v>
      </c>
      <c r="J284" s="1122" t="s">
        <v>74</v>
      </c>
      <c r="K284" s="1122" t="s">
        <v>138</v>
      </c>
      <c r="L284" s="1120" t="s">
        <v>3521</v>
      </c>
      <c r="M284" s="1124">
        <v>45891</v>
      </c>
      <c r="N284" s="1243">
        <v>257586</v>
      </c>
      <c r="O284" s="1042" t="s">
        <v>39</v>
      </c>
      <c r="P284" s="1042" t="s">
        <v>39</v>
      </c>
      <c r="Q284" s="1306">
        <v>1</v>
      </c>
      <c r="R284" s="1243">
        <v>4400013773</v>
      </c>
      <c r="S284" s="1125">
        <v>45891</v>
      </c>
      <c r="T284" s="1042">
        <v>247282.56</v>
      </c>
      <c r="U284" s="1042" t="s">
        <v>39</v>
      </c>
      <c r="V284" s="1843">
        <v>0</v>
      </c>
      <c r="W284" s="1042" t="s">
        <v>2909</v>
      </c>
      <c r="X284" s="1042"/>
      <c r="Y284" s="2223"/>
      <c r="Z284" s="1128"/>
      <c r="AA284" s="1267"/>
    </row>
    <row r="285" spans="1:27" s="259" customFormat="1" ht="18">
      <c r="A285" s="817">
        <v>118</v>
      </c>
      <c r="B285" s="1465">
        <v>45895</v>
      </c>
      <c r="C285" s="1830" t="s">
        <v>2910</v>
      </c>
      <c r="D285" s="1830" t="s">
        <v>2252</v>
      </c>
      <c r="E285" s="2076" t="s">
        <v>3100</v>
      </c>
      <c r="F285" s="2076" t="s">
        <v>2912</v>
      </c>
      <c r="G285" s="2076">
        <v>9845660933</v>
      </c>
      <c r="H285" s="1817" t="s">
        <v>2913</v>
      </c>
      <c r="I285" s="1830" t="s">
        <v>3522</v>
      </c>
      <c r="J285" s="1832" t="s">
        <v>73</v>
      </c>
      <c r="K285" s="1832" t="s">
        <v>138</v>
      </c>
      <c r="L285" s="1836" t="s">
        <v>3523</v>
      </c>
      <c r="M285" s="2224">
        <v>45894</v>
      </c>
      <c r="N285" s="1466">
        <v>35056</v>
      </c>
      <c r="O285" s="817" t="s">
        <v>39</v>
      </c>
      <c r="P285" s="817" t="s">
        <v>47</v>
      </c>
      <c r="Q285" s="1838">
        <v>1</v>
      </c>
      <c r="R285" s="1504"/>
      <c r="S285" s="1465"/>
      <c r="T285" s="817"/>
      <c r="U285" s="817"/>
      <c r="V285" s="1839">
        <v>35056</v>
      </c>
      <c r="W285" s="817" t="s">
        <v>3524</v>
      </c>
      <c r="X285" s="817"/>
      <c r="Y285" s="1466"/>
      <c r="Z285" s="1831"/>
      <c r="AA285" s="4"/>
    </row>
    <row r="286" spans="1:27" s="259" customFormat="1" ht="18">
      <c r="A286" s="817"/>
      <c r="B286" s="1465"/>
      <c r="C286" s="1830" t="s">
        <v>2910</v>
      </c>
      <c r="D286" s="1830" t="s">
        <v>2252</v>
      </c>
      <c r="E286" s="2076" t="s">
        <v>3100</v>
      </c>
      <c r="F286" s="2076" t="s">
        <v>2912</v>
      </c>
      <c r="G286" s="2076">
        <v>9845660933</v>
      </c>
      <c r="H286" s="1817" t="s">
        <v>2913</v>
      </c>
      <c r="I286" s="1830" t="s">
        <v>3160</v>
      </c>
      <c r="J286" s="1832" t="s">
        <v>73</v>
      </c>
      <c r="K286" s="1832" t="s">
        <v>138</v>
      </c>
      <c r="L286" s="1836" t="s">
        <v>3523</v>
      </c>
      <c r="M286" s="2224">
        <v>45894</v>
      </c>
      <c r="N286" s="1466">
        <v>35056</v>
      </c>
      <c r="O286" s="817" t="s">
        <v>39</v>
      </c>
      <c r="P286" s="817" t="s">
        <v>47</v>
      </c>
      <c r="Q286" s="1838">
        <v>1</v>
      </c>
      <c r="R286" s="1504"/>
      <c r="S286" s="1465"/>
      <c r="T286" s="817"/>
      <c r="U286" s="817"/>
      <c r="V286" s="1839">
        <v>35056</v>
      </c>
      <c r="W286" s="817" t="s">
        <v>3524</v>
      </c>
      <c r="X286" s="817"/>
      <c r="Y286" s="1466"/>
      <c r="Z286" s="1831"/>
      <c r="AA286" s="4"/>
    </row>
    <row r="287" spans="1:27" s="259" customFormat="1" ht="18">
      <c r="A287" s="817"/>
      <c r="B287" s="1465"/>
      <c r="C287" s="1830" t="s">
        <v>2910</v>
      </c>
      <c r="D287" s="1830" t="s">
        <v>2252</v>
      </c>
      <c r="E287" s="2076" t="s">
        <v>3100</v>
      </c>
      <c r="F287" s="2076" t="s">
        <v>2912</v>
      </c>
      <c r="G287" s="2076">
        <v>9845660933</v>
      </c>
      <c r="H287" s="1817" t="s">
        <v>2913</v>
      </c>
      <c r="I287" s="1830" t="s">
        <v>3165</v>
      </c>
      <c r="J287" s="1832" t="s">
        <v>73</v>
      </c>
      <c r="K287" s="1832" t="s">
        <v>138</v>
      </c>
      <c r="L287" s="1836" t="s">
        <v>3523</v>
      </c>
      <c r="M287" s="2224">
        <v>45894</v>
      </c>
      <c r="N287" s="1466">
        <v>35056</v>
      </c>
      <c r="O287" s="817" t="s">
        <v>39</v>
      </c>
      <c r="P287" s="817" t="s">
        <v>47</v>
      </c>
      <c r="Q287" s="1838">
        <v>1</v>
      </c>
      <c r="R287" s="1504"/>
      <c r="S287" s="1465"/>
      <c r="T287" s="817"/>
      <c r="U287" s="817"/>
      <c r="V287" s="1839">
        <v>35056</v>
      </c>
      <c r="W287" s="817" t="s">
        <v>3524</v>
      </c>
      <c r="X287" s="817"/>
      <c r="Y287" s="1466"/>
      <c r="Z287" s="1831"/>
      <c r="AA287" s="4"/>
    </row>
    <row r="288" spans="1:27" s="259" customFormat="1" ht="18">
      <c r="A288" s="817"/>
      <c r="B288" s="1465"/>
      <c r="C288" s="1830" t="s">
        <v>2910</v>
      </c>
      <c r="D288" s="1830" t="s">
        <v>2252</v>
      </c>
      <c r="E288" s="2076" t="s">
        <v>3100</v>
      </c>
      <c r="F288" s="2076" t="s">
        <v>2912</v>
      </c>
      <c r="G288" s="2076">
        <v>9845660933</v>
      </c>
      <c r="H288" s="1817" t="s">
        <v>2913</v>
      </c>
      <c r="I288" s="1830" t="s">
        <v>3166</v>
      </c>
      <c r="J288" s="1832" t="s">
        <v>73</v>
      </c>
      <c r="K288" s="1832" t="s">
        <v>138</v>
      </c>
      <c r="L288" s="1836" t="s">
        <v>3523</v>
      </c>
      <c r="M288" s="2224">
        <v>45894</v>
      </c>
      <c r="N288" s="1466">
        <v>35056</v>
      </c>
      <c r="O288" s="817" t="s">
        <v>39</v>
      </c>
      <c r="P288" s="817" t="s">
        <v>47</v>
      </c>
      <c r="Q288" s="1838">
        <v>1</v>
      </c>
      <c r="R288" s="1504"/>
      <c r="S288" s="1465"/>
      <c r="T288" s="817"/>
      <c r="U288" s="817"/>
      <c r="V288" s="1839">
        <v>35056</v>
      </c>
      <c r="W288" s="817" t="s">
        <v>3524</v>
      </c>
      <c r="X288" s="817"/>
      <c r="Y288" s="1466"/>
      <c r="Z288" s="1831"/>
      <c r="AA288" s="4"/>
    </row>
    <row r="289" spans="1:27" s="171" customFormat="1" ht="15.75" customHeight="1">
      <c r="A289" s="817"/>
      <c r="B289" s="1465"/>
      <c r="C289" s="1830" t="s">
        <v>2910</v>
      </c>
      <c r="D289" s="1830" t="s">
        <v>2252</v>
      </c>
      <c r="E289" s="2076" t="s">
        <v>3100</v>
      </c>
      <c r="F289" s="2076" t="s">
        <v>2912</v>
      </c>
      <c r="G289" s="2076">
        <v>9845660933</v>
      </c>
      <c r="H289" s="1817" t="s">
        <v>2913</v>
      </c>
      <c r="I289" s="1830" t="s">
        <v>3167</v>
      </c>
      <c r="J289" s="1832" t="s">
        <v>73</v>
      </c>
      <c r="K289" s="1832" t="s">
        <v>138</v>
      </c>
      <c r="L289" s="1836" t="s">
        <v>3523</v>
      </c>
      <c r="M289" s="2224">
        <v>45894</v>
      </c>
      <c r="N289" s="1466">
        <v>35056</v>
      </c>
      <c r="O289" s="817" t="s">
        <v>39</v>
      </c>
      <c r="P289" s="817" t="s">
        <v>47</v>
      </c>
      <c r="Q289" s="1838">
        <v>1</v>
      </c>
      <c r="R289" s="1834"/>
      <c r="S289" s="1465"/>
      <c r="T289" s="817"/>
      <c r="U289" s="817"/>
      <c r="V289" s="1839">
        <v>35056</v>
      </c>
      <c r="W289" s="817" t="s">
        <v>3524</v>
      </c>
      <c r="X289" s="817"/>
      <c r="Y289" s="1835"/>
      <c r="Z289" s="1831"/>
      <c r="AA289" s="4"/>
    </row>
    <row r="290" spans="1:27" s="171" customFormat="1" ht="15.6">
      <c r="A290" s="817"/>
      <c r="B290" s="1465"/>
      <c r="C290" s="1830" t="s">
        <v>2910</v>
      </c>
      <c r="D290" s="1830" t="s">
        <v>2252</v>
      </c>
      <c r="E290" s="2076" t="s">
        <v>3100</v>
      </c>
      <c r="F290" s="2076" t="s">
        <v>2912</v>
      </c>
      <c r="G290" s="2076">
        <v>9845660933</v>
      </c>
      <c r="H290" s="1817" t="s">
        <v>2913</v>
      </c>
      <c r="I290" s="1830" t="s">
        <v>3168</v>
      </c>
      <c r="J290" s="1832" t="s">
        <v>73</v>
      </c>
      <c r="K290" s="1832" t="s">
        <v>138</v>
      </c>
      <c r="L290" s="1836" t="s">
        <v>3523</v>
      </c>
      <c r="M290" s="2224">
        <v>45894</v>
      </c>
      <c r="N290" s="1466">
        <v>35056</v>
      </c>
      <c r="O290" s="817" t="s">
        <v>39</v>
      </c>
      <c r="P290" s="817" t="s">
        <v>47</v>
      </c>
      <c r="Q290" s="1838">
        <v>1</v>
      </c>
      <c r="R290" s="1834"/>
      <c r="S290" s="1465"/>
      <c r="T290" s="817"/>
      <c r="U290" s="817"/>
      <c r="V290" s="1839">
        <v>35056</v>
      </c>
      <c r="W290" s="817" t="s">
        <v>3524</v>
      </c>
      <c r="X290" s="817"/>
      <c r="Y290" s="1835"/>
      <c r="Z290" s="1831"/>
      <c r="AA290" s="4"/>
    </row>
    <row r="291" spans="1:27" s="171" customFormat="1" ht="15.6">
      <c r="A291" s="817"/>
      <c r="B291" s="1465"/>
      <c r="C291" s="1830" t="s">
        <v>2910</v>
      </c>
      <c r="D291" s="1830" t="s">
        <v>2252</v>
      </c>
      <c r="E291" s="2076" t="s">
        <v>3100</v>
      </c>
      <c r="F291" s="2076" t="s">
        <v>2912</v>
      </c>
      <c r="G291" s="2076">
        <v>9845660933</v>
      </c>
      <c r="H291" s="1817" t="s">
        <v>2913</v>
      </c>
      <c r="I291" s="1830" t="s">
        <v>3169</v>
      </c>
      <c r="J291" s="1832" t="s">
        <v>73</v>
      </c>
      <c r="K291" s="1832" t="s">
        <v>138</v>
      </c>
      <c r="L291" s="1836" t="s">
        <v>3523</v>
      </c>
      <c r="M291" s="2224">
        <v>45894</v>
      </c>
      <c r="N291" s="1466">
        <v>35056</v>
      </c>
      <c r="O291" s="817" t="s">
        <v>39</v>
      </c>
      <c r="P291" s="817" t="s">
        <v>47</v>
      </c>
      <c r="Q291" s="1838">
        <v>1</v>
      </c>
      <c r="R291" s="1504"/>
      <c r="S291" s="1465"/>
      <c r="T291" s="817"/>
      <c r="U291" s="817"/>
      <c r="V291" s="1839">
        <v>35056</v>
      </c>
      <c r="W291" s="817" t="s">
        <v>3524</v>
      </c>
      <c r="X291" s="817"/>
      <c r="Y291" s="1466"/>
      <c r="Z291" s="1831"/>
      <c r="AA291" s="4"/>
    </row>
    <row r="292" spans="1:27" s="171" customFormat="1" ht="15.6">
      <c r="A292" s="817"/>
      <c r="B292" s="1465"/>
      <c r="C292" s="1830" t="s">
        <v>2910</v>
      </c>
      <c r="D292" s="1830" t="s">
        <v>2252</v>
      </c>
      <c r="E292" s="2076" t="s">
        <v>3100</v>
      </c>
      <c r="F292" s="2076" t="s">
        <v>2912</v>
      </c>
      <c r="G292" s="2076">
        <v>9845660933</v>
      </c>
      <c r="H292" s="1817" t="s">
        <v>2913</v>
      </c>
      <c r="I292" s="1830" t="s">
        <v>3192</v>
      </c>
      <c r="J292" s="1832" t="s">
        <v>73</v>
      </c>
      <c r="K292" s="1832" t="s">
        <v>138</v>
      </c>
      <c r="L292" s="1836" t="s">
        <v>3523</v>
      </c>
      <c r="M292" s="2224">
        <v>45894</v>
      </c>
      <c r="N292" s="1466">
        <v>35056</v>
      </c>
      <c r="O292" s="817" t="s">
        <v>39</v>
      </c>
      <c r="P292" s="817" t="s">
        <v>47</v>
      </c>
      <c r="Q292" s="1838">
        <v>1</v>
      </c>
      <c r="R292" s="1504"/>
      <c r="S292" s="1465"/>
      <c r="T292" s="817"/>
      <c r="U292" s="817"/>
      <c r="V292" s="1839">
        <v>35056</v>
      </c>
      <c r="W292" s="817" t="s">
        <v>3524</v>
      </c>
      <c r="X292" s="817"/>
      <c r="Y292" s="1466"/>
      <c r="Z292" s="1831"/>
      <c r="AA292" s="4"/>
    </row>
    <row r="293" spans="1:27" s="171" customFormat="1" ht="15.6">
      <c r="A293" s="817"/>
      <c r="B293" s="1465"/>
      <c r="C293" s="1830" t="s">
        <v>2910</v>
      </c>
      <c r="D293" s="1830" t="s">
        <v>2252</v>
      </c>
      <c r="E293" s="2076" t="s">
        <v>3100</v>
      </c>
      <c r="F293" s="2076" t="s">
        <v>2912</v>
      </c>
      <c r="G293" s="2076">
        <v>9845660933</v>
      </c>
      <c r="H293" s="1817" t="s">
        <v>2913</v>
      </c>
      <c r="I293" s="1830" t="s">
        <v>3191</v>
      </c>
      <c r="J293" s="1832" t="s">
        <v>73</v>
      </c>
      <c r="K293" s="1832" t="s">
        <v>138</v>
      </c>
      <c r="L293" s="1836" t="s">
        <v>3523</v>
      </c>
      <c r="M293" s="2224">
        <v>45894</v>
      </c>
      <c r="N293" s="1466">
        <v>35056</v>
      </c>
      <c r="O293" s="817" t="s">
        <v>39</v>
      </c>
      <c r="P293" s="817" t="s">
        <v>47</v>
      </c>
      <c r="Q293" s="1838">
        <v>1</v>
      </c>
      <c r="R293" s="1504"/>
      <c r="S293" s="1465"/>
      <c r="T293" s="817"/>
      <c r="U293" s="817"/>
      <c r="V293" s="1839">
        <v>35056</v>
      </c>
      <c r="W293" s="817" t="s">
        <v>3524</v>
      </c>
      <c r="X293" s="817"/>
      <c r="Y293" s="1466"/>
      <c r="Z293" s="1831"/>
      <c r="AA293" s="4"/>
    </row>
    <row r="294" spans="1:27" s="171" customFormat="1" ht="15.6">
      <c r="A294" s="817"/>
      <c r="B294" s="1465"/>
      <c r="C294" s="1830" t="s">
        <v>2910</v>
      </c>
      <c r="D294" s="1830" t="s">
        <v>2252</v>
      </c>
      <c r="E294" s="2076" t="s">
        <v>3100</v>
      </c>
      <c r="F294" s="2076" t="s">
        <v>2912</v>
      </c>
      <c r="G294" s="2076">
        <v>9845660933</v>
      </c>
      <c r="H294" s="1817" t="s">
        <v>2913</v>
      </c>
      <c r="I294" s="1830" t="s">
        <v>3170</v>
      </c>
      <c r="J294" s="1832" t="s">
        <v>73</v>
      </c>
      <c r="K294" s="1832" t="s">
        <v>138</v>
      </c>
      <c r="L294" s="1836" t="s">
        <v>3523</v>
      </c>
      <c r="M294" s="2224">
        <v>45894</v>
      </c>
      <c r="N294" s="1466">
        <v>42185</v>
      </c>
      <c r="O294" s="817" t="s">
        <v>39</v>
      </c>
      <c r="P294" s="817" t="s">
        <v>47</v>
      </c>
      <c r="Q294" s="1838">
        <v>1</v>
      </c>
      <c r="R294" s="1504"/>
      <c r="S294" s="1465"/>
      <c r="T294" s="817"/>
      <c r="U294" s="817"/>
      <c r="V294" s="1839">
        <v>42185</v>
      </c>
      <c r="W294" s="817" t="s">
        <v>3524</v>
      </c>
      <c r="X294" s="817"/>
      <c r="Y294" s="1466"/>
      <c r="Z294" s="1831"/>
      <c r="AA294" s="4"/>
    </row>
    <row r="295" spans="1:27" s="171" customFormat="1" ht="15.6">
      <c r="A295" s="817"/>
      <c r="B295" s="1465"/>
      <c r="C295" s="1830" t="s">
        <v>2910</v>
      </c>
      <c r="D295" s="1830" t="s">
        <v>2252</v>
      </c>
      <c r="E295" s="2076" t="s">
        <v>3100</v>
      </c>
      <c r="F295" s="2076" t="s">
        <v>2912</v>
      </c>
      <c r="G295" s="2076">
        <v>9845660933</v>
      </c>
      <c r="H295" s="1817" t="s">
        <v>2913</v>
      </c>
      <c r="I295" s="1830" t="s">
        <v>3171</v>
      </c>
      <c r="J295" s="1832" t="s">
        <v>73</v>
      </c>
      <c r="K295" s="1832" t="s">
        <v>138</v>
      </c>
      <c r="L295" s="1836" t="s">
        <v>3523</v>
      </c>
      <c r="M295" s="2224">
        <v>45894</v>
      </c>
      <c r="N295" s="1466">
        <v>42185</v>
      </c>
      <c r="O295" s="817" t="s">
        <v>39</v>
      </c>
      <c r="P295" s="817" t="s">
        <v>47</v>
      </c>
      <c r="Q295" s="1838">
        <v>1</v>
      </c>
      <c r="R295" s="1504"/>
      <c r="S295" s="1465"/>
      <c r="T295" s="817"/>
      <c r="U295" s="817"/>
      <c r="V295" s="1839">
        <v>42185</v>
      </c>
      <c r="W295" s="817" t="s">
        <v>3524</v>
      </c>
      <c r="X295" s="817"/>
      <c r="Y295" s="1466"/>
      <c r="Z295" s="1831"/>
      <c r="AA295" s="4"/>
    </row>
    <row r="296" spans="1:27" s="171" customFormat="1" ht="15.6">
      <c r="A296" s="817"/>
      <c r="B296" s="1465"/>
      <c r="C296" s="1830" t="s">
        <v>2910</v>
      </c>
      <c r="D296" s="1830" t="s">
        <v>2252</v>
      </c>
      <c r="E296" s="2076" t="s">
        <v>3100</v>
      </c>
      <c r="F296" s="2076" t="s">
        <v>2912</v>
      </c>
      <c r="G296" s="2076">
        <v>9845660933</v>
      </c>
      <c r="H296" s="1817" t="s">
        <v>2913</v>
      </c>
      <c r="I296" s="1830" t="s">
        <v>3172</v>
      </c>
      <c r="J296" s="1832" t="s">
        <v>73</v>
      </c>
      <c r="K296" s="1832" t="s">
        <v>138</v>
      </c>
      <c r="L296" s="1836" t="s">
        <v>3523</v>
      </c>
      <c r="M296" s="2224">
        <v>45894</v>
      </c>
      <c r="N296" s="1466">
        <v>42185</v>
      </c>
      <c r="O296" s="817" t="s">
        <v>39</v>
      </c>
      <c r="P296" s="817" t="s">
        <v>47</v>
      </c>
      <c r="Q296" s="1838">
        <v>1</v>
      </c>
      <c r="R296" s="1834"/>
      <c r="S296" s="1465"/>
      <c r="T296" s="817"/>
      <c r="U296" s="817"/>
      <c r="V296" s="1839">
        <v>42185</v>
      </c>
      <c r="W296" s="817" t="s">
        <v>3524</v>
      </c>
      <c r="X296" s="817"/>
      <c r="Y296" s="1835"/>
      <c r="Z296" s="1831"/>
      <c r="AA296" s="4"/>
    </row>
    <row r="297" spans="1:27" s="171" customFormat="1" ht="15.6">
      <c r="A297" s="817"/>
      <c r="B297" s="1465"/>
      <c r="C297" s="1830" t="s">
        <v>2910</v>
      </c>
      <c r="D297" s="1830" t="s">
        <v>2252</v>
      </c>
      <c r="E297" s="2076" t="s">
        <v>3100</v>
      </c>
      <c r="F297" s="2076" t="s">
        <v>2912</v>
      </c>
      <c r="G297" s="2076">
        <v>9845660933</v>
      </c>
      <c r="H297" s="1817" t="s">
        <v>2913</v>
      </c>
      <c r="I297" s="1830" t="s">
        <v>3173</v>
      </c>
      <c r="J297" s="1832" t="s">
        <v>73</v>
      </c>
      <c r="K297" s="1832" t="s">
        <v>138</v>
      </c>
      <c r="L297" s="1836" t="s">
        <v>3523</v>
      </c>
      <c r="M297" s="2224">
        <v>45894</v>
      </c>
      <c r="N297" s="1466">
        <v>42185</v>
      </c>
      <c r="O297" s="817" t="s">
        <v>39</v>
      </c>
      <c r="P297" s="817" t="s">
        <v>47</v>
      </c>
      <c r="Q297" s="1838">
        <v>1</v>
      </c>
      <c r="R297" s="1504"/>
      <c r="S297" s="1465"/>
      <c r="T297" s="817"/>
      <c r="U297" s="817"/>
      <c r="V297" s="1839">
        <v>42185</v>
      </c>
      <c r="W297" s="817" t="s">
        <v>3524</v>
      </c>
      <c r="X297" s="817"/>
      <c r="Y297" s="1466"/>
      <c r="Z297" s="1831"/>
      <c r="AA297" s="4"/>
    </row>
    <row r="298" spans="1:27" s="171" customFormat="1" ht="15.6">
      <c r="A298" s="817"/>
      <c r="B298" s="1465"/>
      <c r="C298" s="1830" t="s">
        <v>2910</v>
      </c>
      <c r="D298" s="1830" t="s">
        <v>2252</v>
      </c>
      <c r="E298" s="2076" t="s">
        <v>3100</v>
      </c>
      <c r="F298" s="2076" t="s">
        <v>2912</v>
      </c>
      <c r="G298" s="2076">
        <v>9845660933</v>
      </c>
      <c r="H298" s="1817" t="s">
        <v>2913</v>
      </c>
      <c r="I298" s="1830" t="s">
        <v>3174</v>
      </c>
      <c r="J298" s="1832" t="s">
        <v>73</v>
      </c>
      <c r="K298" s="1832" t="s">
        <v>138</v>
      </c>
      <c r="L298" s="1836" t="s">
        <v>3523</v>
      </c>
      <c r="M298" s="2224">
        <v>45894</v>
      </c>
      <c r="N298" s="1466">
        <v>42185</v>
      </c>
      <c r="O298" s="817" t="s">
        <v>39</v>
      </c>
      <c r="P298" s="817" t="s">
        <v>47</v>
      </c>
      <c r="Q298" s="1838">
        <v>1</v>
      </c>
      <c r="R298" s="1504"/>
      <c r="S298" s="1465"/>
      <c r="T298" s="817"/>
      <c r="U298" s="817"/>
      <c r="V298" s="1839">
        <v>42185</v>
      </c>
      <c r="W298" s="817" t="s">
        <v>3524</v>
      </c>
      <c r="X298" s="817"/>
      <c r="Y298" s="1466"/>
      <c r="Z298" s="1831"/>
      <c r="AA298" s="4"/>
    </row>
    <row r="299" spans="1:27" s="171" customFormat="1" ht="15.6">
      <c r="A299" s="817"/>
      <c r="B299" s="1465"/>
      <c r="C299" s="1830" t="s">
        <v>2910</v>
      </c>
      <c r="D299" s="1830" t="s">
        <v>2252</v>
      </c>
      <c r="E299" s="2076" t="s">
        <v>3100</v>
      </c>
      <c r="F299" s="2076" t="s">
        <v>2912</v>
      </c>
      <c r="G299" s="2076">
        <v>9845660933</v>
      </c>
      <c r="H299" s="1817" t="s">
        <v>2913</v>
      </c>
      <c r="I299" s="1830" t="s">
        <v>3175</v>
      </c>
      <c r="J299" s="1832" t="s">
        <v>73</v>
      </c>
      <c r="K299" s="1832" t="s">
        <v>138</v>
      </c>
      <c r="L299" s="1836" t="s">
        <v>3523</v>
      </c>
      <c r="M299" s="2224">
        <v>45894</v>
      </c>
      <c r="N299" s="1466">
        <v>42185</v>
      </c>
      <c r="O299" s="817" t="s">
        <v>39</v>
      </c>
      <c r="P299" s="817" t="s">
        <v>47</v>
      </c>
      <c r="Q299" s="1838">
        <v>1</v>
      </c>
      <c r="R299" s="1504"/>
      <c r="S299" s="1465"/>
      <c r="T299" s="817"/>
      <c r="U299" s="817"/>
      <c r="V299" s="1839">
        <v>42185</v>
      </c>
      <c r="W299" s="817" t="s">
        <v>3524</v>
      </c>
      <c r="X299" s="817"/>
      <c r="Y299" s="1466"/>
      <c r="Z299" s="1831"/>
      <c r="AA299" s="4"/>
    </row>
    <row r="300" spans="1:27" s="171" customFormat="1" ht="15.6">
      <c r="A300" s="817"/>
      <c r="B300" s="1465"/>
      <c r="C300" s="1830" t="s">
        <v>2910</v>
      </c>
      <c r="D300" s="1830" t="s">
        <v>2252</v>
      </c>
      <c r="E300" s="2076" t="s">
        <v>3100</v>
      </c>
      <c r="F300" s="2076" t="s">
        <v>2912</v>
      </c>
      <c r="G300" s="2076">
        <v>9845660933</v>
      </c>
      <c r="H300" s="1817" t="s">
        <v>2913</v>
      </c>
      <c r="I300" s="1830" t="s">
        <v>3176</v>
      </c>
      <c r="J300" s="1832" t="s">
        <v>73</v>
      </c>
      <c r="K300" s="1832" t="s">
        <v>138</v>
      </c>
      <c r="L300" s="1836" t="s">
        <v>3523</v>
      </c>
      <c r="M300" s="2224">
        <v>45894</v>
      </c>
      <c r="N300" s="1466">
        <v>42185</v>
      </c>
      <c r="O300" s="817" t="s">
        <v>39</v>
      </c>
      <c r="P300" s="817" t="s">
        <v>47</v>
      </c>
      <c r="Q300" s="1838">
        <v>1</v>
      </c>
      <c r="R300" s="1504"/>
      <c r="S300" s="1465"/>
      <c r="T300" s="817"/>
      <c r="U300" s="817"/>
      <c r="V300" s="1839">
        <v>42185</v>
      </c>
      <c r="W300" s="817" t="s">
        <v>3524</v>
      </c>
      <c r="X300" s="817"/>
      <c r="Y300" s="1466"/>
      <c r="Z300" s="1831"/>
      <c r="AA300" s="4"/>
    </row>
    <row r="301" spans="1:27" s="171" customFormat="1" ht="15.6">
      <c r="A301" s="817"/>
      <c r="B301" s="1465"/>
      <c r="C301" s="1830" t="s">
        <v>2910</v>
      </c>
      <c r="D301" s="1830" t="s">
        <v>2252</v>
      </c>
      <c r="E301" s="2076" t="s">
        <v>3100</v>
      </c>
      <c r="F301" s="2076" t="s">
        <v>2912</v>
      </c>
      <c r="G301" s="2076">
        <v>9845660933</v>
      </c>
      <c r="H301" s="1817" t="s">
        <v>2913</v>
      </c>
      <c r="I301" s="1830" t="s">
        <v>3177</v>
      </c>
      <c r="J301" s="1832" t="s">
        <v>73</v>
      </c>
      <c r="K301" s="1832" t="s">
        <v>138</v>
      </c>
      <c r="L301" s="1836" t="s">
        <v>3523</v>
      </c>
      <c r="M301" s="2224">
        <v>45894</v>
      </c>
      <c r="N301" s="1466">
        <v>42185</v>
      </c>
      <c r="O301" s="817" t="s">
        <v>39</v>
      </c>
      <c r="P301" s="817" t="s">
        <v>47</v>
      </c>
      <c r="Q301" s="1838">
        <v>1</v>
      </c>
      <c r="R301" s="1834"/>
      <c r="S301" s="1465"/>
      <c r="T301" s="817"/>
      <c r="U301" s="817"/>
      <c r="V301" s="1839">
        <v>42185</v>
      </c>
      <c r="W301" s="817" t="s">
        <v>3524</v>
      </c>
      <c r="X301" s="817"/>
      <c r="Y301" s="1835"/>
      <c r="Z301" s="1831"/>
      <c r="AA301" s="4"/>
    </row>
    <row r="302" spans="1:27" s="171" customFormat="1" ht="15.6">
      <c r="A302" s="817"/>
      <c r="B302" s="817"/>
      <c r="C302" s="1830" t="s">
        <v>2910</v>
      </c>
      <c r="D302" s="1830" t="s">
        <v>2252</v>
      </c>
      <c r="E302" s="2076" t="s">
        <v>3100</v>
      </c>
      <c r="F302" s="2076" t="s">
        <v>2912</v>
      </c>
      <c r="G302" s="2076">
        <v>9845660933</v>
      </c>
      <c r="H302" s="1817" t="s">
        <v>2913</v>
      </c>
      <c r="I302" s="1830" t="s">
        <v>3178</v>
      </c>
      <c r="J302" s="1832" t="s">
        <v>73</v>
      </c>
      <c r="K302" s="1832" t="s">
        <v>138</v>
      </c>
      <c r="L302" s="1836" t="s">
        <v>3523</v>
      </c>
      <c r="M302" s="2224">
        <v>45894</v>
      </c>
      <c r="N302" s="1466">
        <v>42185</v>
      </c>
      <c r="O302" s="817" t="s">
        <v>39</v>
      </c>
      <c r="P302" s="817" t="s">
        <v>47</v>
      </c>
      <c r="Q302" s="1838">
        <v>1</v>
      </c>
      <c r="R302" s="1504"/>
      <c r="S302" s="1465"/>
      <c r="T302" s="817"/>
      <c r="U302" s="817"/>
      <c r="V302" s="1839">
        <v>42185</v>
      </c>
      <c r="W302" s="817" t="s">
        <v>3524</v>
      </c>
      <c r="X302" s="817"/>
      <c r="Y302" s="1466"/>
      <c r="Z302" s="1831"/>
      <c r="AA302" s="4"/>
    </row>
    <row r="303" spans="1:27" s="171" customFormat="1" ht="15.6">
      <c r="A303" s="817"/>
      <c r="B303" s="817"/>
      <c r="C303" s="1830" t="s">
        <v>2910</v>
      </c>
      <c r="D303" s="1830" t="s">
        <v>2252</v>
      </c>
      <c r="E303" s="2076" t="s">
        <v>3100</v>
      </c>
      <c r="F303" s="2076" t="s">
        <v>2912</v>
      </c>
      <c r="G303" s="2076">
        <v>9845660933</v>
      </c>
      <c r="H303" s="1817" t="s">
        <v>2913</v>
      </c>
      <c r="I303" s="1830" t="s">
        <v>3179</v>
      </c>
      <c r="J303" s="1832" t="s">
        <v>73</v>
      </c>
      <c r="K303" s="1832" t="s">
        <v>138</v>
      </c>
      <c r="L303" s="1836" t="s">
        <v>3523</v>
      </c>
      <c r="M303" s="2224">
        <v>45894</v>
      </c>
      <c r="N303" s="1466">
        <v>42185</v>
      </c>
      <c r="O303" s="817" t="s">
        <v>39</v>
      </c>
      <c r="P303" s="817" t="s">
        <v>47</v>
      </c>
      <c r="Q303" s="1838">
        <v>1</v>
      </c>
      <c r="R303" s="1504"/>
      <c r="S303" s="1465"/>
      <c r="T303" s="817"/>
      <c r="U303" s="817"/>
      <c r="V303" s="1839">
        <v>42185</v>
      </c>
      <c r="W303" s="817" t="s">
        <v>3524</v>
      </c>
      <c r="X303" s="817"/>
      <c r="Y303" s="1466"/>
      <c r="Z303" s="1831"/>
      <c r="AA303" s="4"/>
    </row>
    <row r="304" spans="1:27" s="171" customFormat="1" ht="15.6">
      <c r="A304" s="817"/>
      <c r="B304" s="817"/>
      <c r="C304" s="1830" t="s">
        <v>2910</v>
      </c>
      <c r="D304" s="1830" t="s">
        <v>2252</v>
      </c>
      <c r="E304" s="2076" t="s">
        <v>3100</v>
      </c>
      <c r="F304" s="2076" t="s">
        <v>2912</v>
      </c>
      <c r="G304" s="2076">
        <v>9845660933</v>
      </c>
      <c r="H304" s="1817" t="s">
        <v>2913</v>
      </c>
      <c r="I304" s="1830" t="s">
        <v>3180</v>
      </c>
      <c r="J304" s="1832" t="s">
        <v>73</v>
      </c>
      <c r="K304" s="1832" t="s">
        <v>138</v>
      </c>
      <c r="L304" s="1836" t="s">
        <v>3523</v>
      </c>
      <c r="M304" s="2224">
        <v>45894</v>
      </c>
      <c r="N304" s="1466">
        <v>42185</v>
      </c>
      <c r="O304" s="817" t="s">
        <v>39</v>
      </c>
      <c r="P304" s="817" t="s">
        <v>47</v>
      </c>
      <c r="Q304" s="1838">
        <v>1</v>
      </c>
      <c r="R304" s="1504"/>
      <c r="S304" s="1465"/>
      <c r="T304" s="817"/>
      <c r="U304" s="817"/>
      <c r="V304" s="1839">
        <v>42185</v>
      </c>
      <c r="W304" s="817" t="s">
        <v>3524</v>
      </c>
      <c r="X304" s="817"/>
      <c r="Y304" s="1466"/>
      <c r="Z304" s="1831"/>
      <c r="AA304" s="4"/>
    </row>
    <row r="305" spans="1:27" s="171" customFormat="1" ht="15.6">
      <c r="A305" s="817"/>
      <c r="B305" s="817"/>
      <c r="C305" s="1830" t="s">
        <v>2910</v>
      </c>
      <c r="D305" s="1830" t="s">
        <v>2252</v>
      </c>
      <c r="E305" s="2076" t="s">
        <v>3100</v>
      </c>
      <c r="F305" s="2076" t="s">
        <v>2912</v>
      </c>
      <c r="G305" s="2076">
        <v>9845660933</v>
      </c>
      <c r="H305" s="1817" t="s">
        <v>2913</v>
      </c>
      <c r="I305" s="1830" t="s">
        <v>3181</v>
      </c>
      <c r="J305" s="1832" t="s">
        <v>73</v>
      </c>
      <c r="K305" s="1832" t="s">
        <v>138</v>
      </c>
      <c r="L305" s="1836" t="s">
        <v>3523</v>
      </c>
      <c r="M305" s="2224">
        <v>45894</v>
      </c>
      <c r="N305" s="1466">
        <v>42185</v>
      </c>
      <c r="O305" s="817" t="s">
        <v>39</v>
      </c>
      <c r="P305" s="817" t="s">
        <v>47</v>
      </c>
      <c r="Q305" s="1838">
        <v>1</v>
      </c>
      <c r="R305" s="1504"/>
      <c r="S305" s="1465"/>
      <c r="T305" s="817"/>
      <c r="U305" s="817"/>
      <c r="V305" s="1839">
        <v>42185</v>
      </c>
      <c r="W305" s="817" t="s">
        <v>3524</v>
      </c>
      <c r="X305" s="817"/>
      <c r="Y305" s="1466"/>
      <c r="Z305" s="1831"/>
      <c r="AA305" s="4"/>
    </row>
    <row r="306" spans="1:27" s="171" customFormat="1" ht="15.6">
      <c r="A306" s="817"/>
      <c r="B306" s="817"/>
      <c r="C306" s="1830" t="s">
        <v>2910</v>
      </c>
      <c r="D306" s="1830" t="s">
        <v>2252</v>
      </c>
      <c r="E306" s="2076" t="s">
        <v>3100</v>
      </c>
      <c r="F306" s="2076" t="s">
        <v>2912</v>
      </c>
      <c r="G306" s="2076">
        <v>9845660933</v>
      </c>
      <c r="H306" s="1817" t="s">
        <v>2913</v>
      </c>
      <c r="I306" s="1830" t="s">
        <v>3182</v>
      </c>
      <c r="J306" s="1832" t="s">
        <v>73</v>
      </c>
      <c r="K306" s="1832" t="s">
        <v>138</v>
      </c>
      <c r="L306" s="1836" t="s">
        <v>3523</v>
      </c>
      <c r="M306" s="2224">
        <v>45894</v>
      </c>
      <c r="N306" s="1466">
        <v>42185</v>
      </c>
      <c r="O306" s="817" t="s">
        <v>39</v>
      </c>
      <c r="P306" s="817" t="s">
        <v>47</v>
      </c>
      <c r="Q306" s="1838">
        <v>1</v>
      </c>
      <c r="R306" s="1504"/>
      <c r="S306" s="1465"/>
      <c r="T306" s="817"/>
      <c r="U306" s="817"/>
      <c r="V306" s="1839">
        <v>42185</v>
      </c>
      <c r="W306" s="817" t="s">
        <v>3524</v>
      </c>
      <c r="X306" s="817"/>
      <c r="Y306" s="1466"/>
      <c r="Z306" s="1831"/>
      <c r="AA306" s="4"/>
    </row>
    <row r="307" spans="1:27" s="171" customFormat="1" ht="15.6">
      <c r="A307" s="817"/>
      <c r="B307" s="817"/>
      <c r="C307" s="1830" t="s">
        <v>2910</v>
      </c>
      <c r="D307" s="1830" t="s">
        <v>2252</v>
      </c>
      <c r="E307" s="2076" t="s">
        <v>3100</v>
      </c>
      <c r="F307" s="2076" t="s">
        <v>2912</v>
      </c>
      <c r="G307" s="2076">
        <v>9845660933</v>
      </c>
      <c r="H307" s="1817" t="s">
        <v>2913</v>
      </c>
      <c r="I307" s="1830" t="s">
        <v>3183</v>
      </c>
      <c r="J307" s="1832" t="s">
        <v>73</v>
      </c>
      <c r="K307" s="1832" t="s">
        <v>138</v>
      </c>
      <c r="L307" s="1836" t="s">
        <v>3523</v>
      </c>
      <c r="M307" s="2224">
        <v>45894</v>
      </c>
      <c r="N307" s="1466">
        <v>42185</v>
      </c>
      <c r="O307" s="817" t="s">
        <v>39</v>
      </c>
      <c r="P307" s="817" t="s">
        <v>47</v>
      </c>
      <c r="Q307" s="1838">
        <v>1</v>
      </c>
      <c r="R307" s="1504"/>
      <c r="S307" s="1465"/>
      <c r="T307" s="817"/>
      <c r="U307" s="817"/>
      <c r="V307" s="1839">
        <v>42185</v>
      </c>
      <c r="W307" s="817" t="s">
        <v>3524</v>
      </c>
      <c r="X307" s="817"/>
      <c r="Y307" s="1466"/>
      <c r="Z307" s="1831"/>
      <c r="AA307" s="4"/>
    </row>
    <row r="308" spans="1:27" s="171" customFormat="1" ht="15.6">
      <c r="A308" s="817"/>
      <c r="B308" s="817"/>
      <c r="C308" s="1830" t="s">
        <v>2910</v>
      </c>
      <c r="D308" s="1830" t="s">
        <v>2252</v>
      </c>
      <c r="E308" s="2076" t="s">
        <v>3100</v>
      </c>
      <c r="F308" s="2076" t="s">
        <v>2912</v>
      </c>
      <c r="G308" s="2076">
        <v>9845660933</v>
      </c>
      <c r="H308" s="1817" t="s">
        <v>2913</v>
      </c>
      <c r="I308" s="1830" t="s">
        <v>2914</v>
      </c>
      <c r="J308" s="1832" t="s">
        <v>73</v>
      </c>
      <c r="K308" s="1832" t="s">
        <v>138</v>
      </c>
      <c r="L308" s="1836" t="s">
        <v>3523</v>
      </c>
      <c r="M308" s="2224">
        <v>45894</v>
      </c>
      <c r="N308" s="1466">
        <v>42185</v>
      </c>
      <c r="O308" s="817" t="s">
        <v>39</v>
      </c>
      <c r="P308" s="817" t="s">
        <v>47</v>
      </c>
      <c r="Q308" s="1838">
        <v>1</v>
      </c>
      <c r="R308" s="1504"/>
      <c r="S308" s="1465"/>
      <c r="T308" s="817"/>
      <c r="U308" s="817"/>
      <c r="V308" s="1839">
        <v>42185</v>
      </c>
      <c r="W308" s="817" t="s">
        <v>3524</v>
      </c>
      <c r="X308" s="817"/>
      <c r="Y308" s="1466"/>
      <c r="Z308" s="1831"/>
      <c r="AA308" s="4"/>
    </row>
    <row r="309" spans="1:27" s="171" customFormat="1" ht="15.6">
      <c r="A309" s="817"/>
      <c r="B309" s="817"/>
      <c r="C309" s="1830" t="s">
        <v>2910</v>
      </c>
      <c r="D309" s="1830" t="s">
        <v>2252</v>
      </c>
      <c r="E309" s="2076" t="s">
        <v>3100</v>
      </c>
      <c r="F309" s="2076" t="s">
        <v>2912</v>
      </c>
      <c r="G309" s="2076">
        <v>9845660933</v>
      </c>
      <c r="H309" s="1817" t="s">
        <v>2913</v>
      </c>
      <c r="I309" s="1830" t="s">
        <v>3184</v>
      </c>
      <c r="J309" s="1832" t="s">
        <v>73</v>
      </c>
      <c r="K309" s="1832" t="s">
        <v>138</v>
      </c>
      <c r="L309" s="1836" t="s">
        <v>3523</v>
      </c>
      <c r="M309" s="2224">
        <v>45894</v>
      </c>
      <c r="N309" s="1466">
        <v>42185</v>
      </c>
      <c r="O309" s="817" t="s">
        <v>39</v>
      </c>
      <c r="P309" s="817" t="s">
        <v>47</v>
      </c>
      <c r="Q309" s="1838">
        <v>1</v>
      </c>
      <c r="R309" s="1504"/>
      <c r="S309" s="1465"/>
      <c r="T309" s="817"/>
      <c r="U309" s="817"/>
      <c r="V309" s="1839">
        <v>42185</v>
      </c>
      <c r="W309" s="817" t="s">
        <v>3524</v>
      </c>
      <c r="X309" s="817"/>
      <c r="Y309" s="1466"/>
      <c r="Z309" s="1831"/>
      <c r="AA309" s="4"/>
    </row>
    <row r="310" spans="1:27" s="171" customFormat="1" ht="15.6">
      <c r="A310" s="817"/>
      <c r="B310" s="817"/>
      <c r="C310" s="1830" t="s">
        <v>2910</v>
      </c>
      <c r="D310" s="1830" t="s">
        <v>2252</v>
      </c>
      <c r="E310" s="2076" t="s">
        <v>3100</v>
      </c>
      <c r="F310" s="2076" t="s">
        <v>2912</v>
      </c>
      <c r="G310" s="2076">
        <v>9845660933</v>
      </c>
      <c r="H310" s="1817" t="s">
        <v>2913</v>
      </c>
      <c r="I310" s="1830" t="s">
        <v>3185</v>
      </c>
      <c r="J310" s="1832" t="s">
        <v>73</v>
      </c>
      <c r="K310" s="1832" t="s">
        <v>138</v>
      </c>
      <c r="L310" s="1836" t="s">
        <v>3523</v>
      </c>
      <c r="M310" s="2224">
        <v>45894</v>
      </c>
      <c r="N310" s="1466">
        <v>42185</v>
      </c>
      <c r="O310" s="817" t="s">
        <v>39</v>
      </c>
      <c r="P310" s="817" t="s">
        <v>47</v>
      </c>
      <c r="Q310" s="1838">
        <v>1</v>
      </c>
      <c r="R310" s="1504"/>
      <c r="S310" s="1465"/>
      <c r="T310" s="817"/>
      <c r="U310" s="817"/>
      <c r="V310" s="1839">
        <v>42185</v>
      </c>
      <c r="W310" s="817" t="s">
        <v>3524</v>
      </c>
      <c r="X310" s="817"/>
      <c r="Y310" s="1466"/>
      <c r="Z310" s="1831"/>
      <c r="AA310" s="4"/>
    </row>
    <row r="311" spans="1:27" s="171" customFormat="1" ht="15.6">
      <c r="A311" s="817"/>
      <c r="B311" s="817"/>
      <c r="C311" s="1830" t="s">
        <v>2910</v>
      </c>
      <c r="D311" s="1830" t="s">
        <v>2252</v>
      </c>
      <c r="E311" s="2076" t="s">
        <v>3100</v>
      </c>
      <c r="F311" s="2076" t="s">
        <v>2912</v>
      </c>
      <c r="G311" s="2076">
        <v>9845660933</v>
      </c>
      <c r="H311" s="1817" t="s">
        <v>2913</v>
      </c>
      <c r="I311" s="1830" t="s">
        <v>3186</v>
      </c>
      <c r="J311" s="1832" t="s">
        <v>73</v>
      </c>
      <c r="K311" s="1832" t="s">
        <v>138</v>
      </c>
      <c r="L311" s="1836" t="s">
        <v>3523</v>
      </c>
      <c r="M311" s="2224">
        <v>45894</v>
      </c>
      <c r="N311" s="1466">
        <v>92030</v>
      </c>
      <c r="O311" s="817" t="s">
        <v>39</v>
      </c>
      <c r="P311" s="817" t="s">
        <v>47</v>
      </c>
      <c r="Q311" s="1838">
        <v>1</v>
      </c>
      <c r="R311" s="1504"/>
      <c r="S311" s="1465"/>
      <c r="T311" s="817"/>
      <c r="U311" s="817"/>
      <c r="V311" s="1839">
        <v>92030</v>
      </c>
      <c r="W311" s="817" t="s">
        <v>3524</v>
      </c>
      <c r="X311" s="817"/>
      <c r="Y311" s="1466"/>
      <c r="Z311" s="1831"/>
      <c r="AA311" s="4"/>
    </row>
    <row r="312" spans="1:27" s="171" customFormat="1" ht="15.6">
      <c r="A312" s="817"/>
      <c r="B312" s="817"/>
      <c r="C312" s="1830" t="s">
        <v>2910</v>
      </c>
      <c r="D312" s="1830" t="s">
        <v>2252</v>
      </c>
      <c r="E312" s="2076" t="s">
        <v>3100</v>
      </c>
      <c r="F312" s="2076" t="s">
        <v>2912</v>
      </c>
      <c r="G312" s="2076">
        <v>9845660933</v>
      </c>
      <c r="H312" s="1817" t="s">
        <v>2913</v>
      </c>
      <c r="I312" s="1830" t="s">
        <v>3187</v>
      </c>
      <c r="J312" s="1832" t="s">
        <v>73</v>
      </c>
      <c r="K312" s="1832" t="s">
        <v>138</v>
      </c>
      <c r="L312" s="1836" t="s">
        <v>3523</v>
      </c>
      <c r="M312" s="2224">
        <v>45894</v>
      </c>
      <c r="N312" s="1466">
        <v>99036</v>
      </c>
      <c r="O312" s="817" t="s">
        <v>39</v>
      </c>
      <c r="P312" s="817" t="s">
        <v>47</v>
      </c>
      <c r="Q312" s="1838">
        <v>1</v>
      </c>
      <c r="R312" s="1504"/>
      <c r="S312" s="1465"/>
      <c r="T312" s="817"/>
      <c r="U312" s="817"/>
      <c r="V312" s="1839">
        <v>99036</v>
      </c>
      <c r="W312" s="817" t="s">
        <v>3524</v>
      </c>
      <c r="X312" s="817"/>
      <c r="Y312" s="1466"/>
      <c r="Z312" s="1831"/>
      <c r="AA312" s="4"/>
    </row>
    <row r="313" spans="1:27" s="171" customFormat="1" ht="15.6">
      <c r="A313" s="817"/>
      <c r="B313" s="817"/>
      <c r="C313" s="1830" t="s">
        <v>2910</v>
      </c>
      <c r="D313" s="1830" t="s">
        <v>2252</v>
      </c>
      <c r="E313" s="2076" t="s">
        <v>3100</v>
      </c>
      <c r="F313" s="2076" t="s">
        <v>2912</v>
      </c>
      <c r="G313" s="2076">
        <v>9845660933</v>
      </c>
      <c r="H313" s="1817" t="s">
        <v>2913</v>
      </c>
      <c r="I313" s="1830" t="s">
        <v>3188</v>
      </c>
      <c r="J313" s="1832" t="s">
        <v>73</v>
      </c>
      <c r="K313" s="1832" t="s">
        <v>138</v>
      </c>
      <c r="L313" s="1836" t="s">
        <v>3523</v>
      </c>
      <c r="M313" s="2224">
        <v>45894</v>
      </c>
      <c r="N313" s="1466">
        <v>99036</v>
      </c>
      <c r="O313" s="817" t="s">
        <v>39</v>
      </c>
      <c r="P313" s="817" t="s">
        <v>47</v>
      </c>
      <c r="Q313" s="1838">
        <v>1</v>
      </c>
      <c r="R313" s="1504"/>
      <c r="S313" s="1465"/>
      <c r="T313" s="817"/>
      <c r="U313" s="817"/>
      <c r="V313" s="1839">
        <v>99036</v>
      </c>
      <c r="W313" s="817" t="s">
        <v>3524</v>
      </c>
      <c r="X313" s="817"/>
      <c r="Y313" s="1466"/>
      <c r="Z313" s="1831"/>
      <c r="AA313" s="4"/>
    </row>
    <row r="314" spans="1:27" s="171" customFormat="1" ht="15.6">
      <c r="A314" s="817"/>
      <c r="B314" s="817"/>
      <c r="C314" s="1830" t="s">
        <v>2910</v>
      </c>
      <c r="D314" s="1830" t="s">
        <v>2252</v>
      </c>
      <c r="E314" s="2076" t="s">
        <v>3100</v>
      </c>
      <c r="F314" s="2076" t="s">
        <v>2912</v>
      </c>
      <c r="G314" s="2076">
        <v>9845660933</v>
      </c>
      <c r="H314" s="1817" t="s">
        <v>2913</v>
      </c>
      <c r="I314" s="1830" t="s">
        <v>3189</v>
      </c>
      <c r="J314" s="1832" t="s">
        <v>73</v>
      </c>
      <c r="K314" s="1832" t="s">
        <v>138</v>
      </c>
      <c r="L314" s="1836" t="s">
        <v>3523</v>
      </c>
      <c r="M314" s="2224">
        <v>45894</v>
      </c>
      <c r="N314" s="1466">
        <v>99036</v>
      </c>
      <c r="O314" s="817" t="s">
        <v>39</v>
      </c>
      <c r="P314" s="817" t="s">
        <v>47</v>
      </c>
      <c r="Q314" s="1838">
        <v>1</v>
      </c>
      <c r="R314" s="1504"/>
      <c r="S314" s="1465"/>
      <c r="T314" s="817"/>
      <c r="U314" s="817"/>
      <c r="V314" s="1839">
        <v>99036</v>
      </c>
      <c r="W314" s="817" t="s">
        <v>3524</v>
      </c>
      <c r="X314" s="817"/>
      <c r="Y314" s="1466"/>
      <c r="Z314" s="1831"/>
      <c r="AA314" s="4"/>
    </row>
    <row r="315" spans="1:27" s="171" customFormat="1" ht="15.6">
      <c r="A315" s="817"/>
      <c r="B315" s="817"/>
      <c r="C315" s="1830" t="s">
        <v>2910</v>
      </c>
      <c r="D315" s="1830" t="s">
        <v>2252</v>
      </c>
      <c r="E315" s="2076" t="s">
        <v>3100</v>
      </c>
      <c r="F315" s="2076" t="s">
        <v>2912</v>
      </c>
      <c r="G315" s="2076">
        <v>9845660933</v>
      </c>
      <c r="H315" s="1817" t="s">
        <v>2913</v>
      </c>
      <c r="I315" s="1830" t="s">
        <v>2967</v>
      </c>
      <c r="J315" s="1832" t="s">
        <v>73</v>
      </c>
      <c r="K315" s="1832" t="s">
        <v>138</v>
      </c>
      <c r="L315" s="1836" t="s">
        <v>3523</v>
      </c>
      <c r="M315" s="2224">
        <v>45894</v>
      </c>
      <c r="N315" s="1466">
        <v>99036</v>
      </c>
      <c r="O315" s="817" t="s">
        <v>39</v>
      </c>
      <c r="P315" s="817" t="s">
        <v>47</v>
      </c>
      <c r="Q315" s="1838">
        <v>1</v>
      </c>
      <c r="R315" s="1504"/>
      <c r="S315" s="1465"/>
      <c r="T315" s="817"/>
      <c r="U315" s="817"/>
      <c r="V315" s="1839">
        <v>99036</v>
      </c>
      <c r="W315" s="817" t="s">
        <v>3524</v>
      </c>
      <c r="X315" s="817"/>
      <c r="Y315" s="1466"/>
      <c r="Z315" s="1831"/>
      <c r="AA315" s="4"/>
    </row>
    <row r="316" spans="1:27" s="171" customFormat="1" ht="15.6">
      <c r="A316" s="817"/>
      <c r="B316" s="817"/>
      <c r="C316" s="1830" t="s">
        <v>2910</v>
      </c>
      <c r="D316" s="1830" t="s">
        <v>2252</v>
      </c>
      <c r="E316" s="2076" t="s">
        <v>3100</v>
      </c>
      <c r="F316" s="2076" t="s">
        <v>2912</v>
      </c>
      <c r="G316" s="2076">
        <v>9845660933</v>
      </c>
      <c r="H316" s="1817" t="s">
        <v>2913</v>
      </c>
      <c r="I316" s="1830" t="s">
        <v>3101</v>
      </c>
      <c r="J316" s="1832" t="s">
        <v>73</v>
      </c>
      <c r="K316" s="1832" t="s">
        <v>138</v>
      </c>
      <c r="L316" s="1836" t="s">
        <v>3523</v>
      </c>
      <c r="M316" s="2224">
        <v>45894</v>
      </c>
      <c r="N316" s="1466">
        <v>187567</v>
      </c>
      <c r="O316" s="817" t="s">
        <v>39</v>
      </c>
      <c r="P316" s="817" t="s">
        <v>47</v>
      </c>
      <c r="Q316" s="1838">
        <v>1</v>
      </c>
      <c r="R316" s="1504"/>
      <c r="S316" s="1465"/>
      <c r="T316" s="817"/>
      <c r="U316" s="817"/>
      <c r="V316" s="1839">
        <v>187567</v>
      </c>
      <c r="W316" s="817" t="s">
        <v>3524</v>
      </c>
      <c r="X316" s="817"/>
      <c r="Y316" s="1466"/>
      <c r="Z316" s="1831"/>
      <c r="AA316" s="4"/>
    </row>
    <row r="317" spans="1:27" s="171" customFormat="1" ht="15.6">
      <c r="A317" s="817"/>
      <c r="B317" s="817"/>
      <c r="C317" s="1830" t="s">
        <v>2910</v>
      </c>
      <c r="D317" s="1830" t="s">
        <v>2252</v>
      </c>
      <c r="E317" s="2076" t="s">
        <v>3100</v>
      </c>
      <c r="F317" s="2076" t="s">
        <v>2912</v>
      </c>
      <c r="G317" s="2076">
        <v>9845660933</v>
      </c>
      <c r="H317" s="1817" t="s">
        <v>2913</v>
      </c>
      <c r="I317" s="1830" t="s">
        <v>2957</v>
      </c>
      <c r="J317" s="1832" t="s">
        <v>73</v>
      </c>
      <c r="K317" s="1832" t="s">
        <v>138</v>
      </c>
      <c r="L317" s="1836" t="s">
        <v>3523</v>
      </c>
      <c r="M317" s="2224">
        <v>45894</v>
      </c>
      <c r="N317" s="1466">
        <v>187567</v>
      </c>
      <c r="O317" s="817" t="s">
        <v>39</v>
      </c>
      <c r="P317" s="817" t="s">
        <v>47</v>
      </c>
      <c r="Q317" s="1838">
        <v>1</v>
      </c>
      <c r="R317" s="1504"/>
      <c r="S317" s="1465"/>
      <c r="T317" s="817"/>
      <c r="U317" s="817"/>
      <c r="V317" s="1839">
        <v>187567</v>
      </c>
      <c r="W317" s="817" t="s">
        <v>3524</v>
      </c>
      <c r="X317" s="817"/>
      <c r="Y317" s="1466"/>
      <c r="Z317" s="1831"/>
      <c r="AA317" s="4"/>
    </row>
    <row r="318" spans="1:27" s="171" customFormat="1" ht="15.6">
      <c r="A318" s="817"/>
      <c r="B318" s="817"/>
      <c r="C318" s="1830" t="s">
        <v>2910</v>
      </c>
      <c r="D318" s="1830" t="s">
        <v>2252</v>
      </c>
      <c r="E318" s="2076" t="s">
        <v>3100</v>
      </c>
      <c r="F318" s="2076" t="s">
        <v>2912</v>
      </c>
      <c r="G318" s="2076">
        <v>9845660933</v>
      </c>
      <c r="H318" s="1817" t="s">
        <v>2913</v>
      </c>
      <c r="I318" s="1830" t="s">
        <v>3190</v>
      </c>
      <c r="J318" s="1832" t="s">
        <v>73</v>
      </c>
      <c r="K318" s="1832" t="s">
        <v>138</v>
      </c>
      <c r="L318" s="1836" t="s">
        <v>3523</v>
      </c>
      <c r="M318" s="2224">
        <v>45894</v>
      </c>
      <c r="N318" s="1466">
        <v>187567</v>
      </c>
      <c r="O318" s="817" t="s">
        <v>39</v>
      </c>
      <c r="P318" s="817" t="s">
        <v>47</v>
      </c>
      <c r="Q318" s="1838">
        <v>1</v>
      </c>
      <c r="R318" s="1504"/>
      <c r="S318" s="1465"/>
      <c r="T318" s="817"/>
      <c r="U318" s="817"/>
      <c r="V318" s="1839">
        <v>187567</v>
      </c>
      <c r="W318" s="817" t="s">
        <v>3524</v>
      </c>
      <c r="X318" s="817"/>
      <c r="Y318" s="1466"/>
      <c r="Z318" s="1831"/>
      <c r="AA318" s="4"/>
    </row>
    <row r="319" spans="1:27" s="171" customFormat="1" ht="15.6">
      <c r="A319" s="1042">
        <v>119</v>
      </c>
      <c r="B319" s="1125">
        <v>45895</v>
      </c>
      <c r="C319" s="1120" t="s">
        <v>1250</v>
      </c>
      <c r="D319" s="1120" t="s">
        <v>2252</v>
      </c>
      <c r="E319" s="1120" t="s">
        <v>3525</v>
      </c>
      <c r="F319" s="1120" t="s">
        <v>3526</v>
      </c>
      <c r="G319" s="1245">
        <v>8147317683</v>
      </c>
      <c r="H319" s="1132" t="s">
        <v>3527</v>
      </c>
      <c r="I319" s="1120" t="s">
        <v>3075</v>
      </c>
      <c r="J319" s="1041" t="s">
        <v>75</v>
      </c>
      <c r="K319" s="1041" t="s">
        <v>157</v>
      </c>
      <c r="L319" s="1106" t="s">
        <v>3528</v>
      </c>
      <c r="M319" s="1154">
        <v>45892</v>
      </c>
      <c r="N319" s="1243">
        <v>195550</v>
      </c>
      <c r="O319" s="1042" t="s">
        <v>39</v>
      </c>
      <c r="P319" s="1042" t="s">
        <v>39</v>
      </c>
      <c r="Q319" s="1306">
        <v>0.8</v>
      </c>
      <c r="R319" s="1243">
        <v>85419909</v>
      </c>
      <c r="S319" s="1125">
        <v>45893</v>
      </c>
      <c r="T319" s="1042">
        <v>195550</v>
      </c>
      <c r="U319" s="1042" t="s">
        <v>39</v>
      </c>
      <c r="V319" s="1843">
        <f>Table62689345679[[#This Row],[PO Value]]-Table62689345679[[#This Row],[Offer Value]]</f>
        <v>0</v>
      </c>
      <c r="W319" s="1042" t="s">
        <v>2909</v>
      </c>
      <c r="X319" s="1042"/>
      <c r="Y319" s="1243"/>
      <c r="Z319" s="1128"/>
      <c r="AA319" s="1267"/>
    </row>
    <row r="320" spans="1:27" s="171" customFormat="1" ht="15.6">
      <c r="A320" s="2279">
        <v>120</v>
      </c>
      <c r="B320" s="2272">
        <v>45915</v>
      </c>
      <c r="C320" s="2273" t="s">
        <v>2910</v>
      </c>
      <c r="D320" s="2273" t="s">
        <v>2252</v>
      </c>
      <c r="E320" s="2274" t="s">
        <v>3100</v>
      </c>
      <c r="F320" s="2274" t="s">
        <v>2912</v>
      </c>
      <c r="G320" s="2274">
        <v>9845660933</v>
      </c>
      <c r="H320" s="2276" t="s">
        <v>2913</v>
      </c>
      <c r="I320" s="2273" t="s">
        <v>3168</v>
      </c>
      <c r="J320" s="2288" t="s">
        <v>77</v>
      </c>
      <c r="K320" s="2288" t="s">
        <v>138</v>
      </c>
      <c r="L320" s="2279" t="s">
        <v>3529</v>
      </c>
      <c r="M320" s="2272">
        <v>45898</v>
      </c>
      <c r="N320" s="2271">
        <v>360000</v>
      </c>
      <c r="O320" s="2279" t="s">
        <v>39</v>
      </c>
      <c r="P320" s="2279" t="s">
        <v>62</v>
      </c>
      <c r="Q320" s="2280">
        <v>0.2</v>
      </c>
      <c r="R320" s="2281"/>
      <c r="S320" s="2272"/>
      <c r="T320" s="2279"/>
      <c r="U320" s="2279"/>
      <c r="V320" s="2282">
        <v>0</v>
      </c>
      <c r="W320" s="2279" t="s">
        <v>3530</v>
      </c>
      <c r="X320" s="2279"/>
      <c r="Y320" s="2271"/>
      <c r="Z320" s="2283"/>
      <c r="AA320" s="2284"/>
    </row>
    <row r="321" spans="1:27" s="171" customFormat="1" ht="15.6">
      <c r="A321" s="2279">
        <v>121</v>
      </c>
      <c r="B321" s="2272">
        <v>45915</v>
      </c>
      <c r="C321" s="2273" t="s">
        <v>2910</v>
      </c>
      <c r="D321" s="2273" t="s">
        <v>2252</v>
      </c>
      <c r="E321" s="2274" t="s">
        <v>3100</v>
      </c>
      <c r="F321" s="2274" t="s">
        <v>2912</v>
      </c>
      <c r="G321" s="2274">
        <v>9845660933</v>
      </c>
      <c r="H321" s="2276" t="s">
        <v>2913</v>
      </c>
      <c r="I321" s="2273" t="s">
        <v>3522</v>
      </c>
      <c r="J321" s="2288" t="s">
        <v>77</v>
      </c>
      <c r="K321" s="2288" t="s">
        <v>138</v>
      </c>
      <c r="L321" s="2279" t="s">
        <v>3531</v>
      </c>
      <c r="M321" s="2272">
        <v>45898</v>
      </c>
      <c r="N321" s="2271">
        <v>290000</v>
      </c>
      <c r="O321" s="2279" t="s">
        <v>39</v>
      </c>
      <c r="P321" s="2279" t="s">
        <v>62</v>
      </c>
      <c r="Q321" s="2280">
        <v>0.2</v>
      </c>
      <c r="R321" s="2286"/>
      <c r="S321" s="2272"/>
      <c r="T321" s="2279"/>
      <c r="U321" s="2279"/>
      <c r="V321" s="2282">
        <v>0</v>
      </c>
      <c r="W321" s="2279" t="s">
        <v>3530</v>
      </c>
      <c r="X321" s="2279"/>
      <c r="Y321" s="2287"/>
      <c r="Z321" s="2283"/>
      <c r="AA321" s="2284"/>
    </row>
    <row r="322" spans="1:27" s="171" customFormat="1" ht="15.6">
      <c r="A322" s="2279">
        <v>122</v>
      </c>
      <c r="B322" s="2272">
        <v>45915</v>
      </c>
      <c r="C322" s="2273" t="s">
        <v>2910</v>
      </c>
      <c r="D322" s="2273" t="s">
        <v>2252</v>
      </c>
      <c r="E322" s="2274" t="s">
        <v>3100</v>
      </c>
      <c r="F322" s="2274" t="s">
        <v>2912</v>
      </c>
      <c r="G322" s="2274">
        <v>9845660933</v>
      </c>
      <c r="H322" s="2276" t="s">
        <v>2913</v>
      </c>
      <c r="I322" s="2273" t="s">
        <v>3168</v>
      </c>
      <c r="J322" s="2288" t="s">
        <v>80</v>
      </c>
      <c r="K322" s="2288" t="s">
        <v>157</v>
      </c>
      <c r="L322" s="2279" t="s">
        <v>3532</v>
      </c>
      <c r="M322" s="2272">
        <v>45898</v>
      </c>
      <c r="N322" s="2271">
        <v>2330000</v>
      </c>
      <c r="O322" s="2279" t="s">
        <v>39</v>
      </c>
      <c r="P322" s="2279" t="s">
        <v>62</v>
      </c>
      <c r="Q322" s="2280">
        <v>0.2</v>
      </c>
      <c r="R322" s="2281"/>
      <c r="S322" s="2272"/>
      <c r="T322" s="2279"/>
      <c r="U322" s="2279"/>
      <c r="V322" s="2282">
        <v>0</v>
      </c>
      <c r="W322" s="2279" t="s">
        <v>3530</v>
      </c>
      <c r="X322" s="2279"/>
      <c r="Y322" s="2271"/>
      <c r="Z322" s="2283" t="s">
        <v>157</v>
      </c>
      <c r="AA322" s="2284"/>
    </row>
    <row r="323" spans="1:27" s="171" customFormat="1" ht="15.6">
      <c r="A323" s="2279">
        <v>123</v>
      </c>
      <c r="B323" s="2272">
        <v>45915</v>
      </c>
      <c r="C323" s="2592" t="s">
        <v>2910</v>
      </c>
      <c r="D323" s="2592" t="s">
        <v>2252</v>
      </c>
      <c r="E323" s="2274" t="s">
        <v>3100</v>
      </c>
      <c r="F323" s="2274" t="s">
        <v>2912</v>
      </c>
      <c r="G323" s="2274">
        <v>9845660933</v>
      </c>
      <c r="H323" s="2544" t="s">
        <v>2913</v>
      </c>
      <c r="I323" s="2273" t="s">
        <v>3168</v>
      </c>
      <c r="J323" s="2289" t="s">
        <v>83</v>
      </c>
      <c r="K323" s="2289" t="s">
        <v>157</v>
      </c>
      <c r="L323" s="2279" t="s">
        <v>3533</v>
      </c>
      <c r="M323" s="2272">
        <v>45898</v>
      </c>
      <c r="N323" s="2271">
        <v>1201520</v>
      </c>
      <c r="O323" s="2279" t="s">
        <v>39</v>
      </c>
      <c r="P323" s="2279" t="s">
        <v>62</v>
      </c>
      <c r="Q323" s="2280">
        <v>0.2</v>
      </c>
      <c r="R323" s="2281"/>
      <c r="S323" s="2272"/>
      <c r="T323" s="2279"/>
      <c r="U323" s="2279"/>
      <c r="V323" s="2282">
        <v>0</v>
      </c>
      <c r="W323" s="2279" t="s">
        <v>3530</v>
      </c>
      <c r="X323" s="2279"/>
      <c r="Y323" s="2271"/>
      <c r="Z323" s="2283" t="s">
        <v>157</v>
      </c>
      <c r="AA323" s="2284"/>
    </row>
    <row r="324" spans="1:27" s="171" customFormat="1" ht="15.6">
      <c r="A324" s="1042">
        <v>124</v>
      </c>
      <c r="B324" s="1125">
        <v>45915</v>
      </c>
      <c r="C324" s="3004" t="s">
        <v>1250</v>
      </c>
      <c r="D324" s="3004" t="s">
        <v>2252</v>
      </c>
      <c r="E324" s="3004" t="s">
        <v>873</v>
      </c>
      <c r="F324" s="3004" t="s">
        <v>3500</v>
      </c>
      <c r="G324" s="3010">
        <v>9538868934</v>
      </c>
      <c r="H324" s="1132" t="s">
        <v>3501</v>
      </c>
      <c r="I324" s="1120" t="s">
        <v>3412</v>
      </c>
      <c r="J324" s="1041" t="s">
        <v>77</v>
      </c>
      <c r="K324" s="1041" t="s">
        <v>138</v>
      </c>
      <c r="L324" s="1042" t="s">
        <v>3534</v>
      </c>
      <c r="M324" s="1125">
        <v>45901</v>
      </c>
      <c r="N324" s="1243">
        <v>336000</v>
      </c>
      <c r="O324" s="1042" t="s">
        <v>44</v>
      </c>
      <c r="P324" s="1042" t="s">
        <v>44</v>
      </c>
      <c r="Q324" s="1306">
        <v>0.9</v>
      </c>
      <c r="R324" s="1243">
        <v>85424128</v>
      </c>
      <c r="S324" s="1125">
        <v>45916</v>
      </c>
      <c r="T324" s="1042">
        <v>336000</v>
      </c>
      <c r="U324" s="1042" t="s">
        <v>44</v>
      </c>
      <c r="V324" s="1843">
        <v>0</v>
      </c>
      <c r="W324" s="1042" t="s">
        <v>2909</v>
      </c>
      <c r="X324" s="1042"/>
      <c r="Y324" s="1243"/>
      <c r="Z324" s="1128"/>
      <c r="AA324" s="1267"/>
    </row>
    <row r="325" spans="1:27" s="171" customFormat="1" ht="15.6">
      <c r="A325" s="2331">
        <v>125</v>
      </c>
      <c r="B325" s="3008">
        <v>45915</v>
      </c>
      <c r="C325" s="3011" t="s">
        <v>993</v>
      </c>
      <c r="D325" s="3011" t="s">
        <v>2902</v>
      </c>
      <c r="E325" s="3011" t="s">
        <v>873</v>
      </c>
      <c r="F325" s="3005" t="s">
        <v>3026</v>
      </c>
      <c r="G325" s="3005">
        <v>8888826015</v>
      </c>
      <c r="H325" s="1142" t="s">
        <v>3027</v>
      </c>
      <c r="I325" s="3009" t="s">
        <v>3028</v>
      </c>
      <c r="J325" s="1140" t="s">
        <v>83</v>
      </c>
      <c r="K325" s="1041" t="s">
        <v>157</v>
      </c>
      <c r="L325" s="1042" t="s">
        <v>3535</v>
      </c>
      <c r="M325" s="1125">
        <v>45901</v>
      </c>
      <c r="N325" s="1243">
        <v>1610915</v>
      </c>
      <c r="O325" s="1042" t="s">
        <v>44</v>
      </c>
      <c r="P325" s="1042" t="s">
        <v>49</v>
      </c>
      <c r="Q325" s="1306">
        <v>0.6</v>
      </c>
      <c r="R325" s="1053" t="s">
        <v>3536</v>
      </c>
      <c r="S325" s="1125" t="s">
        <v>3537</v>
      </c>
      <c r="T325" s="1042">
        <v>915693</v>
      </c>
      <c r="U325" s="1042" t="s">
        <v>49</v>
      </c>
      <c r="V325" s="1843">
        <v>0</v>
      </c>
      <c r="W325" s="1042" t="s">
        <v>3538</v>
      </c>
      <c r="X325" s="1042"/>
      <c r="Y325" s="1243"/>
      <c r="Z325" s="1128" t="s">
        <v>157</v>
      </c>
      <c r="AA325" s="1267"/>
    </row>
    <row r="326" spans="1:27" s="171" customFormat="1" ht="15.6">
      <c r="A326" s="1042">
        <v>126</v>
      </c>
      <c r="B326" s="1125">
        <v>45915</v>
      </c>
      <c r="C326" s="3004" t="s">
        <v>2481</v>
      </c>
      <c r="D326" s="3004" t="s">
        <v>2252</v>
      </c>
      <c r="E326" s="3004" t="s">
        <v>954</v>
      </c>
      <c r="F326" s="3004" t="s">
        <v>3539</v>
      </c>
      <c r="G326" s="3010">
        <v>9741306465</v>
      </c>
      <c r="H326" s="1132" t="s">
        <v>3540</v>
      </c>
      <c r="I326" s="1120" t="s">
        <v>3345</v>
      </c>
      <c r="J326" s="1041" t="s">
        <v>73</v>
      </c>
      <c r="K326" s="1041" t="s">
        <v>138</v>
      </c>
      <c r="L326" s="1042" t="s">
        <v>3541</v>
      </c>
      <c r="M326" s="1125">
        <v>45901</v>
      </c>
      <c r="N326" s="1243">
        <v>61560</v>
      </c>
      <c r="O326" s="1042" t="s">
        <v>44</v>
      </c>
      <c r="P326" s="1042" t="s">
        <v>47</v>
      </c>
      <c r="Q326" s="1306">
        <v>0.9</v>
      </c>
      <c r="R326" s="1243" t="s">
        <v>3542</v>
      </c>
      <c r="S326" s="1125">
        <v>45960</v>
      </c>
      <c r="T326" s="1042">
        <v>59000</v>
      </c>
      <c r="U326" s="1042" t="s">
        <v>49</v>
      </c>
      <c r="V326" s="1843">
        <v>0</v>
      </c>
      <c r="W326" s="1042" t="s">
        <v>2909</v>
      </c>
      <c r="X326" s="1042"/>
      <c r="Y326" s="1243"/>
      <c r="Z326" s="1128"/>
      <c r="AA326" s="1267"/>
    </row>
    <row r="327" spans="1:27" s="171" customFormat="1" ht="15.6">
      <c r="A327" s="1042"/>
      <c r="B327" s="1042"/>
      <c r="C327" s="3004" t="s">
        <v>2481</v>
      </c>
      <c r="D327" s="3004" t="s">
        <v>2252</v>
      </c>
      <c r="E327" s="3004" t="s">
        <v>954</v>
      </c>
      <c r="F327" s="3004" t="s">
        <v>3539</v>
      </c>
      <c r="G327" s="3010">
        <v>9741306465</v>
      </c>
      <c r="H327" s="1132" t="s">
        <v>3540</v>
      </c>
      <c r="I327" s="1120" t="s">
        <v>3341</v>
      </c>
      <c r="J327" s="1041" t="s">
        <v>73</v>
      </c>
      <c r="K327" s="1041" t="s">
        <v>138</v>
      </c>
      <c r="L327" s="1042" t="s">
        <v>3541</v>
      </c>
      <c r="M327" s="1125">
        <v>45901</v>
      </c>
      <c r="N327" s="1243">
        <v>61560</v>
      </c>
      <c r="O327" s="1042" t="s">
        <v>44</v>
      </c>
      <c r="P327" s="1042" t="s">
        <v>47</v>
      </c>
      <c r="Q327" s="1306">
        <v>0.9</v>
      </c>
      <c r="R327" s="1243" t="s">
        <v>3542</v>
      </c>
      <c r="S327" s="1125">
        <v>45960</v>
      </c>
      <c r="T327" s="1042">
        <v>59000</v>
      </c>
      <c r="U327" s="1042" t="s">
        <v>49</v>
      </c>
      <c r="V327" s="1843">
        <v>0</v>
      </c>
      <c r="W327" s="1042" t="s">
        <v>2909</v>
      </c>
      <c r="X327" s="1042"/>
      <c r="Y327" s="1243"/>
      <c r="Z327" s="1128"/>
      <c r="AA327" s="1267"/>
    </row>
    <row r="328" spans="1:27" s="171" customFormat="1" ht="15.6">
      <c r="A328" s="1042"/>
      <c r="B328" s="1042"/>
      <c r="C328" s="3004" t="s">
        <v>2481</v>
      </c>
      <c r="D328" s="3004" t="s">
        <v>2252</v>
      </c>
      <c r="E328" s="3004" t="s">
        <v>954</v>
      </c>
      <c r="F328" s="3004" t="s">
        <v>3539</v>
      </c>
      <c r="G328" s="3010">
        <v>9741306465</v>
      </c>
      <c r="H328" s="1132" t="s">
        <v>3540</v>
      </c>
      <c r="I328" s="1120" t="s">
        <v>3344</v>
      </c>
      <c r="J328" s="1041" t="s">
        <v>73</v>
      </c>
      <c r="K328" s="1041" t="s">
        <v>138</v>
      </c>
      <c r="L328" s="1042" t="s">
        <v>3541</v>
      </c>
      <c r="M328" s="1125">
        <v>45901</v>
      </c>
      <c r="N328" s="1243">
        <v>61560</v>
      </c>
      <c r="O328" s="1042" t="s">
        <v>44</v>
      </c>
      <c r="P328" s="1042" t="s">
        <v>47</v>
      </c>
      <c r="Q328" s="1306">
        <v>0.9</v>
      </c>
      <c r="R328" s="1243" t="s">
        <v>3542</v>
      </c>
      <c r="S328" s="1125">
        <v>45960</v>
      </c>
      <c r="T328" s="1042">
        <v>59000</v>
      </c>
      <c r="U328" s="1042" t="s">
        <v>49</v>
      </c>
      <c r="V328" s="1843">
        <v>0</v>
      </c>
      <c r="W328" s="1042" t="s">
        <v>2909</v>
      </c>
      <c r="X328" s="1042"/>
      <c r="Y328" s="1243"/>
      <c r="Z328" s="1128"/>
      <c r="AA328" s="1267"/>
    </row>
    <row r="329" spans="1:27" s="171" customFormat="1" ht="15.6">
      <c r="A329" s="1042"/>
      <c r="B329" s="1042"/>
      <c r="C329" s="3004" t="s">
        <v>2481</v>
      </c>
      <c r="D329" s="3004" t="s">
        <v>2252</v>
      </c>
      <c r="E329" s="3004" t="s">
        <v>954</v>
      </c>
      <c r="F329" s="3004" t="s">
        <v>3539</v>
      </c>
      <c r="G329" s="3010">
        <v>9741306465</v>
      </c>
      <c r="H329" s="1132" t="s">
        <v>3540</v>
      </c>
      <c r="I329" s="1120" t="s">
        <v>3543</v>
      </c>
      <c r="J329" s="1041" t="s">
        <v>73</v>
      </c>
      <c r="K329" s="1041" t="s">
        <v>138</v>
      </c>
      <c r="L329" s="1042" t="s">
        <v>3541</v>
      </c>
      <c r="M329" s="1125">
        <v>45901</v>
      </c>
      <c r="N329" s="1243">
        <v>61560</v>
      </c>
      <c r="O329" s="1042" t="s">
        <v>44</v>
      </c>
      <c r="P329" s="1042" t="s">
        <v>47</v>
      </c>
      <c r="Q329" s="1306">
        <v>0.9</v>
      </c>
      <c r="R329" s="1243" t="s">
        <v>3542</v>
      </c>
      <c r="S329" s="1125">
        <v>45960</v>
      </c>
      <c r="T329" s="1042">
        <v>59000</v>
      </c>
      <c r="U329" s="1042" t="s">
        <v>49</v>
      </c>
      <c r="V329" s="1843">
        <v>0</v>
      </c>
      <c r="W329" s="1042" t="s">
        <v>2909</v>
      </c>
      <c r="X329" s="1042"/>
      <c r="Y329" s="2223"/>
      <c r="Z329" s="1128"/>
      <c r="AA329" s="1267"/>
    </row>
    <row r="330" spans="1:27" s="171" customFormat="1" ht="15.6">
      <c r="A330" s="1042"/>
      <c r="B330" s="1042"/>
      <c r="C330" s="1106" t="s">
        <v>2481</v>
      </c>
      <c r="D330" s="1106" t="s">
        <v>2252</v>
      </c>
      <c r="E330" s="3004" t="s">
        <v>954</v>
      </c>
      <c r="F330" s="3004" t="s">
        <v>3539</v>
      </c>
      <c r="G330" s="3010">
        <v>9741306465</v>
      </c>
      <c r="H330" s="1132" t="s">
        <v>3540</v>
      </c>
      <c r="I330" s="1042" t="s">
        <v>3544</v>
      </c>
      <c r="J330" s="1041" t="s">
        <v>73</v>
      </c>
      <c r="K330" s="1041" t="s">
        <v>138</v>
      </c>
      <c r="L330" s="1042" t="s">
        <v>3541</v>
      </c>
      <c r="M330" s="1125">
        <v>45901</v>
      </c>
      <c r="N330" s="1243">
        <v>61560</v>
      </c>
      <c r="O330" s="1042" t="s">
        <v>44</v>
      </c>
      <c r="P330" s="1042" t="s">
        <v>47</v>
      </c>
      <c r="Q330" s="1306">
        <v>0.9</v>
      </c>
      <c r="R330" s="1243" t="s">
        <v>3542</v>
      </c>
      <c r="S330" s="1125">
        <v>45960</v>
      </c>
      <c r="T330" s="1042">
        <v>59000</v>
      </c>
      <c r="U330" s="1042" t="s">
        <v>49</v>
      </c>
      <c r="V330" s="1843">
        <v>0</v>
      </c>
      <c r="W330" s="1042" t="s">
        <v>2909</v>
      </c>
      <c r="X330" s="1042"/>
      <c r="Y330" s="1243"/>
      <c r="Z330" s="1128"/>
      <c r="AA330" s="1267"/>
    </row>
    <row r="331" spans="1:27" s="171" customFormat="1" ht="15.6">
      <c r="A331" s="1042"/>
      <c r="B331" s="1042"/>
      <c r="C331" s="1106" t="s">
        <v>2481</v>
      </c>
      <c r="D331" s="1106" t="s">
        <v>2252</v>
      </c>
      <c r="E331" s="3004" t="s">
        <v>954</v>
      </c>
      <c r="F331" s="3004" t="s">
        <v>3539</v>
      </c>
      <c r="G331" s="3010">
        <v>9741306465</v>
      </c>
      <c r="H331" s="1132" t="s">
        <v>3540</v>
      </c>
      <c r="I331" s="1042" t="s">
        <v>3545</v>
      </c>
      <c r="J331" s="1041" t="s">
        <v>73</v>
      </c>
      <c r="K331" s="1041" t="s">
        <v>138</v>
      </c>
      <c r="L331" s="1042" t="s">
        <v>3541</v>
      </c>
      <c r="M331" s="1125">
        <v>45901</v>
      </c>
      <c r="N331" s="1243">
        <v>61560</v>
      </c>
      <c r="O331" s="1042" t="s">
        <v>44</v>
      </c>
      <c r="P331" s="1042" t="s">
        <v>47</v>
      </c>
      <c r="Q331" s="1306">
        <v>0.9</v>
      </c>
      <c r="R331" s="1243" t="s">
        <v>3542</v>
      </c>
      <c r="S331" s="1125">
        <v>45960</v>
      </c>
      <c r="T331" s="1042">
        <v>59000</v>
      </c>
      <c r="U331" s="1042" t="s">
        <v>49</v>
      </c>
      <c r="V331" s="1843">
        <v>0</v>
      </c>
      <c r="W331" s="1042" t="s">
        <v>2909</v>
      </c>
      <c r="X331" s="1042"/>
      <c r="Y331" s="1243"/>
      <c r="Z331" s="1128"/>
      <c r="AA331" s="1267"/>
    </row>
    <row r="332" spans="1:27" s="171" customFormat="1" ht="15.6">
      <c r="A332" s="1042"/>
      <c r="B332" s="1042"/>
      <c r="C332" s="1106" t="s">
        <v>2481</v>
      </c>
      <c r="D332" s="1106" t="s">
        <v>2252</v>
      </c>
      <c r="E332" s="3004" t="s">
        <v>954</v>
      </c>
      <c r="F332" s="3004" t="s">
        <v>3539</v>
      </c>
      <c r="G332" s="3010">
        <v>9741306465</v>
      </c>
      <c r="H332" s="1132" t="s">
        <v>3540</v>
      </c>
      <c r="I332" s="1042" t="s">
        <v>3546</v>
      </c>
      <c r="J332" s="1041" t="s">
        <v>73</v>
      </c>
      <c r="K332" s="1041" t="s">
        <v>138</v>
      </c>
      <c r="L332" s="1042" t="s">
        <v>3541</v>
      </c>
      <c r="M332" s="1125">
        <v>45901</v>
      </c>
      <c r="N332" s="1243">
        <v>61560</v>
      </c>
      <c r="O332" s="1042" t="s">
        <v>44</v>
      </c>
      <c r="P332" s="1042" t="s">
        <v>47</v>
      </c>
      <c r="Q332" s="1306">
        <v>0.9</v>
      </c>
      <c r="R332" s="1243" t="s">
        <v>3542</v>
      </c>
      <c r="S332" s="1125">
        <v>45960</v>
      </c>
      <c r="T332" s="1042">
        <v>59000</v>
      </c>
      <c r="U332" s="1042" t="s">
        <v>49</v>
      </c>
      <c r="V332" s="1843">
        <v>0</v>
      </c>
      <c r="W332" s="1042" t="s">
        <v>2909</v>
      </c>
      <c r="X332" s="1042"/>
      <c r="Y332" s="1243"/>
      <c r="Z332" s="1128"/>
      <c r="AA332" s="1267"/>
    </row>
    <row r="333" spans="1:27" s="171" customFormat="1" ht="15.6">
      <c r="A333" s="1042"/>
      <c r="B333" s="1042"/>
      <c r="C333" s="1106" t="s">
        <v>2481</v>
      </c>
      <c r="D333" s="1106" t="s">
        <v>2252</v>
      </c>
      <c r="E333" s="3004" t="s">
        <v>954</v>
      </c>
      <c r="F333" s="3004" t="s">
        <v>3539</v>
      </c>
      <c r="G333" s="3010">
        <v>9741306465</v>
      </c>
      <c r="H333" s="1132" t="s">
        <v>3540</v>
      </c>
      <c r="I333" s="1042" t="s">
        <v>3547</v>
      </c>
      <c r="J333" s="1041" t="s">
        <v>73</v>
      </c>
      <c r="K333" s="1041" t="s">
        <v>138</v>
      </c>
      <c r="L333" s="1042" t="s">
        <v>3541</v>
      </c>
      <c r="M333" s="1125">
        <v>45901</v>
      </c>
      <c r="N333" s="1243">
        <v>61560</v>
      </c>
      <c r="O333" s="1042" t="s">
        <v>44</v>
      </c>
      <c r="P333" s="1042" t="s">
        <v>47</v>
      </c>
      <c r="Q333" s="1306">
        <v>0.9</v>
      </c>
      <c r="R333" s="1243" t="s">
        <v>3542</v>
      </c>
      <c r="S333" s="1125">
        <v>45960</v>
      </c>
      <c r="T333" s="1042">
        <v>59000</v>
      </c>
      <c r="U333" s="1042" t="s">
        <v>49</v>
      </c>
      <c r="V333" s="1843">
        <v>0</v>
      </c>
      <c r="W333" s="1042" t="s">
        <v>2909</v>
      </c>
      <c r="X333" s="1042"/>
      <c r="Y333" s="1243"/>
      <c r="Z333" s="1128"/>
      <c r="AA333" s="1267"/>
    </row>
    <row r="334" spans="1:27" s="171" customFormat="1" ht="15.6">
      <c r="A334" s="1042"/>
      <c r="B334" s="1042"/>
      <c r="C334" s="1106" t="s">
        <v>2481</v>
      </c>
      <c r="D334" s="1106" t="s">
        <v>2252</v>
      </c>
      <c r="E334" s="3004" t="s">
        <v>954</v>
      </c>
      <c r="F334" s="3004" t="s">
        <v>3539</v>
      </c>
      <c r="G334" s="3010">
        <v>9741306465</v>
      </c>
      <c r="H334" s="1132" t="s">
        <v>3540</v>
      </c>
      <c r="I334" s="1042" t="s">
        <v>3548</v>
      </c>
      <c r="J334" s="1041" t="s">
        <v>73</v>
      </c>
      <c r="K334" s="1041" t="s">
        <v>138</v>
      </c>
      <c r="L334" s="1042" t="s">
        <v>3541</v>
      </c>
      <c r="M334" s="1125">
        <v>45901</v>
      </c>
      <c r="N334" s="1243">
        <v>61560</v>
      </c>
      <c r="O334" s="1042" t="s">
        <v>44</v>
      </c>
      <c r="P334" s="1042" t="s">
        <v>47</v>
      </c>
      <c r="Q334" s="1306">
        <v>0.9</v>
      </c>
      <c r="R334" s="1243" t="s">
        <v>3542</v>
      </c>
      <c r="S334" s="1125">
        <v>45960</v>
      </c>
      <c r="T334" s="1042">
        <v>59000</v>
      </c>
      <c r="U334" s="1042" t="s">
        <v>49</v>
      </c>
      <c r="V334" s="1843">
        <v>0</v>
      </c>
      <c r="W334" s="1042" t="s">
        <v>2909</v>
      </c>
      <c r="X334" s="1042"/>
      <c r="Y334" s="1243"/>
      <c r="Z334" s="1128"/>
      <c r="AA334" s="1267"/>
    </row>
    <row r="335" spans="1:27" s="171" customFormat="1" ht="15.6">
      <c r="A335" s="1042"/>
      <c r="B335" s="1042"/>
      <c r="C335" s="1106" t="s">
        <v>2481</v>
      </c>
      <c r="D335" s="1106" t="s">
        <v>2252</v>
      </c>
      <c r="E335" s="3004" t="s">
        <v>954</v>
      </c>
      <c r="F335" s="3004" t="s">
        <v>3539</v>
      </c>
      <c r="G335" s="3010">
        <v>9741306465</v>
      </c>
      <c r="H335" s="1132" t="s">
        <v>3540</v>
      </c>
      <c r="I335" s="1042" t="s">
        <v>3549</v>
      </c>
      <c r="J335" s="1041" t="s">
        <v>73</v>
      </c>
      <c r="K335" s="1041" t="s">
        <v>138</v>
      </c>
      <c r="L335" s="1042" t="s">
        <v>3541</v>
      </c>
      <c r="M335" s="1125">
        <v>45901</v>
      </c>
      <c r="N335" s="1243">
        <v>61560</v>
      </c>
      <c r="O335" s="1042" t="s">
        <v>44</v>
      </c>
      <c r="P335" s="1042" t="s">
        <v>47</v>
      </c>
      <c r="Q335" s="1306">
        <v>0.9</v>
      </c>
      <c r="R335" s="1243" t="s">
        <v>3542</v>
      </c>
      <c r="S335" s="1125">
        <v>45960</v>
      </c>
      <c r="T335" s="1042">
        <v>59000</v>
      </c>
      <c r="U335" s="1042" t="s">
        <v>49</v>
      </c>
      <c r="V335" s="1843">
        <v>0</v>
      </c>
      <c r="W335" s="1042" t="s">
        <v>2909</v>
      </c>
      <c r="X335" s="1042"/>
      <c r="Y335" s="1243"/>
      <c r="Z335" s="1128"/>
      <c r="AA335" s="1267"/>
    </row>
    <row r="336" spans="1:27" s="171" customFormat="1" ht="15.6">
      <c r="A336" s="1042"/>
      <c r="B336" s="1042"/>
      <c r="C336" s="1106" t="s">
        <v>2481</v>
      </c>
      <c r="D336" s="1106" t="s">
        <v>2252</v>
      </c>
      <c r="E336" s="3004" t="s">
        <v>954</v>
      </c>
      <c r="F336" s="3004" t="s">
        <v>3539</v>
      </c>
      <c r="G336" s="3010">
        <v>9741306465</v>
      </c>
      <c r="H336" s="1132" t="s">
        <v>3540</v>
      </c>
      <c r="I336" s="1042" t="s">
        <v>3550</v>
      </c>
      <c r="J336" s="1041" t="s">
        <v>73</v>
      </c>
      <c r="K336" s="1041" t="s">
        <v>138</v>
      </c>
      <c r="L336" s="1042" t="s">
        <v>3541</v>
      </c>
      <c r="M336" s="1125">
        <v>45901</v>
      </c>
      <c r="N336" s="1243">
        <v>61560</v>
      </c>
      <c r="O336" s="1042" t="s">
        <v>44</v>
      </c>
      <c r="P336" s="1042" t="s">
        <v>47</v>
      </c>
      <c r="Q336" s="1306">
        <v>0.9</v>
      </c>
      <c r="R336" s="1243" t="s">
        <v>3542</v>
      </c>
      <c r="S336" s="1125">
        <v>45960</v>
      </c>
      <c r="T336" s="1042">
        <v>59000</v>
      </c>
      <c r="U336" s="1042" t="s">
        <v>49</v>
      </c>
      <c r="V336" s="1843">
        <v>0</v>
      </c>
      <c r="W336" s="1042" t="s">
        <v>2909</v>
      </c>
      <c r="X336" s="1042"/>
      <c r="Y336" s="1243"/>
      <c r="Z336" s="1128"/>
      <c r="AA336" s="1267"/>
    </row>
    <row r="337" spans="1:27" s="171" customFormat="1" ht="15.6">
      <c r="A337" s="1042"/>
      <c r="B337" s="1042"/>
      <c r="C337" s="1106" t="s">
        <v>2481</v>
      </c>
      <c r="D337" s="1106" t="s">
        <v>2252</v>
      </c>
      <c r="E337" s="3004" t="s">
        <v>954</v>
      </c>
      <c r="F337" s="3004" t="s">
        <v>3539</v>
      </c>
      <c r="G337" s="3010">
        <v>9741306465</v>
      </c>
      <c r="H337" s="1132" t="s">
        <v>3540</v>
      </c>
      <c r="I337" s="1042" t="s">
        <v>3551</v>
      </c>
      <c r="J337" s="1041" t="s">
        <v>73</v>
      </c>
      <c r="K337" s="1041" t="s">
        <v>138</v>
      </c>
      <c r="L337" s="1042" t="s">
        <v>3541</v>
      </c>
      <c r="M337" s="1125">
        <v>45901</v>
      </c>
      <c r="N337" s="1243">
        <v>61560</v>
      </c>
      <c r="O337" s="1042" t="s">
        <v>44</v>
      </c>
      <c r="P337" s="1042" t="s">
        <v>47</v>
      </c>
      <c r="Q337" s="1306">
        <v>0.9</v>
      </c>
      <c r="R337" s="1243" t="s">
        <v>3542</v>
      </c>
      <c r="S337" s="1125">
        <v>45960</v>
      </c>
      <c r="T337" s="1042">
        <v>59000</v>
      </c>
      <c r="U337" s="1042" t="s">
        <v>49</v>
      </c>
      <c r="V337" s="1843">
        <v>0</v>
      </c>
      <c r="W337" s="1042" t="s">
        <v>2909</v>
      </c>
      <c r="X337" s="1042"/>
      <c r="Y337" s="1243"/>
      <c r="Z337" s="1128"/>
      <c r="AA337" s="1267"/>
    </row>
    <row r="338" spans="1:27" s="171" customFormat="1" ht="15.6">
      <c r="A338" s="1042"/>
      <c r="B338" s="1042"/>
      <c r="C338" s="1106" t="s">
        <v>2481</v>
      </c>
      <c r="D338" s="1106" t="s">
        <v>2252</v>
      </c>
      <c r="E338" s="3004" t="s">
        <v>954</v>
      </c>
      <c r="F338" s="3004" t="s">
        <v>3539</v>
      </c>
      <c r="G338" s="3010">
        <v>9741306465</v>
      </c>
      <c r="H338" s="1132" t="s">
        <v>3540</v>
      </c>
      <c r="I338" s="1042" t="s">
        <v>3552</v>
      </c>
      <c r="J338" s="1041" t="s">
        <v>73</v>
      </c>
      <c r="K338" s="1041" t="s">
        <v>138</v>
      </c>
      <c r="L338" s="1042" t="s">
        <v>3541</v>
      </c>
      <c r="M338" s="1125">
        <v>45901</v>
      </c>
      <c r="N338" s="1243">
        <v>61560</v>
      </c>
      <c r="O338" s="1042" t="s">
        <v>44</v>
      </c>
      <c r="P338" s="1042" t="s">
        <v>47</v>
      </c>
      <c r="Q338" s="1306">
        <v>0.9</v>
      </c>
      <c r="R338" s="1243" t="s">
        <v>3542</v>
      </c>
      <c r="S338" s="1125">
        <v>45960</v>
      </c>
      <c r="T338" s="1042">
        <v>59000</v>
      </c>
      <c r="U338" s="1042" t="s">
        <v>49</v>
      </c>
      <c r="V338" s="1843">
        <v>0</v>
      </c>
      <c r="W338" s="1042" t="s">
        <v>2909</v>
      </c>
      <c r="X338" s="1042"/>
      <c r="Y338" s="1243"/>
      <c r="Z338" s="1128"/>
      <c r="AA338" s="1267"/>
    </row>
    <row r="339" spans="1:27" s="171" customFormat="1" ht="15.6">
      <c r="A339" s="1042">
        <v>127</v>
      </c>
      <c r="B339" s="1125">
        <v>45915</v>
      </c>
      <c r="C339" s="1042" t="s">
        <v>3051</v>
      </c>
      <c r="D339" s="1042" t="s">
        <v>2252</v>
      </c>
      <c r="E339" s="3004" t="s">
        <v>873</v>
      </c>
      <c r="F339" s="3004" t="s">
        <v>3052</v>
      </c>
      <c r="G339" s="3010">
        <v>9663804313</v>
      </c>
      <c r="H339" s="1132" t="s">
        <v>3492</v>
      </c>
      <c r="I339" s="1106" t="s">
        <v>3056</v>
      </c>
      <c r="J339" s="1041" t="s">
        <v>74</v>
      </c>
      <c r="K339" s="1041" t="s">
        <v>138</v>
      </c>
      <c r="L339" s="1042" t="s">
        <v>3553</v>
      </c>
      <c r="M339" s="1125">
        <v>45908</v>
      </c>
      <c r="N339" s="1243">
        <v>3600</v>
      </c>
      <c r="O339" s="1042" t="s">
        <v>44</v>
      </c>
      <c r="P339" s="1042" t="s">
        <v>44</v>
      </c>
      <c r="Q339" s="1306">
        <v>1</v>
      </c>
      <c r="R339" s="1243">
        <v>4200297801</v>
      </c>
      <c r="S339" s="1125">
        <v>45910</v>
      </c>
      <c r="T339" s="1042">
        <v>7200</v>
      </c>
      <c r="U339" s="1042" t="s">
        <v>44</v>
      </c>
      <c r="V339" s="1843">
        <v>0</v>
      </c>
      <c r="W339" s="1042" t="s">
        <v>2909</v>
      </c>
      <c r="X339" s="1042"/>
      <c r="Y339" s="1243"/>
      <c r="Z339" s="1128"/>
      <c r="AA339" s="1267"/>
    </row>
    <row r="340" spans="1:27" s="171" customFormat="1" ht="15.6">
      <c r="A340" s="1042">
        <v>128</v>
      </c>
      <c r="B340" s="1125">
        <v>45915</v>
      </c>
      <c r="C340" s="1042" t="s">
        <v>614</v>
      </c>
      <c r="D340" s="1042" t="s">
        <v>2932</v>
      </c>
      <c r="E340" s="3005" t="s">
        <v>954</v>
      </c>
      <c r="F340" s="3012" t="s">
        <v>3118</v>
      </c>
      <c r="G340" s="3005">
        <v>9492487256</v>
      </c>
      <c r="H340" s="1142" t="s">
        <v>3119</v>
      </c>
      <c r="I340" s="1042" t="s">
        <v>2935</v>
      </c>
      <c r="J340" s="1041" t="s">
        <v>75</v>
      </c>
      <c r="K340" s="1041" t="s">
        <v>157</v>
      </c>
      <c r="L340" s="1042" t="s">
        <v>3554</v>
      </c>
      <c r="M340" s="1125">
        <v>45913</v>
      </c>
      <c r="N340" s="1243">
        <v>138000</v>
      </c>
      <c r="O340" s="1042" t="s">
        <v>44</v>
      </c>
      <c r="P340" s="1042" t="s">
        <v>44</v>
      </c>
      <c r="Q340" s="1306">
        <v>1</v>
      </c>
      <c r="R340" s="1243">
        <v>4000568705</v>
      </c>
      <c r="S340" s="1125">
        <v>45913</v>
      </c>
      <c r="T340" s="1042">
        <v>138000</v>
      </c>
      <c r="U340" s="1042" t="s">
        <v>44</v>
      </c>
      <c r="V340" s="1843">
        <f>Table62689345679[[#This Row],[PO Value]]-Table62689345679[[#This Row],[Offer Value]]</f>
        <v>0</v>
      </c>
      <c r="W340" s="1042" t="s">
        <v>2909</v>
      </c>
      <c r="X340" s="1042"/>
      <c r="Y340" s="1243"/>
      <c r="Z340" s="1128"/>
      <c r="AA340" s="1267"/>
    </row>
    <row r="341" spans="1:27" s="171" customFormat="1" ht="15.6">
      <c r="A341" s="1042">
        <v>129</v>
      </c>
      <c r="B341" s="2712">
        <v>45954</v>
      </c>
      <c r="C341" s="1106" t="s">
        <v>3112</v>
      </c>
      <c r="D341" s="1106" t="s">
        <v>2252</v>
      </c>
      <c r="E341" s="3004" t="s">
        <v>873</v>
      </c>
      <c r="F341" s="3004" t="s">
        <v>3555</v>
      </c>
      <c r="G341" s="3010">
        <v>7892349057</v>
      </c>
      <c r="H341" s="1132" t="s">
        <v>3195</v>
      </c>
      <c r="I341" s="1042" t="s">
        <v>3115</v>
      </c>
      <c r="J341" s="1041" t="s">
        <v>73</v>
      </c>
      <c r="K341" s="1041" t="s">
        <v>138</v>
      </c>
      <c r="L341" s="1042" t="s">
        <v>3556</v>
      </c>
      <c r="M341" s="1125">
        <v>45954</v>
      </c>
      <c r="N341" s="1243">
        <v>89158</v>
      </c>
      <c r="O341" s="1042" t="s">
        <v>47</v>
      </c>
      <c r="P341" s="1042" t="s">
        <v>49</v>
      </c>
      <c r="Q341" s="1306">
        <v>1</v>
      </c>
      <c r="R341" s="1243">
        <v>1000105113</v>
      </c>
      <c r="S341" s="1125">
        <v>45961</v>
      </c>
      <c r="T341" s="1042">
        <v>85856</v>
      </c>
      <c r="U341" s="1042" t="s">
        <v>49</v>
      </c>
      <c r="V341" s="1843">
        <v>0</v>
      </c>
      <c r="W341" s="1042" t="s">
        <v>2909</v>
      </c>
      <c r="X341" s="1042"/>
      <c r="Y341" s="1243"/>
      <c r="Z341" s="1128"/>
      <c r="AA341" s="1267"/>
    </row>
    <row r="342" spans="1:27" s="171" customFormat="1" ht="15.6">
      <c r="A342" s="1042"/>
      <c r="B342" s="1042"/>
      <c r="C342" s="1042" t="s">
        <v>3112</v>
      </c>
      <c r="D342" s="1042" t="s">
        <v>2252</v>
      </c>
      <c r="E342" s="3004" t="s">
        <v>873</v>
      </c>
      <c r="F342" s="3004" t="s">
        <v>3555</v>
      </c>
      <c r="G342" s="3010">
        <v>7892349057</v>
      </c>
      <c r="H342" s="1132" t="s">
        <v>3195</v>
      </c>
      <c r="I342" s="1042" t="s">
        <v>3198</v>
      </c>
      <c r="J342" s="1041" t="s">
        <v>73</v>
      </c>
      <c r="K342" s="1041" t="s">
        <v>138</v>
      </c>
      <c r="L342" s="1042" t="s">
        <v>3556</v>
      </c>
      <c r="M342" s="1125">
        <v>45954</v>
      </c>
      <c r="N342" s="1243">
        <v>89158</v>
      </c>
      <c r="O342" s="1042" t="s">
        <v>47</v>
      </c>
      <c r="P342" s="1042" t="s">
        <v>49</v>
      </c>
      <c r="Q342" s="1306">
        <v>1</v>
      </c>
      <c r="R342" s="1243">
        <v>1000105113</v>
      </c>
      <c r="S342" s="1125">
        <v>45961</v>
      </c>
      <c r="T342" s="1042">
        <v>85856</v>
      </c>
      <c r="U342" s="1042" t="s">
        <v>49</v>
      </c>
      <c r="V342" s="1843">
        <v>0</v>
      </c>
      <c r="W342" s="1042" t="s">
        <v>2909</v>
      </c>
      <c r="X342" s="1042"/>
      <c r="Y342" s="1243"/>
      <c r="Z342" s="1128"/>
      <c r="AA342" s="1267"/>
    </row>
    <row r="343" spans="1:27" s="171" customFormat="1" ht="15.6">
      <c r="A343" s="817">
        <v>130</v>
      </c>
      <c r="B343" s="2593">
        <v>45954</v>
      </c>
      <c r="C343" s="817" t="s">
        <v>614</v>
      </c>
      <c r="D343" s="817" t="s">
        <v>2902</v>
      </c>
      <c r="E343" s="3000" t="s">
        <v>3451</v>
      </c>
      <c r="F343" s="3000" t="s">
        <v>2994</v>
      </c>
      <c r="G343" s="3000">
        <v>8333984571</v>
      </c>
      <c r="H343" s="811" t="s">
        <v>2995</v>
      </c>
      <c r="I343" s="817" t="s">
        <v>3457</v>
      </c>
      <c r="J343" s="2999" t="s">
        <v>83</v>
      </c>
      <c r="K343" s="2999" t="s">
        <v>157</v>
      </c>
      <c r="L343" s="817" t="s">
        <v>3557</v>
      </c>
      <c r="M343" s="1465">
        <v>45943</v>
      </c>
      <c r="N343" s="1466">
        <v>1416700</v>
      </c>
      <c r="O343" s="817" t="s">
        <v>47</v>
      </c>
      <c r="P343" s="817" t="s">
        <v>62</v>
      </c>
      <c r="Q343" s="1838">
        <v>0.8</v>
      </c>
      <c r="R343" s="1504"/>
      <c r="S343" s="1465"/>
      <c r="T343" s="817"/>
      <c r="U343" s="817"/>
      <c r="V343" s="1839">
        <v>1416700</v>
      </c>
      <c r="W343" s="817" t="s">
        <v>3365</v>
      </c>
      <c r="X343" s="817"/>
      <c r="Y343" s="1466"/>
      <c r="Z343" s="1831"/>
      <c r="AA343" s="4"/>
    </row>
    <row r="344" spans="1:27" s="171" customFormat="1" ht="15.6">
      <c r="A344" s="817">
        <v>131</v>
      </c>
      <c r="B344" s="2593">
        <v>45954</v>
      </c>
      <c r="C344" s="817" t="s">
        <v>1250</v>
      </c>
      <c r="D344" s="817" t="s">
        <v>2252</v>
      </c>
      <c r="E344" s="2999" t="s">
        <v>3558</v>
      </c>
      <c r="F344" s="2999" t="s">
        <v>3559</v>
      </c>
      <c r="G344" s="3013">
        <v>8197235093</v>
      </c>
      <c r="H344" s="1841" t="s">
        <v>3560</v>
      </c>
      <c r="I344" s="817" t="s">
        <v>2991</v>
      </c>
      <c r="J344" s="3003" t="s">
        <v>75</v>
      </c>
      <c r="K344" s="3003" t="s">
        <v>157</v>
      </c>
      <c r="L344" s="817" t="s">
        <v>3561</v>
      </c>
      <c r="M344" s="1465">
        <v>45943</v>
      </c>
      <c r="N344" s="1466">
        <v>285320</v>
      </c>
      <c r="O344" s="817" t="s">
        <v>47</v>
      </c>
      <c r="P344" s="817" t="s">
        <v>62</v>
      </c>
      <c r="Q344" s="1838">
        <v>0.6</v>
      </c>
      <c r="R344" s="1504"/>
      <c r="S344" s="1465"/>
      <c r="T344" s="817"/>
      <c r="U344" s="817"/>
      <c r="V344" s="1839">
        <v>285320</v>
      </c>
      <c r="W344" s="817" t="s">
        <v>3269</v>
      </c>
      <c r="X344" s="817"/>
      <c r="Y344" s="1466"/>
      <c r="Z344" s="1831"/>
      <c r="AA344" s="4"/>
    </row>
    <row r="345" spans="1:27" s="171" customFormat="1" ht="15.6">
      <c r="A345" s="817">
        <v>132</v>
      </c>
      <c r="B345" s="2593">
        <v>45954</v>
      </c>
      <c r="C345" s="817" t="s">
        <v>2901</v>
      </c>
      <c r="D345" s="817" t="s">
        <v>2902</v>
      </c>
      <c r="E345" s="817" t="s">
        <v>873</v>
      </c>
      <c r="F345" s="817" t="s">
        <v>3562</v>
      </c>
      <c r="G345" s="3013">
        <v>9494899118</v>
      </c>
      <c r="H345" s="1841" t="s">
        <v>2904</v>
      </c>
      <c r="I345" s="817" t="s">
        <v>2905</v>
      </c>
      <c r="J345" s="2999" t="s">
        <v>83</v>
      </c>
      <c r="K345" s="2999" t="s">
        <v>157</v>
      </c>
      <c r="L345" s="817" t="s">
        <v>3563</v>
      </c>
      <c r="M345" s="1465">
        <v>45943</v>
      </c>
      <c r="N345" s="1466">
        <v>883479</v>
      </c>
      <c r="O345" s="817" t="s">
        <v>47</v>
      </c>
      <c r="P345" s="817" t="s">
        <v>62</v>
      </c>
      <c r="Q345" s="1838">
        <v>0.5</v>
      </c>
      <c r="R345" s="1504"/>
      <c r="S345" s="1465"/>
      <c r="T345" s="817"/>
      <c r="U345" s="817"/>
      <c r="V345" s="1839">
        <v>883479</v>
      </c>
      <c r="W345" s="817" t="s">
        <v>3269</v>
      </c>
      <c r="X345" s="817"/>
      <c r="Y345" s="1466"/>
      <c r="Z345" s="1831"/>
      <c r="AA345" s="4"/>
    </row>
    <row r="346" spans="1:27" s="171" customFormat="1" ht="15.6">
      <c r="A346" s="1042">
        <v>133</v>
      </c>
      <c r="B346" s="1125">
        <v>45964</v>
      </c>
      <c r="C346" s="1042" t="s">
        <v>3130</v>
      </c>
      <c r="D346" s="1042" t="s">
        <v>2252</v>
      </c>
      <c r="E346" s="3005" t="s">
        <v>3086</v>
      </c>
      <c r="F346" s="3005" t="s">
        <v>3131</v>
      </c>
      <c r="G346" s="3005">
        <v>8147685871</v>
      </c>
      <c r="H346" s="2591" t="s">
        <v>3132</v>
      </c>
      <c r="I346" s="1042" t="s">
        <v>3133</v>
      </c>
      <c r="J346" s="3004" t="s">
        <v>83</v>
      </c>
      <c r="K346" s="3005" t="s">
        <v>157</v>
      </c>
      <c r="L346" s="1246" t="s">
        <v>3564</v>
      </c>
      <c r="M346" s="2188">
        <v>45964</v>
      </c>
      <c r="N346" s="1243">
        <v>2066824</v>
      </c>
      <c r="O346" s="1042" t="s">
        <v>49</v>
      </c>
      <c r="P346" s="1042" t="s">
        <v>49</v>
      </c>
      <c r="Q346" s="1306">
        <v>0.9</v>
      </c>
      <c r="R346" s="1243" t="s">
        <v>3565</v>
      </c>
      <c r="S346" s="2223">
        <v>45974</v>
      </c>
      <c r="T346" s="1042">
        <v>2066824</v>
      </c>
      <c r="U346" s="1042" t="s">
        <v>49</v>
      </c>
      <c r="V346" s="1843">
        <f>Table62689345679[[#This Row],[PO Value]]-Table62689345679[[#This Row],[Offer Value]]</f>
        <v>0</v>
      </c>
      <c r="W346" s="1042" t="s">
        <v>2909</v>
      </c>
      <c r="X346" s="1042"/>
      <c r="Y346" s="1243"/>
      <c r="Z346" s="1128"/>
      <c r="AA346" s="1267"/>
    </row>
    <row r="347" spans="1:27" s="171" customFormat="1" ht="15.6">
      <c r="A347" s="817">
        <v>134</v>
      </c>
      <c r="B347" s="2593">
        <v>45975</v>
      </c>
      <c r="C347" s="817" t="s">
        <v>3077</v>
      </c>
      <c r="D347" s="817" t="s">
        <v>2252</v>
      </c>
      <c r="E347" s="817" t="s">
        <v>873</v>
      </c>
      <c r="F347" s="817" t="s">
        <v>3566</v>
      </c>
      <c r="G347" s="1466">
        <v>9739056664</v>
      </c>
      <c r="H347" s="1841" t="s">
        <v>3079</v>
      </c>
      <c r="I347" s="817" t="s">
        <v>3567</v>
      </c>
      <c r="J347" s="3003" t="s">
        <v>81</v>
      </c>
      <c r="K347" s="3003" t="s">
        <v>157</v>
      </c>
      <c r="L347" s="817" t="s">
        <v>3568</v>
      </c>
      <c r="M347" s="1465">
        <v>45974</v>
      </c>
      <c r="N347" s="1466">
        <v>536120</v>
      </c>
      <c r="O347" s="817" t="s">
        <v>49</v>
      </c>
      <c r="P347" s="817" t="s">
        <v>62</v>
      </c>
      <c r="Q347" s="1838">
        <v>0.8</v>
      </c>
      <c r="R347" s="1504"/>
      <c r="S347" s="1465"/>
      <c r="T347" s="817"/>
      <c r="U347" s="817"/>
      <c r="V347" s="1839">
        <v>536120</v>
      </c>
      <c r="W347" s="817" t="s">
        <v>2959</v>
      </c>
      <c r="X347" s="817"/>
      <c r="Y347" s="1466"/>
      <c r="Z347" s="1831"/>
      <c r="AA347" s="4"/>
    </row>
    <row r="348" spans="1:27" s="171" customFormat="1" ht="15.6">
      <c r="A348" s="817">
        <v>135</v>
      </c>
      <c r="B348" s="1465">
        <v>45975</v>
      </c>
      <c r="C348" s="817" t="s">
        <v>1250</v>
      </c>
      <c r="D348" s="817" t="s">
        <v>2252</v>
      </c>
      <c r="E348" s="817" t="s">
        <v>3569</v>
      </c>
      <c r="F348" s="817" t="s">
        <v>3570</v>
      </c>
      <c r="G348" s="1466">
        <v>9901350326</v>
      </c>
      <c r="H348" s="1841" t="s">
        <v>3571</v>
      </c>
      <c r="I348" s="817" t="s">
        <v>3260</v>
      </c>
      <c r="J348" s="3003" t="s">
        <v>77</v>
      </c>
      <c r="K348" s="3003" t="s">
        <v>138</v>
      </c>
      <c r="L348" s="817" t="s">
        <v>3572</v>
      </c>
      <c r="M348" s="1465">
        <v>45974</v>
      </c>
      <c r="N348" s="1466">
        <v>336000</v>
      </c>
      <c r="O348" s="817" t="s">
        <v>49</v>
      </c>
      <c r="P348" s="817" t="s">
        <v>62</v>
      </c>
      <c r="Q348" s="1838">
        <v>0.7</v>
      </c>
      <c r="R348" s="1504"/>
      <c r="S348" s="1465"/>
      <c r="T348" s="817"/>
      <c r="U348" s="817"/>
      <c r="V348" s="1839">
        <v>336000</v>
      </c>
      <c r="W348" s="817" t="s">
        <v>3269</v>
      </c>
      <c r="X348" s="817"/>
      <c r="Y348" s="1466"/>
      <c r="Z348" s="1831"/>
      <c r="AA348" s="4"/>
    </row>
    <row r="349" spans="1:27" s="171" customFormat="1" ht="15.6">
      <c r="A349" s="817">
        <v>136</v>
      </c>
      <c r="B349" s="1465">
        <v>45995</v>
      </c>
      <c r="C349" s="817" t="s">
        <v>2917</v>
      </c>
      <c r="D349" s="817" t="s">
        <v>2252</v>
      </c>
      <c r="E349" s="817" t="s">
        <v>873</v>
      </c>
      <c r="F349" s="817" t="s">
        <v>2919</v>
      </c>
      <c r="G349" s="1466">
        <v>9880829868</v>
      </c>
      <c r="H349" s="1841" t="s">
        <v>3573</v>
      </c>
      <c r="I349" s="817" t="s">
        <v>3446</v>
      </c>
      <c r="J349" s="3003" t="s">
        <v>74</v>
      </c>
      <c r="K349" s="3003" t="s">
        <v>138</v>
      </c>
      <c r="L349" s="817" t="s">
        <v>3574</v>
      </c>
      <c r="M349" s="1465">
        <v>45985</v>
      </c>
      <c r="N349" s="1466">
        <v>257586</v>
      </c>
      <c r="O349" s="817" t="s">
        <v>49</v>
      </c>
      <c r="P349" s="817" t="s">
        <v>62</v>
      </c>
      <c r="Q349" s="1838">
        <v>0.5</v>
      </c>
      <c r="R349" s="1504"/>
      <c r="S349" s="1465"/>
      <c r="T349" s="817"/>
      <c r="U349" s="817"/>
      <c r="V349" s="1839">
        <v>257586</v>
      </c>
      <c r="W349" s="817" t="s">
        <v>3269</v>
      </c>
      <c r="X349" s="817"/>
      <c r="Y349" s="1466"/>
      <c r="Z349" s="1831"/>
      <c r="AA349" s="4"/>
    </row>
    <row r="350" spans="1:27" s="171" customFormat="1" ht="15.6">
      <c r="A350" s="817">
        <v>137</v>
      </c>
      <c r="B350" s="1465">
        <v>45995</v>
      </c>
      <c r="C350" s="817" t="s">
        <v>1250</v>
      </c>
      <c r="D350" s="817" t="s">
        <v>2252</v>
      </c>
      <c r="E350" s="817" t="s">
        <v>3461</v>
      </c>
      <c r="F350" s="817" t="s">
        <v>3575</v>
      </c>
      <c r="G350" s="1466">
        <v>7899744400</v>
      </c>
      <c r="H350" s="1841" t="s">
        <v>3576</v>
      </c>
      <c r="I350" s="817" t="s">
        <v>3402</v>
      </c>
      <c r="J350" s="3003" t="s">
        <v>81</v>
      </c>
      <c r="K350" s="3003" t="s">
        <v>157</v>
      </c>
      <c r="L350" s="817" t="s">
        <v>3577</v>
      </c>
      <c r="M350" s="1465">
        <v>45989</v>
      </c>
      <c r="N350" s="1466">
        <v>87800</v>
      </c>
      <c r="O350" s="817" t="s">
        <v>49</v>
      </c>
      <c r="P350" s="817" t="s">
        <v>62</v>
      </c>
      <c r="Q350" s="1838">
        <v>0.7</v>
      </c>
      <c r="R350" s="1504"/>
      <c r="S350" s="1465"/>
      <c r="T350" s="817"/>
      <c r="U350" s="817"/>
      <c r="V350" s="1839">
        <v>87800</v>
      </c>
      <c r="W350" s="817" t="s">
        <v>3269</v>
      </c>
      <c r="X350" s="817"/>
      <c r="Y350" s="1466"/>
      <c r="Z350" s="1831"/>
      <c r="AA350" s="4"/>
    </row>
    <row r="351" spans="1:27" s="171" customFormat="1" ht="15.6">
      <c r="A351" s="817">
        <v>138</v>
      </c>
      <c r="B351" s="1465">
        <v>45995</v>
      </c>
      <c r="C351" s="817" t="s">
        <v>3142</v>
      </c>
      <c r="D351" s="817" t="s">
        <v>3143</v>
      </c>
      <c r="E351" s="2999" t="s">
        <v>3469</v>
      </c>
      <c r="F351" s="3000" t="s">
        <v>3230</v>
      </c>
      <c r="G351" s="3001" t="s">
        <v>3231</v>
      </c>
      <c r="H351" s="3002" t="s">
        <v>3232</v>
      </c>
      <c r="I351" s="817" t="s">
        <v>3233</v>
      </c>
      <c r="J351" s="3003" t="s">
        <v>73</v>
      </c>
      <c r="K351" s="3003" t="s">
        <v>138</v>
      </c>
      <c r="L351" s="817" t="s">
        <v>3578</v>
      </c>
      <c r="M351" s="1465">
        <v>45989</v>
      </c>
      <c r="N351" s="1466">
        <v>109850</v>
      </c>
      <c r="O351" s="817" t="s">
        <v>49</v>
      </c>
      <c r="P351" s="817" t="s">
        <v>25</v>
      </c>
      <c r="Q351" s="1838">
        <v>1</v>
      </c>
      <c r="R351" s="1504"/>
      <c r="S351" s="1465"/>
      <c r="T351" s="817"/>
      <c r="U351" s="817"/>
      <c r="V351" s="1839">
        <v>109850</v>
      </c>
      <c r="W351" s="817" t="s">
        <v>3579</v>
      </c>
      <c r="X351" s="817"/>
      <c r="Y351" s="1466"/>
      <c r="Z351" s="1831"/>
      <c r="AA351" s="4"/>
    </row>
    <row r="352" spans="1:27" s="171" customFormat="1" ht="15.6">
      <c r="A352" s="817"/>
      <c r="B352" s="817"/>
      <c r="C352" s="817" t="s">
        <v>3142</v>
      </c>
      <c r="D352" s="817" t="s">
        <v>3143</v>
      </c>
      <c r="E352" s="2999" t="s">
        <v>3469</v>
      </c>
      <c r="F352" s="3000" t="s">
        <v>3230</v>
      </c>
      <c r="G352" s="3001" t="s">
        <v>3231</v>
      </c>
      <c r="H352" s="3002" t="s">
        <v>3232</v>
      </c>
      <c r="I352" s="817" t="s">
        <v>3146</v>
      </c>
      <c r="J352" s="3003" t="s">
        <v>73</v>
      </c>
      <c r="K352" s="3003" t="s">
        <v>138</v>
      </c>
      <c r="L352" s="817" t="s">
        <v>3578</v>
      </c>
      <c r="M352" s="1465">
        <v>45989</v>
      </c>
      <c r="N352" s="1466">
        <v>109850</v>
      </c>
      <c r="O352" s="817" t="s">
        <v>49</v>
      </c>
      <c r="P352" s="817" t="s">
        <v>25</v>
      </c>
      <c r="Q352" s="1838">
        <v>1</v>
      </c>
      <c r="R352" s="1504"/>
      <c r="S352" s="1465"/>
      <c r="T352" s="817"/>
      <c r="U352" s="817"/>
      <c r="V352" s="1839">
        <v>109850</v>
      </c>
      <c r="W352" s="817" t="s">
        <v>3579</v>
      </c>
      <c r="X352" s="817"/>
      <c r="Y352" s="1466"/>
      <c r="Z352" s="1831"/>
      <c r="AA352" s="4"/>
    </row>
    <row r="353" spans="1:27" s="171" customFormat="1" ht="15.6">
      <c r="A353" s="817"/>
      <c r="B353" s="817"/>
      <c r="C353" s="817" t="s">
        <v>3142</v>
      </c>
      <c r="D353" s="817" t="s">
        <v>3143</v>
      </c>
      <c r="E353" s="2999" t="s">
        <v>3469</v>
      </c>
      <c r="F353" s="3000" t="s">
        <v>3230</v>
      </c>
      <c r="G353" s="3001" t="s">
        <v>3231</v>
      </c>
      <c r="H353" s="3002" t="s">
        <v>3232</v>
      </c>
      <c r="I353" s="817" t="s">
        <v>3152</v>
      </c>
      <c r="J353" s="3003" t="s">
        <v>73</v>
      </c>
      <c r="K353" s="3003" t="s">
        <v>138</v>
      </c>
      <c r="L353" s="817" t="s">
        <v>3578</v>
      </c>
      <c r="M353" s="1465">
        <v>45989</v>
      </c>
      <c r="N353" s="1466">
        <v>109850</v>
      </c>
      <c r="O353" s="817" t="s">
        <v>49</v>
      </c>
      <c r="P353" s="817" t="s">
        <v>25</v>
      </c>
      <c r="Q353" s="1838">
        <v>1</v>
      </c>
      <c r="R353" s="1504"/>
      <c r="S353" s="1465"/>
      <c r="T353" s="817"/>
      <c r="U353" s="817"/>
      <c r="V353" s="1839">
        <v>109850</v>
      </c>
      <c r="W353" s="817" t="s">
        <v>3579</v>
      </c>
      <c r="X353" s="817"/>
      <c r="Y353" s="1466"/>
      <c r="Z353" s="1831"/>
      <c r="AA353" s="4"/>
    </row>
    <row r="354" spans="1:27" s="171" customFormat="1" ht="15.6">
      <c r="A354" s="817"/>
      <c r="B354" s="817"/>
      <c r="C354" s="817" t="s">
        <v>3142</v>
      </c>
      <c r="D354" s="817" t="s">
        <v>3143</v>
      </c>
      <c r="E354" s="2999" t="s">
        <v>3469</v>
      </c>
      <c r="F354" s="3000" t="s">
        <v>3230</v>
      </c>
      <c r="G354" s="3001" t="s">
        <v>3231</v>
      </c>
      <c r="H354" s="3002" t="s">
        <v>3232</v>
      </c>
      <c r="I354" s="817" t="s">
        <v>3153</v>
      </c>
      <c r="J354" s="3003" t="s">
        <v>73</v>
      </c>
      <c r="K354" s="3003" t="s">
        <v>138</v>
      </c>
      <c r="L354" s="817" t="s">
        <v>3578</v>
      </c>
      <c r="M354" s="1465">
        <v>45989</v>
      </c>
      <c r="N354" s="1466">
        <v>109850</v>
      </c>
      <c r="O354" s="817" t="s">
        <v>49</v>
      </c>
      <c r="P354" s="817" t="s">
        <v>25</v>
      </c>
      <c r="Q354" s="1838">
        <v>1</v>
      </c>
      <c r="R354" s="1504"/>
      <c r="S354" s="1465"/>
      <c r="T354" s="817"/>
      <c r="U354" s="817"/>
      <c r="V354" s="1839">
        <v>109850</v>
      </c>
      <c r="W354" s="817" t="s">
        <v>3579</v>
      </c>
      <c r="X354" s="817"/>
      <c r="Y354" s="1466"/>
      <c r="Z354" s="1831"/>
      <c r="AA354" s="4"/>
    </row>
    <row r="355" spans="1:27" s="171" customFormat="1" ht="15.6">
      <c r="A355" s="817"/>
      <c r="B355" s="817"/>
      <c r="C355" s="817" t="s">
        <v>3142</v>
      </c>
      <c r="D355" s="817" t="s">
        <v>3143</v>
      </c>
      <c r="E355" s="2999" t="s">
        <v>3469</v>
      </c>
      <c r="F355" s="3000" t="s">
        <v>3230</v>
      </c>
      <c r="G355" s="3001" t="s">
        <v>3231</v>
      </c>
      <c r="H355" s="3002" t="s">
        <v>3232</v>
      </c>
      <c r="I355" s="817" t="s">
        <v>3154</v>
      </c>
      <c r="J355" s="3003" t="s">
        <v>73</v>
      </c>
      <c r="K355" s="3003" t="s">
        <v>138</v>
      </c>
      <c r="L355" s="817" t="s">
        <v>3578</v>
      </c>
      <c r="M355" s="1465">
        <v>45989</v>
      </c>
      <c r="N355" s="1466">
        <v>109850</v>
      </c>
      <c r="O355" s="817" t="s">
        <v>49</v>
      </c>
      <c r="P355" s="817" t="s">
        <v>25</v>
      </c>
      <c r="Q355" s="1838">
        <v>1</v>
      </c>
      <c r="R355" s="1504"/>
      <c r="S355" s="1465"/>
      <c r="T355" s="817"/>
      <c r="U355" s="817"/>
      <c r="V355" s="1839">
        <v>109850</v>
      </c>
      <c r="W355" s="817" t="s">
        <v>3579</v>
      </c>
      <c r="X355" s="817"/>
      <c r="Y355" s="1466"/>
      <c r="Z355" s="1831"/>
      <c r="AA355" s="4"/>
    </row>
    <row r="356" spans="1:27" s="171" customFormat="1" ht="15.6">
      <c r="A356" s="817"/>
      <c r="B356" s="817"/>
      <c r="C356" s="817" t="s">
        <v>3142</v>
      </c>
      <c r="D356" s="817" t="s">
        <v>3143</v>
      </c>
      <c r="E356" s="2999" t="s">
        <v>3469</v>
      </c>
      <c r="F356" s="3000" t="s">
        <v>3230</v>
      </c>
      <c r="G356" s="3001" t="s">
        <v>3231</v>
      </c>
      <c r="H356" s="3002" t="s">
        <v>3232</v>
      </c>
      <c r="I356" s="817" t="s">
        <v>3155</v>
      </c>
      <c r="J356" s="3003" t="s">
        <v>73</v>
      </c>
      <c r="K356" s="3003" t="s">
        <v>138</v>
      </c>
      <c r="L356" s="817" t="s">
        <v>3578</v>
      </c>
      <c r="M356" s="1465">
        <v>45989</v>
      </c>
      <c r="N356" s="1466">
        <v>109850</v>
      </c>
      <c r="O356" s="817" t="s">
        <v>49</v>
      </c>
      <c r="P356" s="817" t="s">
        <v>25</v>
      </c>
      <c r="Q356" s="1838">
        <v>1</v>
      </c>
      <c r="R356" s="1504"/>
      <c r="S356" s="1465"/>
      <c r="T356" s="817"/>
      <c r="U356" s="817"/>
      <c r="V356" s="1839">
        <v>109850</v>
      </c>
      <c r="W356" s="817" t="s">
        <v>3579</v>
      </c>
      <c r="X356" s="817"/>
      <c r="Y356" s="1466"/>
      <c r="Z356" s="1831"/>
      <c r="AA356" s="4"/>
    </row>
    <row r="357" spans="1:27" s="171" customFormat="1" ht="15.6">
      <c r="A357" s="817"/>
      <c r="B357" s="817"/>
      <c r="C357" s="817" t="s">
        <v>3142</v>
      </c>
      <c r="D357" s="817" t="s">
        <v>3143</v>
      </c>
      <c r="E357" s="2999" t="s">
        <v>3469</v>
      </c>
      <c r="F357" s="3000" t="s">
        <v>3230</v>
      </c>
      <c r="G357" s="3001" t="s">
        <v>3231</v>
      </c>
      <c r="H357" s="3002" t="s">
        <v>3232</v>
      </c>
      <c r="I357" s="817" t="s">
        <v>3156</v>
      </c>
      <c r="J357" s="3003" t="s">
        <v>73</v>
      </c>
      <c r="K357" s="3003" t="s">
        <v>138</v>
      </c>
      <c r="L357" s="817" t="s">
        <v>3578</v>
      </c>
      <c r="M357" s="1465">
        <v>45989</v>
      </c>
      <c r="N357" s="1466">
        <v>109850</v>
      </c>
      <c r="O357" s="817" t="s">
        <v>49</v>
      </c>
      <c r="P357" s="817" t="s">
        <v>25</v>
      </c>
      <c r="Q357" s="1838">
        <v>1</v>
      </c>
      <c r="R357" s="1504"/>
      <c r="S357" s="1465"/>
      <c r="T357" s="817"/>
      <c r="U357" s="817"/>
      <c r="V357" s="1839">
        <v>109850</v>
      </c>
      <c r="W357" s="817" t="s">
        <v>3579</v>
      </c>
      <c r="X357" s="817"/>
      <c r="Y357" s="1466"/>
      <c r="Z357" s="1831"/>
      <c r="AA357" s="4"/>
    </row>
    <row r="358" spans="1:27" s="171" customFormat="1" ht="15.6">
      <c r="A358" s="817"/>
      <c r="B358" s="817"/>
      <c r="C358" s="817" t="s">
        <v>3142</v>
      </c>
      <c r="D358" s="817" t="s">
        <v>3143</v>
      </c>
      <c r="E358" s="2999" t="s">
        <v>3469</v>
      </c>
      <c r="F358" s="3000" t="s">
        <v>3230</v>
      </c>
      <c r="G358" s="3001" t="s">
        <v>3231</v>
      </c>
      <c r="H358" s="3002" t="s">
        <v>3232</v>
      </c>
      <c r="I358" s="817" t="s">
        <v>3157</v>
      </c>
      <c r="J358" s="3003" t="s">
        <v>73</v>
      </c>
      <c r="K358" s="3003" t="s">
        <v>138</v>
      </c>
      <c r="L358" s="817" t="s">
        <v>3578</v>
      </c>
      <c r="M358" s="1465">
        <v>45989</v>
      </c>
      <c r="N358" s="1466">
        <v>109850</v>
      </c>
      <c r="O358" s="817" t="s">
        <v>49</v>
      </c>
      <c r="P358" s="817" t="s">
        <v>25</v>
      </c>
      <c r="Q358" s="1838">
        <v>1</v>
      </c>
      <c r="R358" s="1504"/>
      <c r="S358" s="1465"/>
      <c r="T358" s="817"/>
      <c r="U358" s="817"/>
      <c r="V358" s="1839">
        <v>109850</v>
      </c>
      <c r="W358" s="817" t="s">
        <v>3579</v>
      </c>
      <c r="X358" s="817"/>
      <c r="Y358" s="1466"/>
      <c r="Z358" s="1831"/>
      <c r="AA358" s="4"/>
    </row>
    <row r="359" spans="1:27" s="171" customFormat="1" ht="15.6">
      <c r="A359" s="817"/>
      <c r="B359" s="817"/>
      <c r="C359" s="817" t="s">
        <v>3142</v>
      </c>
      <c r="D359" s="817" t="s">
        <v>3143</v>
      </c>
      <c r="E359" s="2999" t="s">
        <v>3469</v>
      </c>
      <c r="F359" s="3000" t="s">
        <v>3230</v>
      </c>
      <c r="G359" s="3001" t="s">
        <v>3231</v>
      </c>
      <c r="H359" s="3002" t="s">
        <v>3232</v>
      </c>
      <c r="I359" s="817" t="s">
        <v>3158</v>
      </c>
      <c r="J359" s="3003" t="s">
        <v>73</v>
      </c>
      <c r="K359" s="3003" t="s">
        <v>138</v>
      </c>
      <c r="L359" s="817" t="s">
        <v>3578</v>
      </c>
      <c r="M359" s="1465">
        <v>45989</v>
      </c>
      <c r="N359" s="1466">
        <v>109850</v>
      </c>
      <c r="O359" s="817" t="s">
        <v>49</v>
      </c>
      <c r="P359" s="817" t="s">
        <v>25</v>
      </c>
      <c r="Q359" s="1838">
        <v>1</v>
      </c>
      <c r="R359" s="1504"/>
      <c r="S359" s="1465"/>
      <c r="T359" s="817"/>
      <c r="U359" s="817"/>
      <c r="V359" s="1839">
        <v>109850</v>
      </c>
      <c r="W359" s="817" t="s">
        <v>3579</v>
      </c>
      <c r="X359" s="817"/>
      <c r="Y359" s="1466"/>
      <c r="Z359" s="1831"/>
      <c r="AA359" s="4"/>
    </row>
    <row r="360" spans="1:27" s="171" customFormat="1" ht="15.6">
      <c r="A360" s="817">
        <v>139</v>
      </c>
      <c r="B360" s="1465">
        <v>45995</v>
      </c>
      <c r="C360" s="817" t="s">
        <v>3033</v>
      </c>
      <c r="D360" s="817" t="s">
        <v>3034</v>
      </c>
      <c r="E360" s="2999" t="s">
        <v>3469</v>
      </c>
      <c r="F360" s="817" t="s">
        <v>3036</v>
      </c>
      <c r="G360" s="1466">
        <v>8668969287</v>
      </c>
      <c r="H360" s="1841" t="s">
        <v>3037</v>
      </c>
      <c r="I360" s="817" t="s">
        <v>3038</v>
      </c>
      <c r="J360" s="3003" t="s">
        <v>73</v>
      </c>
      <c r="K360" s="3003" t="s">
        <v>138</v>
      </c>
      <c r="L360" s="817" t="s">
        <v>3580</v>
      </c>
      <c r="M360" s="1465">
        <v>45992</v>
      </c>
      <c r="N360" s="1466">
        <v>162426</v>
      </c>
      <c r="O360" s="817" t="s">
        <v>62</v>
      </c>
      <c r="P360" s="817" t="s">
        <v>7</v>
      </c>
      <c r="Q360" s="1838">
        <v>1</v>
      </c>
      <c r="R360" s="1504"/>
      <c r="S360" s="1465"/>
      <c r="T360" s="817"/>
      <c r="U360" s="817"/>
      <c r="V360" s="1839">
        <v>162426</v>
      </c>
      <c r="W360" s="817" t="s">
        <v>3269</v>
      </c>
      <c r="X360" s="817"/>
      <c r="Y360" s="1466"/>
      <c r="Z360" s="1831"/>
      <c r="AA360" s="4"/>
    </row>
    <row r="361" spans="1:27" s="171" customFormat="1" ht="15.6">
      <c r="A361" s="817"/>
      <c r="B361" s="817"/>
      <c r="C361" s="817" t="s">
        <v>3033</v>
      </c>
      <c r="D361" s="817" t="s">
        <v>3034</v>
      </c>
      <c r="E361" s="2999" t="s">
        <v>3469</v>
      </c>
      <c r="F361" s="817" t="s">
        <v>3036</v>
      </c>
      <c r="G361" s="1466">
        <v>8668969287</v>
      </c>
      <c r="H361" s="1841" t="s">
        <v>3037</v>
      </c>
      <c r="I361" s="817" t="s">
        <v>3041</v>
      </c>
      <c r="J361" s="3003" t="s">
        <v>73</v>
      </c>
      <c r="K361" s="3003" t="s">
        <v>138</v>
      </c>
      <c r="L361" s="817" t="s">
        <v>3580</v>
      </c>
      <c r="M361" s="1465">
        <v>45992</v>
      </c>
      <c r="N361" s="1466">
        <v>162426</v>
      </c>
      <c r="O361" s="817" t="s">
        <v>62</v>
      </c>
      <c r="P361" s="817" t="s">
        <v>7</v>
      </c>
      <c r="Q361" s="1838">
        <v>1</v>
      </c>
      <c r="R361" s="1504"/>
      <c r="S361" s="1465"/>
      <c r="T361" s="817"/>
      <c r="U361" s="817"/>
      <c r="V361" s="1839">
        <v>162426</v>
      </c>
      <c r="W361" s="817" t="s">
        <v>3269</v>
      </c>
      <c r="X361" s="817"/>
      <c r="Y361" s="1466"/>
      <c r="Z361" s="1831"/>
      <c r="AA361" s="4"/>
    </row>
    <row r="362" spans="1:27" s="171" customFormat="1" ht="15.6">
      <c r="A362" s="817">
        <v>140</v>
      </c>
      <c r="B362" s="1465">
        <v>45995</v>
      </c>
      <c r="C362" s="1837" t="s">
        <v>3014</v>
      </c>
      <c r="D362" s="1837" t="s">
        <v>2252</v>
      </c>
      <c r="E362" s="1837" t="s">
        <v>873</v>
      </c>
      <c r="F362" s="1837" t="s">
        <v>3015</v>
      </c>
      <c r="G362" s="2939" t="s">
        <v>3581</v>
      </c>
      <c r="H362" s="3007" t="s">
        <v>3016</v>
      </c>
      <c r="I362" s="1837" t="s">
        <v>3017</v>
      </c>
      <c r="J362" s="3003" t="s">
        <v>73</v>
      </c>
      <c r="K362" s="3003" t="s">
        <v>138</v>
      </c>
      <c r="L362" s="817" t="s">
        <v>3582</v>
      </c>
      <c r="M362" s="1465">
        <v>45992</v>
      </c>
      <c r="N362" s="1466">
        <v>78045</v>
      </c>
      <c r="O362" s="817" t="s">
        <v>62</v>
      </c>
      <c r="P362" s="817" t="s">
        <v>7</v>
      </c>
      <c r="Q362" s="1838">
        <v>1</v>
      </c>
      <c r="R362" s="1504"/>
      <c r="S362" s="1465"/>
      <c r="T362" s="817"/>
      <c r="U362" s="817"/>
      <c r="V362" s="1839">
        <v>78045</v>
      </c>
      <c r="W362" s="817" t="s">
        <v>3269</v>
      </c>
      <c r="X362" s="817"/>
      <c r="Y362" s="1466"/>
      <c r="Z362" s="1831"/>
      <c r="AA362" s="4"/>
    </row>
    <row r="363" spans="1:27" s="171" customFormat="1" ht="15.6">
      <c r="A363" s="817"/>
      <c r="B363" s="817"/>
      <c r="C363" s="817" t="s">
        <v>3014</v>
      </c>
      <c r="D363" s="817" t="s">
        <v>2252</v>
      </c>
      <c r="E363" s="817" t="s">
        <v>873</v>
      </c>
      <c r="F363" s="817" t="s">
        <v>3015</v>
      </c>
      <c r="G363" s="1466" t="s">
        <v>3581</v>
      </c>
      <c r="H363" s="1841" t="s">
        <v>3016</v>
      </c>
      <c r="I363" s="817" t="s">
        <v>3020</v>
      </c>
      <c r="J363" s="3003" t="s">
        <v>73</v>
      </c>
      <c r="K363" s="3003" t="s">
        <v>138</v>
      </c>
      <c r="L363" s="817" t="s">
        <v>3582</v>
      </c>
      <c r="M363" s="1465">
        <v>45992</v>
      </c>
      <c r="N363" s="1466">
        <v>78045</v>
      </c>
      <c r="O363" s="817" t="s">
        <v>62</v>
      </c>
      <c r="P363" s="817" t="s">
        <v>7</v>
      </c>
      <c r="Q363" s="1838">
        <v>1</v>
      </c>
      <c r="R363" s="1504"/>
      <c r="S363" s="1465"/>
      <c r="T363" s="817"/>
      <c r="U363" s="817"/>
      <c r="V363" s="1839">
        <v>78045</v>
      </c>
      <c r="W363" s="817" t="s">
        <v>3269</v>
      </c>
      <c r="X363" s="817"/>
      <c r="Y363" s="1466"/>
      <c r="Z363" s="1831"/>
      <c r="AA363" s="4"/>
    </row>
    <row r="364" spans="1:27" s="171" customFormat="1" ht="15.6">
      <c r="A364" s="817">
        <v>141</v>
      </c>
      <c r="B364" s="1465">
        <v>45995</v>
      </c>
      <c r="C364" s="817" t="s">
        <v>1250</v>
      </c>
      <c r="D364" s="817" t="s">
        <v>2252</v>
      </c>
      <c r="E364" s="817" t="s">
        <v>3583</v>
      </c>
      <c r="F364" s="817" t="s">
        <v>2986</v>
      </c>
      <c r="G364" s="1466">
        <v>8884433748</v>
      </c>
      <c r="H364" s="1841" t="s">
        <v>2987</v>
      </c>
      <c r="I364" s="817" t="s">
        <v>2988</v>
      </c>
      <c r="J364" s="3003" t="s">
        <v>73</v>
      </c>
      <c r="K364" s="3003" t="s">
        <v>138</v>
      </c>
      <c r="L364" s="817" t="s">
        <v>3584</v>
      </c>
      <c r="M364" s="1465">
        <v>45992</v>
      </c>
      <c r="N364" s="1466">
        <v>76440</v>
      </c>
      <c r="O364" s="817" t="s">
        <v>62</v>
      </c>
      <c r="P364" s="817" t="s">
        <v>7</v>
      </c>
      <c r="Q364" s="1838">
        <v>1</v>
      </c>
      <c r="R364" s="1504"/>
      <c r="S364" s="1465"/>
      <c r="T364" s="817"/>
      <c r="U364" s="817"/>
      <c r="V364" s="1839">
        <v>76440</v>
      </c>
      <c r="W364" s="817" t="s">
        <v>3269</v>
      </c>
      <c r="X364" s="817"/>
      <c r="Y364" s="1466"/>
      <c r="Z364" s="1831"/>
      <c r="AA364" s="4"/>
    </row>
    <row r="365" spans="1:27" s="171" customFormat="1" ht="15.6">
      <c r="A365" s="817"/>
      <c r="B365" s="817"/>
      <c r="C365" s="817" t="s">
        <v>1250</v>
      </c>
      <c r="D365" s="817" t="s">
        <v>2252</v>
      </c>
      <c r="E365" s="817" t="s">
        <v>3583</v>
      </c>
      <c r="F365" s="817" t="s">
        <v>2986</v>
      </c>
      <c r="G365" s="1466">
        <v>8884433748</v>
      </c>
      <c r="H365" s="1841" t="s">
        <v>2987</v>
      </c>
      <c r="I365" s="817" t="s">
        <v>2991</v>
      </c>
      <c r="J365" s="3003" t="s">
        <v>73</v>
      </c>
      <c r="K365" s="3003" t="s">
        <v>138</v>
      </c>
      <c r="L365" s="817" t="s">
        <v>3584</v>
      </c>
      <c r="M365" s="1465">
        <v>45992</v>
      </c>
      <c r="N365" s="1466">
        <v>76440</v>
      </c>
      <c r="O365" s="817" t="s">
        <v>62</v>
      </c>
      <c r="P365" s="817" t="s">
        <v>7</v>
      </c>
      <c r="Q365" s="1838">
        <v>1</v>
      </c>
      <c r="R365" s="1504"/>
      <c r="S365" s="1465"/>
      <c r="T365" s="817"/>
      <c r="U365" s="817"/>
      <c r="V365" s="1839">
        <v>76440</v>
      </c>
      <c r="W365" s="817" t="s">
        <v>3269</v>
      </c>
      <c r="X365" s="817"/>
      <c r="Y365" s="1466"/>
      <c r="Z365" s="1831"/>
      <c r="AA365" s="4"/>
    </row>
    <row r="366" spans="1:27" s="171" customFormat="1" ht="15.6">
      <c r="A366" s="817"/>
      <c r="B366" s="817"/>
      <c r="C366" s="817" t="s">
        <v>1250</v>
      </c>
      <c r="D366" s="817" t="s">
        <v>2252</v>
      </c>
      <c r="E366" s="817" t="s">
        <v>3583</v>
      </c>
      <c r="F366" s="817" t="s">
        <v>2986</v>
      </c>
      <c r="G366" s="1466">
        <v>8884433748</v>
      </c>
      <c r="H366" s="1841" t="s">
        <v>2987</v>
      </c>
      <c r="I366" s="817" t="s">
        <v>2992</v>
      </c>
      <c r="J366" s="3003" t="s">
        <v>73</v>
      </c>
      <c r="K366" s="3003" t="s">
        <v>138</v>
      </c>
      <c r="L366" s="817" t="s">
        <v>3584</v>
      </c>
      <c r="M366" s="1465">
        <v>45992</v>
      </c>
      <c r="N366" s="1466">
        <v>76440</v>
      </c>
      <c r="O366" s="817" t="s">
        <v>62</v>
      </c>
      <c r="P366" s="817" t="s">
        <v>7</v>
      </c>
      <c r="Q366" s="1838">
        <v>1</v>
      </c>
      <c r="R366" s="1504"/>
      <c r="S366" s="1465"/>
      <c r="T366" s="817"/>
      <c r="U366" s="817"/>
      <c r="V366" s="1839">
        <v>76440</v>
      </c>
      <c r="W366" s="817" t="s">
        <v>3269</v>
      </c>
      <c r="X366" s="817"/>
      <c r="Y366" s="1466"/>
      <c r="Z366" s="1831"/>
      <c r="AA366" s="4"/>
    </row>
    <row r="367" spans="1:27" s="171" customFormat="1" ht="15.6">
      <c r="A367" s="817">
        <v>142</v>
      </c>
      <c r="B367" s="1465">
        <v>45995</v>
      </c>
      <c r="C367" s="817" t="s">
        <v>2998</v>
      </c>
      <c r="D367" s="817" t="s">
        <v>2999</v>
      </c>
      <c r="E367" s="817" t="s">
        <v>873</v>
      </c>
      <c r="F367" s="817" t="s">
        <v>3585</v>
      </c>
      <c r="G367" s="1466">
        <v>9108014538</v>
      </c>
      <c r="H367" s="1841" t="s">
        <v>3001</v>
      </c>
      <c r="I367" s="817" t="s">
        <v>3002</v>
      </c>
      <c r="J367" s="3003" t="s">
        <v>73</v>
      </c>
      <c r="K367" s="3003" t="s">
        <v>138</v>
      </c>
      <c r="L367" s="817" t="s">
        <v>3586</v>
      </c>
      <c r="M367" s="1465">
        <v>45994</v>
      </c>
      <c r="N367" s="1466">
        <v>164972</v>
      </c>
      <c r="O367" s="817" t="s">
        <v>62</v>
      </c>
      <c r="P367" s="817" t="s">
        <v>7</v>
      </c>
      <c r="Q367" s="1838">
        <v>1</v>
      </c>
      <c r="R367" s="1504"/>
      <c r="S367" s="1465"/>
      <c r="T367" s="817"/>
      <c r="U367" s="817"/>
      <c r="V367" s="1839">
        <v>164972</v>
      </c>
      <c r="W367" s="817" t="s">
        <v>3269</v>
      </c>
      <c r="X367" s="817"/>
      <c r="Y367" s="1466"/>
      <c r="Z367" s="1831"/>
      <c r="AA367" s="4"/>
    </row>
    <row r="368" spans="1:27" s="171" customFormat="1" ht="15.6">
      <c r="A368" s="817"/>
      <c r="B368" s="817"/>
      <c r="C368" s="817" t="s">
        <v>2998</v>
      </c>
      <c r="D368" s="817" t="s">
        <v>2999</v>
      </c>
      <c r="E368" s="817" t="s">
        <v>873</v>
      </c>
      <c r="F368" s="817" t="s">
        <v>3585</v>
      </c>
      <c r="G368" s="1466">
        <v>9108014538</v>
      </c>
      <c r="H368" s="1841" t="s">
        <v>3001</v>
      </c>
      <c r="I368" s="817" t="s">
        <v>3005</v>
      </c>
      <c r="J368" s="3003" t="s">
        <v>73</v>
      </c>
      <c r="K368" s="3003" t="s">
        <v>138</v>
      </c>
      <c r="L368" s="817" t="s">
        <v>3586</v>
      </c>
      <c r="M368" s="1465">
        <v>45994</v>
      </c>
      <c r="N368" s="1466">
        <v>164972</v>
      </c>
      <c r="O368" s="817" t="s">
        <v>62</v>
      </c>
      <c r="P368" s="817" t="s">
        <v>7</v>
      </c>
      <c r="Q368" s="1838">
        <v>1</v>
      </c>
      <c r="R368" s="1504"/>
      <c r="S368" s="1465"/>
      <c r="T368" s="817"/>
      <c r="U368" s="817"/>
      <c r="V368" s="1839">
        <v>164972</v>
      </c>
      <c r="W368" s="817" t="s">
        <v>3269</v>
      </c>
      <c r="X368" s="817"/>
      <c r="Y368" s="1466"/>
      <c r="Z368" s="1831"/>
      <c r="AA368" s="4"/>
    </row>
    <row r="369" spans="1:29" s="171" customFormat="1" ht="15.6">
      <c r="A369" s="817">
        <v>143</v>
      </c>
      <c r="B369" s="1465">
        <v>45995</v>
      </c>
      <c r="C369" s="817" t="s">
        <v>1250</v>
      </c>
      <c r="D369" s="817" t="s">
        <v>2252</v>
      </c>
      <c r="E369" s="817" t="s">
        <v>2976</v>
      </c>
      <c r="F369" s="817" t="s">
        <v>2977</v>
      </c>
      <c r="G369" s="1466" t="s">
        <v>3587</v>
      </c>
      <c r="H369" s="1841" t="s">
        <v>2978</v>
      </c>
      <c r="I369" s="817" t="s">
        <v>2979</v>
      </c>
      <c r="J369" s="3003" t="s">
        <v>73</v>
      </c>
      <c r="K369" s="3003" t="s">
        <v>138</v>
      </c>
      <c r="L369" s="817" t="s">
        <v>3588</v>
      </c>
      <c r="M369" s="1465">
        <v>45994</v>
      </c>
      <c r="N369" s="1466">
        <v>76440</v>
      </c>
      <c r="O369" s="817" t="s">
        <v>62</v>
      </c>
      <c r="P369" s="817" t="s">
        <v>7</v>
      </c>
      <c r="Q369" s="1838">
        <v>1</v>
      </c>
      <c r="R369" s="1504"/>
      <c r="S369" s="1465"/>
      <c r="T369" s="817"/>
      <c r="U369" s="817"/>
      <c r="V369" s="1839">
        <v>76440</v>
      </c>
      <c r="W369" s="817" t="s">
        <v>3269</v>
      </c>
      <c r="X369" s="817"/>
      <c r="Y369" s="1466"/>
      <c r="Z369" s="1831"/>
      <c r="AA369" s="4"/>
    </row>
    <row r="370" spans="1:29" s="171" customFormat="1" ht="15.6">
      <c r="A370" s="817">
        <v>144</v>
      </c>
      <c r="B370" s="1465">
        <v>45995</v>
      </c>
      <c r="C370" s="817" t="s">
        <v>2058</v>
      </c>
      <c r="D370" s="817" t="s">
        <v>2252</v>
      </c>
      <c r="E370" s="817" t="s">
        <v>3479</v>
      </c>
      <c r="F370" s="817" t="s">
        <v>3480</v>
      </c>
      <c r="G370" s="1466">
        <v>9663117964</v>
      </c>
      <c r="H370" s="1841" t="s">
        <v>3481</v>
      </c>
      <c r="I370" s="817" t="s">
        <v>3202</v>
      </c>
      <c r="J370" s="3003" t="s">
        <v>73</v>
      </c>
      <c r="K370" s="3003" t="s">
        <v>138</v>
      </c>
      <c r="L370" s="817" t="s">
        <v>3589</v>
      </c>
      <c r="M370" s="1465">
        <v>45994</v>
      </c>
      <c r="N370" s="1466">
        <v>80262</v>
      </c>
      <c r="O370" s="817" t="s">
        <v>62</v>
      </c>
      <c r="P370" s="817" t="s">
        <v>7</v>
      </c>
      <c r="Q370" s="1838">
        <v>1</v>
      </c>
      <c r="R370" s="1466"/>
      <c r="S370" s="1465"/>
      <c r="T370" s="817"/>
      <c r="U370" s="817"/>
      <c r="V370" s="1839">
        <v>80262</v>
      </c>
      <c r="W370" s="817" t="s">
        <v>3269</v>
      </c>
      <c r="X370" s="817"/>
      <c r="Y370" s="1466"/>
      <c r="Z370" s="1831"/>
      <c r="AA370" s="4"/>
    </row>
    <row r="371" spans="1:29" s="171" customFormat="1" ht="15.6">
      <c r="A371" s="817">
        <v>145</v>
      </c>
      <c r="B371" s="1465">
        <v>45995</v>
      </c>
      <c r="C371" s="817" t="s">
        <v>3051</v>
      </c>
      <c r="D371" s="817" t="s">
        <v>2252</v>
      </c>
      <c r="E371" s="817" t="s">
        <v>873</v>
      </c>
      <c r="F371" s="817" t="s">
        <v>3052</v>
      </c>
      <c r="G371" s="1466">
        <v>9663804313</v>
      </c>
      <c r="H371" s="1841" t="s">
        <v>3053</v>
      </c>
      <c r="I371" s="817" t="s">
        <v>3054</v>
      </c>
      <c r="J371" s="3003" t="s">
        <v>73</v>
      </c>
      <c r="K371" s="3003" t="s">
        <v>138</v>
      </c>
      <c r="L371" s="817" t="s">
        <v>3590</v>
      </c>
      <c r="M371" s="1465">
        <v>45994</v>
      </c>
      <c r="N371" s="1466">
        <v>111196</v>
      </c>
      <c r="O371" s="817" t="s">
        <v>62</v>
      </c>
      <c r="P371" s="817" t="s">
        <v>7</v>
      </c>
      <c r="Q371" s="1838">
        <v>1</v>
      </c>
      <c r="R371" s="1466"/>
      <c r="S371" s="1465"/>
      <c r="T371" s="817"/>
      <c r="U371" s="817"/>
      <c r="V371" s="1839">
        <v>111196</v>
      </c>
      <c r="W371" s="817" t="s">
        <v>3269</v>
      </c>
      <c r="X371" s="817"/>
      <c r="Y371" s="1466"/>
      <c r="Z371" s="1831"/>
      <c r="AA371" s="4"/>
    </row>
    <row r="372" spans="1:29" s="171" customFormat="1" ht="15.6">
      <c r="A372" s="817"/>
      <c r="B372" s="817"/>
      <c r="C372" s="817" t="s">
        <v>3051</v>
      </c>
      <c r="D372" s="817" t="s">
        <v>2252</v>
      </c>
      <c r="E372" s="817" t="s">
        <v>873</v>
      </c>
      <c r="F372" s="817" t="s">
        <v>3052</v>
      </c>
      <c r="G372" s="1466">
        <v>9663804313</v>
      </c>
      <c r="H372" s="1841" t="s">
        <v>3053</v>
      </c>
      <c r="I372" s="817" t="s">
        <v>3056</v>
      </c>
      <c r="J372" s="3003" t="s">
        <v>73</v>
      </c>
      <c r="K372" s="3003" t="s">
        <v>138</v>
      </c>
      <c r="L372" s="817" t="s">
        <v>3590</v>
      </c>
      <c r="M372" s="1465">
        <v>45994</v>
      </c>
      <c r="N372" s="1466">
        <v>111196</v>
      </c>
      <c r="O372" s="817" t="s">
        <v>62</v>
      </c>
      <c r="P372" s="817" t="s">
        <v>7</v>
      </c>
      <c r="Q372" s="1838">
        <v>1</v>
      </c>
      <c r="R372" s="1466"/>
      <c r="S372" s="1465"/>
      <c r="T372" s="817"/>
      <c r="U372" s="817"/>
      <c r="V372" s="1839">
        <v>111196</v>
      </c>
      <c r="W372" s="817" t="s">
        <v>3269</v>
      </c>
      <c r="X372" s="817"/>
      <c r="Y372" s="1466"/>
      <c r="Z372" s="1831"/>
      <c r="AA372" s="4"/>
      <c r="AB372" s="234"/>
      <c r="AC372" s="234"/>
    </row>
    <row r="373" spans="1:29" s="171" customFormat="1" ht="15.6">
      <c r="A373" s="817"/>
      <c r="B373" s="817"/>
      <c r="C373" s="817" t="s">
        <v>3051</v>
      </c>
      <c r="D373" s="817" t="s">
        <v>2252</v>
      </c>
      <c r="E373" s="817" t="s">
        <v>873</v>
      </c>
      <c r="F373" s="817" t="s">
        <v>3052</v>
      </c>
      <c r="G373" s="1466">
        <v>9663804313</v>
      </c>
      <c r="H373" s="1841" t="s">
        <v>3053</v>
      </c>
      <c r="I373" s="817" t="s">
        <v>3057</v>
      </c>
      <c r="J373" s="3003" t="s">
        <v>73</v>
      </c>
      <c r="K373" s="3003" t="s">
        <v>138</v>
      </c>
      <c r="L373" s="817" t="s">
        <v>3590</v>
      </c>
      <c r="M373" s="1465">
        <v>45994</v>
      </c>
      <c r="N373" s="1466">
        <v>111196</v>
      </c>
      <c r="O373" s="817" t="s">
        <v>62</v>
      </c>
      <c r="P373" s="817" t="s">
        <v>7</v>
      </c>
      <c r="Q373" s="1838">
        <v>1</v>
      </c>
      <c r="R373" s="1466"/>
      <c r="S373" s="1465"/>
      <c r="T373" s="817"/>
      <c r="U373" s="817"/>
      <c r="V373" s="1839">
        <v>111196</v>
      </c>
      <c r="W373" s="817" t="s">
        <v>3269</v>
      </c>
      <c r="X373" s="817"/>
      <c r="Y373" s="1466"/>
      <c r="Z373" s="1831"/>
      <c r="AA373" s="4"/>
      <c r="AB373" s="234"/>
      <c r="AC373" s="234"/>
    </row>
    <row r="374" spans="1:29" s="171" customFormat="1" ht="15.6">
      <c r="A374" s="817"/>
      <c r="B374" s="817"/>
      <c r="C374" s="817" t="s">
        <v>3051</v>
      </c>
      <c r="D374" s="817" t="s">
        <v>2252</v>
      </c>
      <c r="E374" s="817" t="s">
        <v>873</v>
      </c>
      <c r="F374" s="817" t="s">
        <v>3052</v>
      </c>
      <c r="G374" s="1466">
        <v>9663804313</v>
      </c>
      <c r="H374" s="1841" t="s">
        <v>3053</v>
      </c>
      <c r="I374" s="817" t="s">
        <v>3058</v>
      </c>
      <c r="J374" s="3003" t="s">
        <v>73</v>
      </c>
      <c r="K374" s="3003" t="s">
        <v>138</v>
      </c>
      <c r="L374" s="817" t="s">
        <v>3590</v>
      </c>
      <c r="M374" s="1465">
        <v>45994</v>
      </c>
      <c r="N374" s="1466">
        <v>111196</v>
      </c>
      <c r="O374" s="817" t="s">
        <v>62</v>
      </c>
      <c r="P374" s="817" t="s">
        <v>7</v>
      </c>
      <c r="Q374" s="1838">
        <v>1</v>
      </c>
      <c r="R374" s="1466"/>
      <c r="S374" s="1465"/>
      <c r="T374" s="817"/>
      <c r="U374" s="817"/>
      <c r="V374" s="1839">
        <v>111196</v>
      </c>
      <c r="W374" s="817" t="s">
        <v>3269</v>
      </c>
      <c r="X374" s="817"/>
      <c r="Y374" s="1466"/>
      <c r="Z374" s="1831"/>
      <c r="AA374" s="4"/>
      <c r="AB374" s="234"/>
      <c r="AC374" s="234"/>
    </row>
    <row r="375" spans="1:29" s="171" customFormat="1" ht="15.6">
      <c r="A375" s="817"/>
      <c r="B375" s="817"/>
      <c r="C375" s="817" t="s">
        <v>3051</v>
      </c>
      <c r="D375" s="817" t="s">
        <v>2252</v>
      </c>
      <c r="E375" s="817" t="s">
        <v>873</v>
      </c>
      <c r="F375" s="817" t="s">
        <v>3052</v>
      </c>
      <c r="G375" s="1466">
        <v>9663804313</v>
      </c>
      <c r="H375" s="1841" t="s">
        <v>3053</v>
      </c>
      <c r="I375" s="817" t="s">
        <v>3059</v>
      </c>
      <c r="J375" s="3003" t="s">
        <v>73</v>
      </c>
      <c r="K375" s="3003" t="s">
        <v>138</v>
      </c>
      <c r="L375" s="817" t="s">
        <v>3590</v>
      </c>
      <c r="M375" s="1465">
        <v>45994</v>
      </c>
      <c r="N375" s="1466">
        <v>111196</v>
      </c>
      <c r="O375" s="817" t="s">
        <v>62</v>
      </c>
      <c r="P375" s="817" t="s">
        <v>7</v>
      </c>
      <c r="Q375" s="1838">
        <v>1</v>
      </c>
      <c r="R375" s="1466"/>
      <c r="S375" s="1465"/>
      <c r="T375" s="817"/>
      <c r="U375" s="817"/>
      <c r="V375" s="1839">
        <v>111196</v>
      </c>
      <c r="W375" s="817" t="s">
        <v>3269</v>
      </c>
      <c r="X375" s="817"/>
      <c r="Y375" s="1466"/>
      <c r="Z375" s="1831"/>
      <c r="AA375" s="4"/>
      <c r="AB375" s="234"/>
      <c r="AC375" s="234"/>
    </row>
    <row r="376" spans="1:29" s="171" customFormat="1" ht="15.6">
      <c r="A376" s="817">
        <v>146</v>
      </c>
      <c r="B376" s="1465">
        <v>45995</v>
      </c>
      <c r="C376" s="817" t="s">
        <v>993</v>
      </c>
      <c r="D376" s="817" t="s">
        <v>2902</v>
      </c>
      <c r="E376" s="817" t="s">
        <v>873</v>
      </c>
      <c r="F376" s="3000" t="s">
        <v>3026</v>
      </c>
      <c r="G376" s="3000">
        <v>8888826015</v>
      </c>
      <c r="H376" s="3002" t="s">
        <v>3027</v>
      </c>
      <c r="I376" s="817" t="s">
        <v>3028</v>
      </c>
      <c r="J376" s="3003" t="s">
        <v>73</v>
      </c>
      <c r="K376" s="3003" t="s">
        <v>138</v>
      </c>
      <c r="L376" s="817" t="s">
        <v>3591</v>
      </c>
      <c r="M376" s="1465">
        <v>45994</v>
      </c>
      <c r="N376" s="1466">
        <v>145447</v>
      </c>
      <c r="O376" s="817" t="s">
        <v>62</v>
      </c>
      <c r="P376" s="817" t="s">
        <v>7</v>
      </c>
      <c r="Q376" s="1838">
        <v>1</v>
      </c>
      <c r="R376" s="1466"/>
      <c r="S376" s="1465"/>
      <c r="T376" s="817"/>
      <c r="U376" s="817"/>
      <c r="V376" s="1839">
        <v>145447</v>
      </c>
      <c r="W376" s="817" t="s">
        <v>3269</v>
      </c>
      <c r="X376" s="817"/>
      <c r="Y376" s="1466"/>
      <c r="Z376" s="1831"/>
      <c r="AA376" s="4"/>
      <c r="AB376" s="234"/>
      <c r="AC376" s="234"/>
    </row>
    <row r="377" spans="1:29" s="171" customFormat="1" ht="15.6">
      <c r="A377" s="817"/>
      <c r="B377" s="817"/>
      <c r="C377" s="817" t="s">
        <v>993</v>
      </c>
      <c r="D377" s="817" t="s">
        <v>2902</v>
      </c>
      <c r="E377" s="817" t="s">
        <v>873</v>
      </c>
      <c r="F377" s="3000" t="s">
        <v>3026</v>
      </c>
      <c r="G377" s="3000">
        <v>8888826015</v>
      </c>
      <c r="H377" s="3002" t="s">
        <v>3027</v>
      </c>
      <c r="I377" s="817" t="s">
        <v>3030</v>
      </c>
      <c r="J377" s="3003" t="s">
        <v>73</v>
      </c>
      <c r="K377" s="3003" t="s">
        <v>138</v>
      </c>
      <c r="L377" s="817" t="s">
        <v>3591</v>
      </c>
      <c r="M377" s="1465">
        <v>45994</v>
      </c>
      <c r="N377" s="1466">
        <v>145447</v>
      </c>
      <c r="O377" s="817" t="s">
        <v>62</v>
      </c>
      <c r="P377" s="817" t="s">
        <v>7</v>
      </c>
      <c r="Q377" s="1838">
        <v>1</v>
      </c>
      <c r="R377" s="1466"/>
      <c r="S377" s="1465"/>
      <c r="T377" s="817"/>
      <c r="U377" s="817"/>
      <c r="V377" s="1839">
        <v>145447</v>
      </c>
      <c r="W377" s="817" t="s">
        <v>3269</v>
      </c>
      <c r="X377" s="817"/>
      <c r="Y377" s="1466"/>
      <c r="Z377" s="1831"/>
      <c r="AA377" s="4"/>
      <c r="AB377" s="234"/>
      <c r="AC377" s="234"/>
    </row>
    <row r="378" spans="1:29" s="171" customFormat="1" ht="15.6">
      <c r="A378" s="817"/>
      <c r="B378" s="817"/>
      <c r="C378" s="817" t="s">
        <v>993</v>
      </c>
      <c r="D378" s="817" t="s">
        <v>2902</v>
      </c>
      <c r="E378" s="817" t="s">
        <v>873</v>
      </c>
      <c r="F378" s="3000" t="s">
        <v>3026</v>
      </c>
      <c r="G378" s="3000">
        <v>8888826015</v>
      </c>
      <c r="H378" s="3002" t="s">
        <v>3027</v>
      </c>
      <c r="I378" s="817" t="s">
        <v>3031</v>
      </c>
      <c r="J378" s="3003" t="s">
        <v>73</v>
      </c>
      <c r="K378" s="3003" t="s">
        <v>138</v>
      </c>
      <c r="L378" s="817" t="s">
        <v>3591</v>
      </c>
      <c r="M378" s="1465">
        <v>45994</v>
      </c>
      <c r="N378" s="1466">
        <v>145447</v>
      </c>
      <c r="O378" s="817" t="s">
        <v>62</v>
      </c>
      <c r="P378" s="817" t="s">
        <v>7</v>
      </c>
      <c r="Q378" s="1838">
        <v>1</v>
      </c>
      <c r="R378" s="1466"/>
      <c r="S378" s="1465"/>
      <c r="T378" s="817"/>
      <c r="U378" s="817"/>
      <c r="V378" s="1839">
        <v>145447</v>
      </c>
      <c r="W378" s="817" t="s">
        <v>3269</v>
      </c>
      <c r="X378" s="817"/>
      <c r="Y378" s="1466"/>
      <c r="Z378" s="1831"/>
      <c r="AA378" s="4"/>
      <c r="AB378" s="234"/>
      <c r="AC378" s="234"/>
    </row>
    <row r="379" spans="1:29" s="171" customFormat="1" ht="15.6">
      <c r="A379" s="817"/>
      <c r="B379" s="817"/>
      <c r="C379" s="817" t="s">
        <v>993</v>
      </c>
      <c r="D379" s="817" t="s">
        <v>2902</v>
      </c>
      <c r="E379" s="817" t="s">
        <v>873</v>
      </c>
      <c r="F379" s="3000" t="s">
        <v>3026</v>
      </c>
      <c r="G379" s="3000">
        <v>8888826015</v>
      </c>
      <c r="H379" s="3002" t="s">
        <v>3027</v>
      </c>
      <c r="I379" s="817" t="s">
        <v>871</v>
      </c>
      <c r="J379" s="3003" t="s">
        <v>73</v>
      </c>
      <c r="K379" s="3003" t="s">
        <v>138</v>
      </c>
      <c r="L379" s="817" t="s">
        <v>3591</v>
      </c>
      <c r="M379" s="1465">
        <v>45994</v>
      </c>
      <c r="N379" s="1466">
        <v>145447</v>
      </c>
      <c r="O379" s="817" t="s">
        <v>62</v>
      </c>
      <c r="P379" s="817" t="s">
        <v>7</v>
      </c>
      <c r="Q379" s="1838">
        <v>1</v>
      </c>
      <c r="R379" s="1466"/>
      <c r="S379" s="1465"/>
      <c r="T379" s="817"/>
      <c r="U379" s="817"/>
      <c r="V379" s="1839">
        <v>145447</v>
      </c>
      <c r="W379" s="817" t="s">
        <v>3269</v>
      </c>
      <c r="X379" s="817"/>
      <c r="Y379" s="1466"/>
      <c r="Z379" s="1831"/>
      <c r="AA379" s="4"/>
      <c r="AB379" s="234"/>
      <c r="AC379" s="234"/>
    </row>
    <row r="380" spans="1:29" s="171" customFormat="1" ht="15.6">
      <c r="A380" s="817"/>
      <c r="B380" s="817"/>
      <c r="C380" s="817" t="s">
        <v>993</v>
      </c>
      <c r="D380" s="817" t="s">
        <v>2902</v>
      </c>
      <c r="E380" s="817" t="s">
        <v>873</v>
      </c>
      <c r="F380" s="3000" t="s">
        <v>3026</v>
      </c>
      <c r="G380" s="3000">
        <v>8888826015</v>
      </c>
      <c r="H380" s="3002" t="s">
        <v>3027</v>
      </c>
      <c r="I380" s="817" t="s">
        <v>3032</v>
      </c>
      <c r="J380" s="3003" t="s">
        <v>73</v>
      </c>
      <c r="K380" s="3003" t="s">
        <v>138</v>
      </c>
      <c r="L380" s="817" t="s">
        <v>3591</v>
      </c>
      <c r="M380" s="1465">
        <v>45994</v>
      </c>
      <c r="N380" s="1466">
        <v>145447</v>
      </c>
      <c r="O380" s="817" t="s">
        <v>62</v>
      </c>
      <c r="P380" s="817" t="s">
        <v>7</v>
      </c>
      <c r="Q380" s="1838">
        <v>1</v>
      </c>
      <c r="R380" s="1466"/>
      <c r="S380" s="1465"/>
      <c r="T380" s="817"/>
      <c r="U380" s="817"/>
      <c r="V380" s="1839">
        <v>145447</v>
      </c>
      <c r="W380" s="817" t="s">
        <v>3269</v>
      </c>
      <c r="X380" s="817"/>
      <c r="Y380" s="1466"/>
      <c r="Z380" s="1831"/>
      <c r="AA380" s="4"/>
      <c r="AB380" s="234"/>
      <c r="AC380" s="234"/>
    </row>
    <row r="381" spans="1:29" s="171" customFormat="1" ht="15.6">
      <c r="A381" s="817">
        <v>147</v>
      </c>
      <c r="B381" s="1465">
        <v>45995</v>
      </c>
      <c r="C381" s="817" t="s">
        <v>1157</v>
      </c>
      <c r="D381" s="817" t="s">
        <v>2945</v>
      </c>
      <c r="E381" s="817" t="s">
        <v>1730</v>
      </c>
      <c r="F381" s="817" t="s">
        <v>3592</v>
      </c>
      <c r="G381" s="1466">
        <v>7729054069</v>
      </c>
      <c r="H381" s="3007" t="s">
        <v>3593</v>
      </c>
      <c r="I381" s="817" t="s">
        <v>2949</v>
      </c>
      <c r="J381" s="3003" t="s">
        <v>73</v>
      </c>
      <c r="K381" s="3003" t="s">
        <v>138</v>
      </c>
      <c r="L381" s="817" t="s">
        <v>3594</v>
      </c>
      <c r="M381" s="1465">
        <v>45994</v>
      </c>
      <c r="N381" s="1466">
        <v>130168</v>
      </c>
      <c r="O381" s="817" t="s">
        <v>62</v>
      </c>
      <c r="P381" s="817" t="s">
        <v>7</v>
      </c>
      <c r="Q381" s="1838">
        <v>1</v>
      </c>
      <c r="R381" s="1466"/>
      <c r="S381" s="1465"/>
      <c r="T381" s="817"/>
      <c r="U381" s="817"/>
      <c r="V381" s="1839">
        <v>130169</v>
      </c>
      <c r="W381" s="817" t="s">
        <v>3269</v>
      </c>
      <c r="X381" s="817"/>
      <c r="Y381" s="1466"/>
      <c r="Z381" s="1831"/>
      <c r="AA381" s="4"/>
      <c r="AB381" s="234"/>
      <c r="AC381" s="234"/>
    </row>
    <row r="382" spans="1:29" s="171" customFormat="1" ht="15.6">
      <c r="A382" s="817">
        <v>148</v>
      </c>
      <c r="B382" s="1465">
        <v>45995</v>
      </c>
      <c r="C382" s="817" t="s">
        <v>993</v>
      </c>
      <c r="D382" s="817" t="s">
        <v>2902</v>
      </c>
      <c r="E382" s="817" t="s">
        <v>873</v>
      </c>
      <c r="F382" s="3000" t="s">
        <v>3026</v>
      </c>
      <c r="G382" s="3000">
        <v>8888826015</v>
      </c>
      <c r="H382" s="3002" t="s">
        <v>3027</v>
      </c>
      <c r="I382" s="817" t="s">
        <v>3030</v>
      </c>
      <c r="J382" s="3003" t="s">
        <v>81</v>
      </c>
      <c r="K382" s="3003" t="s">
        <v>157</v>
      </c>
      <c r="L382" s="817" t="s">
        <v>3595</v>
      </c>
      <c r="M382" s="1465">
        <v>45995</v>
      </c>
      <c r="N382" s="1466">
        <v>247586</v>
      </c>
      <c r="O382" s="817" t="s">
        <v>62</v>
      </c>
      <c r="P382" s="817" t="s">
        <v>7</v>
      </c>
      <c r="Q382" s="1838">
        <v>0.9</v>
      </c>
      <c r="R382" s="1466"/>
      <c r="S382" s="1465"/>
      <c r="T382" s="817"/>
      <c r="U382" s="817"/>
      <c r="V382" s="1839">
        <v>247586</v>
      </c>
      <c r="W382" s="817" t="s">
        <v>3269</v>
      </c>
      <c r="X382" s="817"/>
      <c r="Y382" s="1466"/>
      <c r="Z382" s="1831"/>
      <c r="AA382" s="4"/>
      <c r="AB382" s="234"/>
      <c r="AC382" s="234"/>
    </row>
    <row r="383" spans="1:29" s="171" customFormat="1" ht="15.6">
      <c r="A383" s="817">
        <v>149</v>
      </c>
      <c r="B383" s="1465">
        <v>45995</v>
      </c>
      <c r="C383" s="817" t="s">
        <v>2998</v>
      </c>
      <c r="D383" s="817" t="s">
        <v>2999</v>
      </c>
      <c r="E383" s="817" t="s">
        <v>873</v>
      </c>
      <c r="F383" s="817" t="s">
        <v>3585</v>
      </c>
      <c r="G383" s="1466">
        <v>9108014538</v>
      </c>
      <c r="H383" s="1841" t="s">
        <v>3001</v>
      </c>
      <c r="I383" s="817" t="s">
        <v>3002</v>
      </c>
      <c r="J383" s="3003" t="s">
        <v>83</v>
      </c>
      <c r="K383" s="3003" t="s">
        <v>157</v>
      </c>
      <c r="L383" s="817" t="s">
        <v>3596</v>
      </c>
      <c r="M383" s="1465">
        <v>45995</v>
      </c>
      <c r="N383" s="1466">
        <v>1071352</v>
      </c>
      <c r="O383" s="817" t="s">
        <v>62</v>
      </c>
      <c r="P383" s="817" t="s">
        <v>25</v>
      </c>
      <c r="Q383" s="1838">
        <v>0.6</v>
      </c>
      <c r="R383" s="1466"/>
      <c r="S383" s="1465"/>
      <c r="T383" s="817"/>
      <c r="U383" s="817"/>
      <c r="V383" s="1839">
        <v>1071352</v>
      </c>
      <c r="W383" s="817" t="s">
        <v>3269</v>
      </c>
      <c r="X383" s="817"/>
      <c r="Y383" s="1466"/>
      <c r="Z383" s="1831"/>
      <c r="AA383" s="4"/>
      <c r="AB383" s="234"/>
      <c r="AC383" s="234"/>
    </row>
    <row r="384" spans="1:29" s="171" customFormat="1" ht="15.6">
      <c r="A384" s="817"/>
      <c r="B384" s="817"/>
      <c r="C384" s="817"/>
      <c r="D384" s="817"/>
      <c r="E384" s="817"/>
      <c r="F384" s="817"/>
      <c r="G384" s="817"/>
      <c r="H384" s="817"/>
      <c r="I384" s="817"/>
      <c r="J384" s="1832"/>
      <c r="K384" s="1832"/>
      <c r="L384" s="817"/>
      <c r="M384" s="817"/>
      <c r="N384" s="1466"/>
      <c r="O384" s="817" t="s">
        <v>7</v>
      </c>
      <c r="P384" s="817"/>
      <c r="Q384" s="1838"/>
      <c r="R384" s="1466"/>
      <c r="S384" s="1465"/>
      <c r="T384" s="817"/>
      <c r="U384" s="817"/>
      <c r="V384" s="1839">
        <f>Table62689345679[[#This Row],[PO Value]]-Table62689345679[[#This Row],[Offer Value]]</f>
        <v>0</v>
      </c>
      <c r="W384" s="817"/>
      <c r="X384" s="817"/>
      <c r="Y384" s="1466"/>
      <c r="Z384" s="1831"/>
      <c r="AA384" s="4"/>
      <c r="AB384" s="234"/>
      <c r="AC384" s="234"/>
    </row>
    <row r="385" spans="1:29" s="171" customFormat="1" ht="15.6">
      <c r="A385" s="817"/>
      <c r="B385" s="817"/>
      <c r="C385" s="817"/>
      <c r="D385" s="817"/>
      <c r="E385" s="817"/>
      <c r="F385" s="817"/>
      <c r="G385" s="817"/>
      <c r="H385" s="817"/>
      <c r="I385" s="817"/>
      <c r="J385" s="1832"/>
      <c r="K385" s="1832"/>
      <c r="L385" s="817"/>
      <c r="M385" s="817"/>
      <c r="N385" s="1466"/>
      <c r="O385" s="817" t="s">
        <v>18</v>
      </c>
      <c r="P385" s="817"/>
      <c r="Q385" s="1838"/>
      <c r="R385" s="1466"/>
      <c r="S385" s="1465"/>
      <c r="T385" s="817"/>
      <c r="U385" s="817"/>
      <c r="V385" s="1839">
        <f>Table62689345679[[#This Row],[PO Value]]-Table62689345679[[#This Row],[Offer Value]]</f>
        <v>0</v>
      </c>
      <c r="W385" s="817"/>
      <c r="X385" s="817"/>
      <c r="Y385" s="1466"/>
      <c r="Z385" s="1831"/>
      <c r="AA385" s="4"/>
      <c r="AB385" s="234"/>
      <c r="AC385" s="234"/>
    </row>
    <row r="386" spans="1:29" s="171" customFormat="1" ht="15.6">
      <c r="A386" s="817"/>
      <c r="B386" s="817"/>
      <c r="C386" s="817"/>
      <c r="D386" s="817"/>
      <c r="E386" s="817"/>
      <c r="F386" s="817"/>
      <c r="G386" s="817"/>
      <c r="H386" s="817"/>
      <c r="I386" s="817"/>
      <c r="J386" s="1832"/>
      <c r="K386" s="1832"/>
      <c r="L386" s="817"/>
      <c r="M386" s="817"/>
      <c r="N386" s="1466"/>
      <c r="O386" s="817" t="s">
        <v>25</v>
      </c>
      <c r="P386" s="817"/>
      <c r="Q386" s="1838"/>
      <c r="R386" s="1466"/>
      <c r="S386" s="1465"/>
      <c r="T386" s="817"/>
      <c r="U386" s="817"/>
      <c r="V386" s="1839">
        <f>Table62689345679[[#This Row],[PO Value]]-Table62689345679[[#This Row],[Offer Value]]</f>
        <v>0</v>
      </c>
      <c r="W386" s="817"/>
      <c r="X386" s="817"/>
      <c r="Y386" s="1466"/>
      <c r="Z386" s="1831"/>
      <c r="AA386" s="4"/>
      <c r="AB386" s="234"/>
      <c r="AC386" s="234"/>
    </row>
    <row r="387" spans="1:29" s="171" customFormat="1" ht="15.6">
      <c r="A387" s="817"/>
      <c r="B387" s="817"/>
      <c r="C387" s="817"/>
      <c r="D387" s="817"/>
      <c r="E387" s="817"/>
      <c r="F387" s="817"/>
      <c r="G387" s="817"/>
      <c r="H387" s="817"/>
      <c r="I387" s="817"/>
      <c r="J387" s="1832"/>
      <c r="K387" s="1832"/>
      <c r="L387" s="817"/>
      <c r="M387" s="817"/>
      <c r="N387" s="1466"/>
      <c r="O387" s="817" t="s">
        <v>28</v>
      </c>
      <c r="P387" s="817"/>
      <c r="Q387" s="1838"/>
      <c r="R387" s="1466"/>
      <c r="S387" s="1465"/>
      <c r="T387" s="817"/>
      <c r="U387" s="817"/>
      <c r="V387" s="1839">
        <f>Table62689345679[[#This Row],[PO Value]]-Table62689345679[[#This Row],[Offer Value]]</f>
        <v>0</v>
      </c>
      <c r="W387" s="817"/>
      <c r="X387" s="817"/>
      <c r="Y387" s="1466"/>
      <c r="Z387" s="1831"/>
      <c r="AA387" s="4"/>
      <c r="AB387" s="234"/>
      <c r="AC387" s="234"/>
    </row>
    <row r="388" spans="1:29" s="171" customFormat="1" ht="15.6">
      <c r="A388" s="817"/>
      <c r="B388" s="817"/>
      <c r="C388" s="817"/>
      <c r="D388" s="817"/>
      <c r="E388" s="817"/>
      <c r="F388" s="817"/>
      <c r="G388" s="817"/>
      <c r="H388" s="817"/>
      <c r="I388" s="817"/>
      <c r="J388" s="1832"/>
      <c r="K388" s="1832"/>
      <c r="L388" s="817"/>
      <c r="M388" s="817"/>
      <c r="N388" s="1466"/>
      <c r="O388" s="817"/>
      <c r="P388" s="817"/>
      <c r="Q388" s="1838"/>
      <c r="R388" s="1466"/>
      <c r="S388" s="1465"/>
      <c r="T388" s="817"/>
      <c r="U388" s="817"/>
      <c r="V388" s="1839">
        <f>Table62689345679[[#This Row],[PO Value]]-Table62689345679[[#This Row],[Offer Value]]</f>
        <v>0</v>
      </c>
      <c r="W388" s="817"/>
      <c r="X388" s="817"/>
      <c r="Y388" s="1466"/>
      <c r="Z388" s="1831"/>
      <c r="AA388" s="4"/>
      <c r="AB388" s="234"/>
      <c r="AC388" s="234"/>
    </row>
    <row r="389" spans="1:29" s="171" customFormat="1" ht="15.6">
      <c r="A389" s="817"/>
      <c r="B389" s="817"/>
      <c r="C389" s="817"/>
      <c r="D389" s="817"/>
      <c r="E389" s="817"/>
      <c r="F389" s="817"/>
      <c r="G389" s="817"/>
      <c r="H389" s="817"/>
      <c r="I389" s="817"/>
      <c r="J389" s="1832"/>
      <c r="K389" s="1832"/>
      <c r="L389" s="817"/>
      <c r="M389" s="817"/>
      <c r="N389" s="1466"/>
      <c r="O389" s="817"/>
      <c r="P389" s="817"/>
      <c r="Q389" s="1838"/>
      <c r="R389" s="1466"/>
      <c r="S389" s="1465"/>
      <c r="T389" s="817"/>
      <c r="U389" s="817"/>
      <c r="V389" s="1839">
        <f>Table62689345679[[#This Row],[PO Value]]-Table62689345679[[#This Row],[Offer Value]]</f>
        <v>0</v>
      </c>
      <c r="W389" s="817"/>
      <c r="X389" s="817"/>
      <c r="Y389" s="1466"/>
      <c r="Z389" s="1831"/>
      <c r="AA389" s="4"/>
      <c r="AB389" s="234"/>
      <c r="AC389" s="234"/>
    </row>
    <row r="390" spans="1:29" s="171" customFormat="1" ht="15.6">
      <c r="A390" s="817"/>
      <c r="B390" s="817"/>
      <c r="C390" s="817"/>
      <c r="D390" s="817"/>
      <c r="E390" s="817"/>
      <c r="F390" s="817"/>
      <c r="G390" s="817"/>
      <c r="H390" s="817"/>
      <c r="I390" s="817"/>
      <c r="J390" s="1832"/>
      <c r="K390" s="1832"/>
      <c r="L390" s="817"/>
      <c r="M390" s="817"/>
      <c r="N390" s="1466"/>
      <c r="O390" s="817"/>
      <c r="P390" s="817"/>
      <c r="Q390" s="1838"/>
      <c r="R390" s="1466"/>
      <c r="S390" s="1465"/>
      <c r="T390" s="817"/>
      <c r="U390" s="817"/>
      <c r="V390" s="1839">
        <f>Table62689345679[[#This Row],[PO Value]]-Table62689345679[[#This Row],[Offer Value]]</f>
        <v>0</v>
      </c>
      <c r="W390" s="817"/>
      <c r="X390" s="817"/>
      <c r="Y390" s="1466"/>
      <c r="Z390" s="1831"/>
      <c r="AA390" s="4"/>
      <c r="AB390" s="234"/>
      <c r="AC390" s="234"/>
    </row>
    <row r="391" spans="1:29" s="171" customFormat="1" ht="15.6">
      <c r="A391" s="817"/>
      <c r="B391" s="817"/>
      <c r="C391" s="817"/>
      <c r="D391" s="817"/>
      <c r="E391" s="817"/>
      <c r="F391" s="817"/>
      <c r="G391" s="817"/>
      <c r="H391" s="817"/>
      <c r="I391" s="817"/>
      <c r="J391" s="1832"/>
      <c r="K391" s="1832"/>
      <c r="L391" s="817"/>
      <c r="M391" s="817"/>
      <c r="N391" s="1466"/>
      <c r="O391" s="817"/>
      <c r="P391" s="817"/>
      <c r="Q391" s="1838"/>
      <c r="R391" s="1466"/>
      <c r="S391" s="1465"/>
      <c r="T391" s="817"/>
      <c r="U391" s="817"/>
      <c r="V391" s="1839">
        <f>Table62689345679[[#This Row],[PO Value]]-Table62689345679[[#This Row],[Offer Value]]</f>
        <v>0</v>
      </c>
      <c r="W391" s="817"/>
      <c r="X391" s="817"/>
      <c r="Y391" s="1466"/>
      <c r="Z391" s="1831"/>
      <c r="AA391" s="4"/>
      <c r="AB391" s="234"/>
      <c r="AC391" s="234"/>
    </row>
    <row r="392" spans="1:29" s="171" customFormat="1" ht="15.6">
      <c r="A392" s="817"/>
      <c r="B392" s="817"/>
      <c r="C392" s="817"/>
      <c r="D392" s="817"/>
      <c r="E392" s="817"/>
      <c r="F392" s="817"/>
      <c r="G392" s="817"/>
      <c r="H392" s="817"/>
      <c r="I392" s="817"/>
      <c r="J392" s="1832"/>
      <c r="K392" s="1832"/>
      <c r="L392" s="817"/>
      <c r="M392" s="817"/>
      <c r="N392" s="1466"/>
      <c r="O392" s="817"/>
      <c r="P392" s="817"/>
      <c r="Q392" s="1838"/>
      <c r="R392" s="1466"/>
      <c r="S392" s="1465"/>
      <c r="T392" s="817"/>
      <c r="U392" s="817"/>
      <c r="V392" s="1839">
        <f>Table62689345679[[#This Row],[PO Value]]-Table62689345679[[#This Row],[Offer Value]]</f>
        <v>0</v>
      </c>
      <c r="W392" s="817"/>
      <c r="X392" s="817"/>
      <c r="Y392" s="1466"/>
      <c r="Z392" s="1831"/>
      <c r="AA392" s="4"/>
      <c r="AB392" s="234"/>
      <c r="AC392" s="234"/>
    </row>
    <row r="393" spans="1:29" s="171" customFormat="1" ht="15.6">
      <c r="A393" s="817"/>
      <c r="B393" s="817"/>
      <c r="C393" s="817"/>
      <c r="D393" s="817"/>
      <c r="E393" s="817"/>
      <c r="F393" s="817"/>
      <c r="G393" s="817"/>
      <c r="H393" s="817"/>
      <c r="I393" s="817"/>
      <c r="J393" s="1832"/>
      <c r="K393" s="1832"/>
      <c r="L393" s="817"/>
      <c r="M393" s="817"/>
      <c r="N393" s="1466"/>
      <c r="O393" s="817"/>
      <c r="P393" s="817"/>
      <c r="Q393" s="1838"/>
      <c r="R393" s="1466"/>
      <c r="S393" s="1465"/>
      <c r="T393" s="817"/>
      <c r="U393" s="817"/>
      <c r="V393" s="1839">
        <f>Table62689345679[[#This Row],[PO Value]]-Table62689345679[[#This Row],[Offer Value]]</f>
        <v>0</v>
      </c>
      <c r="W393" s="817"/>
      <c r="X393" s="817"/>
      <c r="Y393" s="1466"/>
      <c r="Z393" s="1831"/>
      <c r="AA393" s="4"/>
      <c r="AB393" s="234"/>
      <c r="AC393" s="234"/>
    </row>
    <row r="394" spans="1:29" s="171" customFormat="1" ht="15.6">
      <c r="A394" s="817"/>
      <c r="B394" s="817"/>
      <c r="C394" s="817"/>
      <c r="D394" s="817"/>
      <c r="E394" s="817"/>
      <c r="F394" s="817"/>
      <c r="G394" s="817"/>
      <c r="H394" s="817"/>
      <c r="I394" s="817"/>
      <c r="J394" s="1832"/>
      <c r="K394" s="1832"/>
      <c r="L394" s="817"/>
      <c r="M394" s="817"/>
      <c r="N394" s="1466"/>
      <c r="O394" s="817"/>
      <c r="P394" s="817"/>
      <c r="Q394" s="1838"/>
      <c r="R394" s="1466"/>
      <c r="S394" s="1465"/>
      <c r="T394" s="817"/>
      <c r="U394" s="817"/>
      <c r="V394" s="1839">
        <f>Table62689345679[[#This Row],[PO Value]]-Table62689345679[[#This Row],[Offer Value]]</f>
        <v>0</v>
      </c>
      <c r="W394" s="817"/>
      <c r="X394" s="817"/>
      <c r="Y394" s="1466"/>
      <c r="Z394" s="1831"/>
      <c r="AA394" s="4"/>
      <c r="AB394" s="234"/>
      <c r="AC394" s="234"/>
    </row>
    <row r="395" spans="1:29" ht="21.75" customHeight="1">
      <c r="A395" s="817"/>
      <c r="B395" s="817"/>
      <c r="C395" s="817"/>
      <c r="D395" s="817"/>
      <c r="E395" s="817"/>
      <c r="F395" s="817"/>
      <c r="G395" s="817"/>
      <c r="H395" s="817"/>
      <c r="I395" s="817"/>
      <c r="J395" s="1832"/>
      <c r="K395" s="1832"/>
      <c r="L395" s="817"/>
      <c r="M395" s="817"/>
      <c r="N395" s="1466"/>
      <c r="O395" s="817"/>
      <c r="P395" s="817"/>
      <c r="Q395" s="1838"/>
      <c r="R395" s="1466"/>
      <c r="S395" s="1465"/>
      <c r="T395" s="817"/>
      <c r="U395" s="817"/>
      <c r="V395" s="1839">
        <f>Table62689345679[[#This Row],[PO Value]]-Table62689345679[[#This Row],[Offer Value]]</f>
        <v>0</v>
      </c>
      <c r="W395" s="817"/>
      <c r="X395" s="817"/>
      <c r="Y395" s="1466"/>
      <c r="Z395" s="1831"/>
      <c r="AA395" s="4"/>
      <c r="AB395" s="4"/>
      <c r="AC395" s="4"/>
    </row>
    <row r="396" spans="1:29" ht="21.7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8"/>
      <c r="K396" s="108"/>
      <c r="L396" s="106"/>
      <c r="M396" s="106"/>
      <c r="N396" s="217"/>
      <c r="O396" s="106"/>
      <c r="P396" s="106"/>
      <c r="Q396" s="840"/>
      <c r="R396" s="217"/>
      <c r="S396" s="107"/>
      <c r="T396" s="106"/>
      <c r="U396" s="106"/>
      <c r="V396" s="3006">
        <f>Table62689345679[[#This Row],[PO Value]]-Table62689345679[[#This Row],[Offer Value]]</f>
        <v>0</v>
      </c>
      <c r="W396" s="106"/>
      <c r="X396" s="106"/>
      <c r="Y396" s="217"/>
      <c r="Z396" s="257"/>
    </row>
    <row r="397" spans="1:29" ht="21.7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8"/>
      <c r="K397" s="108"/>
      <c r="L397" s="106"/>
      <c r="M397" s="106"/>
      <c r="N397" s="217"/>
      <c r="O397" s="106"/>
      <c r="P397" s="106"/>
      <c r="Q397" s="109"/>
      <c r="R397" s="289"/>
      <c r="S397" s="107"/>
      <c r="T397" s="106"/>
      <c r="U397" s="106"/>
      <c r="V397" s="3006">
        <f>Table62689345679[[#This Row],[PO Value]]-Table62689345679[[#This Row],[Offer Value]]</f>
        <v>0</v>
      </c>
      <c r="W397" s="106"/>
      <c r="X397" s="106"/>
      <c r="Y397" s="217"/>
      <c r="Z397" s="257"/>
    </row>
    <row r="398" spans="1:29" ht="21.7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823"/>
      <c r="O398" s="128"/>
      <c r="P398" s="106"/>
      <c r="Q398" s="109"/>
      <c r="R398" s="619"/>
      <c r="S398" s="130"/>
      <c r="T398" s="106"/>
      <c r="U398" s="129"/>
      <c r="V398" s="3006">
        <f>Table62689345679[[#This Row],[PO Value]]-Table62689345679[[#This Row],[Offer Value]]</f>
        <v>0</v>
      </c>
      <c r="W398" s="106"/>
      <c r="X398" s="106"/>
      <c r="Y398" s="620"/>
      <c r="Z398" s="354"/>
    </row>
    <row r="399" spans="1:29" ht="21.75" customHeight="1">
      <c r="A399" s="118"/>
      <c r="B399" s="119"/>
      <c r="C399" s="120"/>
      <c r="D399" s="120"/>
      <c r="E399" s="120"/>
      <c r="F399" s="120"/>
      <c r="G399" s="120"/>
      <c r="H399" s="120"/>
      <c r="I399" s="120"/>
      <c r="J399" s="121"/>
      <c r="K399" s="121"/>
      <c r="L399" s="120"/>
      <c r="M399" s="206"/>
      <c r="N399" s="824"/>
      <c r="O399" s="131"/>
      <c r="P399" s="123"/>
      <c r="Q399" s="124"/>
      <c r="R399" s="122"/>
      <c r="S399" s="125"/>
      <c r="T399" s="123"/>
      <c r="U399" s="131"/>
      <c r="V399" s="3006">
        <f>Table62689345679[[#This Row],[PO Value]]-Table62689345679[[#This Row],[Offer Value]]</f>
        <v>0</v>
      </c>
      <c r="W399" s="123"/>
      <c r="X399" s="123"/>
      <c r="Y399" s="621"/>
      <c r="Z399" s="39"/>
    </row>
    <row r="400" spans="1:29" ht="21.75" customHeight="1">
      <c r="A400" s="118"/>
      <c r="B400" s="119"/>
      <c r="C400" s="120"/>
      <c r="D400" s="120"/>
      <c r="E400" s="120"/>
      <c r="F400" s="120"/>
      <c r="G400" s="120"/>
      <c r="H400" s="120"/>
      <c r="I400" s="120"/>
      <c r="J400" s="121"/>
      <c r="K400" s="121"/>
      <c r="L400" s="120"/>
      <c r="M400" s="206"/>
      <c r="N400" s="824"/>
      <c r="O400" s="131"/>
      <c r="P400" s="123"/>
      <c r="Q400" s="124"/>
      <c r="R400" s="122"/>
      <c r="S400" s="125"/>
      <c r="T400" s="123"/>
      <c r="U400" s="131"/>
      <c r="V400" s="3006">
        <f>Table62689345679[[#This Row],[PO Value]]-Table62689345679[[#This Row],[Offer Value]]</f>
        <v>0</v>
      </c>
      <c r="W400" s="123"/>
      <c r="X400" s="123"/>
      <c r="Y400" s="621"/>
      <c r="Z400" s="39"/>
    </row>
    <row r="401" spans="1:26" ht="21.75" customHeight="1">
      <c r="A401" s="118"/>
      <c r="B401" s="126"/>
      <c r="C401" s="120"/>
      <c r="D401" s="120"/>
      <c r="E401" s="120"/>
      <c r="F401" s="120"/>
      <c r="G401" s="120"/>
      <c r="H401" s="120"/>
      <c r="I401" s="120"/>
      <c r="J401" s="121"/>
      <c r="K401" s="121"/>
      <c r="L401" s="120"/>
      <c r="M401" s="206"/>
      <c r="N401" s="824"/>
      <c r="O401" s="131"/>
      <c r="P401" s="123"/>
      <c r="Q401" s="124"/>
      <c r="R401" s="122"/>
      <c r="S401" s="125"/>
      <c r="T401" s="131"/>
      <c r="U401" s="131"/>
      <c r="V401" s="3006">
        <f>Table62689345679[[#This Row],[PO Value]]-Table62689345679[[#This Row],[Offer Value]]</f>
        <v>0</v>
      </c>
      <c r="W401" s="123"/>
      <c r="X401" s="123"/>
      <c r="Y401" s="621"/>
      <c r="Z401" s="39"/>
    </row>
    <row r="402" spans="1:26" ht="21.75" customHeight="1">
      <c r="A402" s="118"/>
      <c r="B402" s="119"/>
      <c r="C402" s="120"/>
      <c r="D402" s="120"/>
      <c r="E402" s="120"/>
      <c r="F402" s="120"/>
      <c r="G402" s="120"/>
      <c r="H402" s="120"/>
      <c r="I402" s="120"/>
      <c r="J402" s="121"/>
      <c r="K402" s="121"/>
      <c r="L402" s="120"/>
      <c r="M402" s="206"/>
      <c r="N402" s="824"/>
      <c r="O402" s="131"/>
      <c r="P402" s="123"/>
      <c r="Q402" s="124"/>
      <c r="R402" s="122"/>
      <c r="S402" s="125"/>
      <c r="T402" s="123"/>
      <c r="U402" s="131"/>
      <c r="V402" s="3006">
        <f>Table62689345679[[#This Row],[PO Value]]-Table62689345679[[#This Row],[Offer Value]]</f>
        <v>0</v>
      </c>
      <c r="W402" s="123"/>
      <c r="X402" s="123"/>
      <c r="Y402" s="621"/>
      <c r="Z402" s="39"/>
    </row>
    <row r="403" spans="1:26" ht="21.75" customHeight="1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288"/>
      <c r="N403" s="825"/>
      <c r="O403" s="38"/>
      <c r="P403" s="39"/>
      <c r="Q403" s="98"/>
      <c r="R403" s="37"/>
      <c r="S403" s="40"/>
      <c r="T403" s="39"/>
      <c r="U403" s="41"/>
      <c r="V403" s="3006">
        <f>Table62689345679[[#This Row],[PO Value]]-Table62689345679[[#This Row],[Offer Value]]</f>
        <v>0</v>
      </c>
      <c r="W403" s="39"/>
      <c r="X403" s="39"/>
      <c r="Y403" s="622"/>
      <c r="Z403" s="39"/>
    </row>
    <row r="404" spans="1:26" ht="21.75" customHeight="1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288"/>
      <c r="N404" s="825"/>
      <c r="O404" s="38"/>
      <c r="P404" s="39"/>
      <c r="Q404" s="98"/>
      <c r="R404" s="37"/>
      <c r="S404" s="40"/>
      <c r="T404" s="39"/>
      <c r="U404" s="41"/>
      <c r="V404" s="3006">
        <f>Table62689345679[[#This Row],[PO Value]]-Table62689345679[[#This Row],[Offer Value]]</f>
        <v>0</v>
      </c>
      <c r="W404" s="39"/>
      <c r="X404" s="39"/>
      <c r="Y404" s="622"/>
      <c r="Z404" s="39"/>
    </row>
    <row r="405" spans="1:26" ht="21.75" customHeight="1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288"/>
      <c r="N405" s="825"/>
      <c r="O405" s="38"/>
      <c r="P405" s="39"/>
      <c r="Q405" s="98"/>
      <c r="R405" s="37"/>
      <c r="S405" s="40"/>
      <c r="T405" s="39"/>
      <c r="U405" s="41"/>
      <c r="V405" s="3006">
        <f>Table62689345679[[#This Row],[PO Value]]-Table62689345679[[#This Row],[Offer Value]]</f>
        <v>0</v>
      </c>
      <c r="W405" s="39"/>
      <c r="X405" s="39"/>
      <c r="Y405" s="622"/>
      <c r="Z405" s="39"/>
    </row>
    <row r="406" spans="1:26" ht="21.75" customHeight="1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288"/>
      <c r="N406" s="825"/>
      <c r="O406" s="38"/>
      <c r="P406" s="39"/>
      <c r="Q406" s="98"/>
      <c r="R406" s="37"/>
      <c r="S406" s="40"/>
      <c r="T406" s="39"/>
      <c r="U406" s="41"/>
      <c r="V406" s="127">
        <f>Table62689345679[[#This Row],[PO Value]]-Table62689345679[[#This Row],[Offer Value]]</f>
        <v>0</v>
      </c>
      <c r="W406" s="39"/>
      <c r="X406" s="39"/>
      <c r="Y406" s="622"/>
      <c r="Z406" s="39"/>
    </row>
    <row r="407" spans="1:26" ht="21.75" customHeight="1">
      <c r="A407" s="33"/>
      <c r="B407" s="34"/>
      <c r="C407" s="35"/>
      <c r="D407" s="35"/>
      <c r="E407" s="35"/>
      <c r="F407" s="35"/>
      <c r="G407" s="35"/>
      <c r="H407" s="35"/>
      <c r="I407" s="35"/>
      <c r="J407" s="36"/>
      <c r="K407" s="36"/>
      <c r="L407" s="35"/>
      <c r="M407" s="288"/>
      <c r="N407" s="825"/>
      <c r="O407" s="38"/>
      <c r="P407" s="39"/>
      <c r="Q407" s="98"/>
      <c r="R407" s="37"/>
      <c r="S407" s="40"/>
      <c r="T407" s="39"/>
      <c r="U407" s="41"/>
      <c r="V407" s="127">
        <f>Table62689345679[[#This Row],[PO Value]]-Table62689345679[[#This Row],[Offer Value]]</f>
        <v>0</v>
      </c>
      <c r="W407" s="39"/>
      <c r="X407" s="39"/>
      <c r="Y407" s="622"/>
      <c r="Z407" s="39"/>
    </row>
    <row r="408" spans="1:26" ht="21.75" customHeight="1">
      <c r="A408" s="33"/>
      <c r="B408" s="34"/>
      <c r="C408" s="35"/>
      <c r="D408" s="35"/>
      <c r="E408" s="35"/>
      <c r="F408" s="35"/>
      <c r="G408" s="35"/>
      <c r="H408" s="35"/>
      <c r="I408" s="35"/>
      <c r="J408" s="36"/>
      <c r="K408" s="36"/>
      <c r="L408" s="35"/>
      <c r="M408" s="288"/>
      <c r="N408" s="825"/>
      <c r="O408" s="38"/>
      <c r="P408" s="39"/>
      <c r="Q408" s="98"/>
      <c r="R408" s="37"/>
      <c r="S408" s="40"/>
      <c r="T408" s="39"/>
      <c r="U408" s="41"/>
      <c r="V408" s="127">
        <f>Table62689345679[[#This Row],[PO Value]]-Table62689345679[[#This Row],[Offer Value]]</f>
        <v>0</v>
      </c>
      <c r="W408" s="39"/>
      <c r="X408" s="39"/>
      <c r="Y408" s="622"/>
      <c r="Z408" s="39"/>
    </row>
    <row r="409" spans="1:26" ht="21.75" customHeight="1">
      <c r="A409" s="33"/>
      <c r="B409" s="34"/>
      <c r="C409" s="35"/>
      <c r="D409" s="35"/>
      <c r="E409" s="35"/>
      <c r="F409" s="35"/>
      <c r="G409" s="35"/>
      <c r="H409" s="35"/>
      <c r="I409" s="35"/>
      <c r="J409" s="36"/>
      <c r="K409" s="36"/>
      <c r="L409" s="35"/>
      <c r="M409" s="288"/>
      <c r="N409" s="825"/>
      <c r="O409" s="38"/>
      <c r="P409" s="39"/>
      <c r="Q409" s="98"/>
      <c r="R409" s="37"/>
      <c r="S409" s="40"/>
      <c r="T409" s="39"/>
      <c r="U409" s="41"/>
      <c r="V409" s="127">
        <f>Table62689345679[[#This Row],[PO Value]]-Table62689345679[[#This Row],[Offer Value]]</f>
        <v>0</v>
      </c>
      <c r="W409" s="39"/>
      <c r="X409" s="39"/>
      <c r="Y409" s="622"/>
      <c r="Z409" s="39"/>
    </row>
    <row r="410" spans="1:26" ht="21.75" customHeight="1">
      <c r="A410" s="33"/>
      <c r="B410" s="34"/>
      <c r="C410" s="35"/>
      <c r="D410" s="35"/>
      <c r="E410" s="35"/>
      <c r="F410" s="35"/>
      <c r="G410" s="35"/>
      <c r="H410" s="35"/>
      <c r="I410" s="35"/>
      <c r="J410" s="36"/>
      <c r="K410" s="36"/>
      <c r="L410" s="35"/>
      <c r="M410" s="288"/>
      <c r="N410" s="825"/>
      <c r="O410" s="38"/>
      <c r="P410" s="39"/>
      <c r="Q410" s="98"/>
      <c r="R410" s="37"/>
      <c r="S410" s="40"/>
      <c r="T410" s="39"/>
      <c r="U410" s="41"/>
      <c r="V410" s="127">
        <f>Table62689345679[[#This Row],[PO Value]]-Table62689345679[[#This Row],[Offer Value]]</f>
        <v>0</v>
      </c>
      <c r="W410" s="39"/>
      <c r="X410" s="39"/>
      <c r="Y410" s="622"/>
      <c r="Z410" s="39"/>
    </row>
    <row r="411" spans="1:26" ht="21.75" customHeight="1">
      <c r="A411" s="33"/>
      <c r="B411" s="34"/>
      <c r="C411" s="35"/>
      <c r="D411" s="35"/>
      <c r="E411" s="35"/>
      <c r="F411" s="35"/>
      <c r="G411" s="35"/>
      <c r="H411" s="35"/>
      <c r="I411" s="35"/>
      <c r="J411" s="36"/>
      <c r="K411" s="36"/>
      <c r="L411" s="35"/>
      <c r="M411" s="288"/>
      <c r="N411" s="825"/>
      <c r="O411" s="38"/>
      <c r="P411" s="39"/>
      <c r="Q411" s="98"/>
      <c r="R411" s="37"/>
      <c r="S411" s="40"/>
      <c r="T411" s="39"/>
      <c r="U411" s="41"/>
      <c r="V411" s="127">
        <f>Table62689345679[[#This Row],[PO Value]]-Table62689345679[[#This Row],[Offer Value]]</f>
        <v>0</v>
      </c>
      <c r="W411" s="39"/>
      <c r="X411" s="39"/>
      <c r="Y411" s="622"/>
      <c r="Z411" s="39"/>
    </row>
    <row r="412" spans="1:26" ht="21.75" customHeight="1">
      <c r="A412" s="42"/>
      <c r="B412" s="43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277"/>
      <c r="N412" s="825"/>
      <c r="O412" s="38"/>
      <c r="P412" s="7"/>
      <c r="Q412" s="99"/>
      <c r="R412" s="623"/>
      <c r="S412" s="46"/>
      <c r="T412" s="7"/>
      <c r="U412" s="47"/>
      <c r="V412" s="127">
        <f>Table62689345679[[#This Row],[PO Value]]-Table62689345679[[#This Row],[Offer Value]]</f>
        <v>0</v>
      </c>
      <c r="W412" s="7"/>
      <c r="X412" s="7"/>
      <c r="Y412" s="624"/>
      <c r="Z412" s="7"/>
    </row>
    <row r="413" spans="1:26" ht="21.75" customHeight="1">
      <c r="B413" s="25"/>
      <c r="M413" s="2"/>
      <c r="O413" s="5"/>
      <c r="P413"/>
      <c r="Q413" s="100"/>
      <c r="R413" s="1"/>
      <c r="S413" s="8"/>
      <c r="T413"/>
      <c r="U413"/>
      <c r="V413" s="18"/>
      <c r="W413" s="1"/>
      <c r="Y413" s="428"/>
      <c r="Z413"/>
    </row>
    <row r="414" spans="1:26" ht="21.75" customHeight="1">
      <c r="B414" s="25"/>
      <c r="M414" s="2"/>
      <c r="O414" s="5"/>
      <c r="P414"/>
      <c r="Q414" s="100"/>
      <c r="R414" s="1"/>
      <c r="S414" s="8"/>
      <c r="T414"/>
      <c r="U414"/>
      <c r="V414" s="18"/>
      <c r="W414" s="1"/>
      <c r="Y414" s="428"/>
      <c r="Z414"/>
    </row>
    <row r="415" spans="1:26" ht="21.75" customHeight="1">
      <c r="B415" s="25"/>
      <c r="M415" s="2"/>
      <c r="O415" s="5"/>
      <c r="P415"/>
      <c r="Q415" s="100"/>
      <c r="R415" s="1"/>
      <c r="S415" s="8"/>
      <c r="T415"/>
      <c r="U415"/>
      <c r="V415" s="18"/>
      <c r="W415" s="1"/>
      <c r="Y415" s="428"/>
      <c r="Z415"/>
    </row>
    <row r="416" spans="1:26" ht="21.75" customHeight="1">
      <c r="B416" s="25"/>
      <c r="M416" s="2"/>
      <c r="O416" s="5"/>
      <c r="P416"/>
      <c r="Q416" s="100"/>
      <c r="R416" s="1"/>
      <c r="S416" s="8"/>
      <c r="T416"/>
      <c r="U416"/>
      <c r="V416" s="18"/>
      <c r="W416" s="1"/>
      <c r="Y416" s="428"/>
      <c r="Z416"/>
    </row>
    <row r="417" spans="1:27" ht="21.75" customHeight="1">
      <c r="B417" s="25"/>
      <c r="M417" s="2"/>
      <c r="O417" s="5"/>
      <c r="P417"/>
      <c r="Q417" s="100"/>
      <c r="R417" s="1"/>
      <c r="S417" s="8"/>
      <c r="T417"/>
      <c r="U417"/>
      <c r="V417" s="18"/>
      <c r="W417" s="1"/>
      <c r="Y417" s="428"/>
      <c r="Z417"/>
    </row>
    <row r="418" spans="1:27" ht="21.75" customHeight="1">
      <c r="B418" s="25"/>
      <c r="M418" s="2"/>
      <c r="O418" s="5"/>
      <c r="P418"/>
      <c r="Q418" s="100"/>
      <c r="R418" s="1"/>
      <c r="S418" s="8"/>
      <c r="T418"/>
      <c r="U418"/>
      <c r="V418" s="18"/>
      <c r="W418" s="1"/>
      <c r="Y418" s="428"/>
      <c r="Z418"/>
    </row>
    <row r="419" spans="1:27" ht="21.75" customHeight="1">
      <c r="B419" s="25"/>
      <c r="M419" s="2"/>
      <c r="O419" s="5"/>
      <c r="P419"/>
      <c r="Q419" s="100"/>
      <c r="R419" s="1"/>
      <c r="S419" s="8"/>
      <c r="T419"/>
      <c r="U419"/>
      <c r="V419" s="18"/>
      <c r="W419" s="1"/>
      <c r="Y419" s="428"/>
      <c r="Z419"/>
    </row>
    <row r="420" spans="1:27" ht="21.75" customHeight="1">
      <c r="B420" s="25"/>
      <c r="M420" s="2"/>
      <c r="O420" s="5"/>
      <c r="P420"/>
      <c r="Q420" s="100"/>
      <c r="R420" s="1"/>
      <c r="S420" s="8"/>
      <c r="T420"/>
      <c r="U420"/>
      <c r="V420" s="18"/>
      <c r="W420" s="1"/>
      <c r="Y420" s="428"/>
      <c r="Z420"/>
    </row>
    <row r="421" spans="1:27" ht="21.75" customHeight="1">
      <c r="B421" s="25"/>
      <c r="M421" s="2"/>
      <c r="O421" s="5"/>
      <c r="P421"/>
      <c r="Q421" s="100"/>
      <c r="R421" s="1"/>
      <c r="S421" s="8"/>
      <c r="T421"/>
      <c r="U421"/>
      <c r="V421" s="18"/>
      <c r="W421" s="1"/>
      <c r="Y421" s="428"/>
      <c r="Z421"/>
    </row>
    <row r="422" spans="1:27" ht="21.75" customHeight="1">
      <c r="B422" s="25"/>
      <c r="M422" s="2"/>
      <c r="O422" s="5"/>
      <c r="P422"/>
      <c r="Q422" s="100"/>
      <c r="R422" s="1"/>
      <c r="S422" s="8"/>
      <c r="T422"/>
      <c r="U422"/>
      <c r="V422" s="18"/>
      <c r="W422" s="1"/>
      <c r="Y422" s="428"/>
      <c r="Z422"/>
    </row>
    <row r="423" spans="1:27" ht="21.75" customHeight="1">
      <c r="B423" s="25"/>
      <c r="M423" s="2"/>
      <c r="O423" s="5"/>
      <c r="P423"/>
      <c r="Q423" s="100"/>
      <c r="R423" s="1"/>
      <c r="S423" s="8"/>
      <c r="T423"/>
      <c r="U423"/>
      <c r="V423" s="18"/>
      <c r="W423" s="1"/>
      <c r="Y423" s="428"/>
      <c r="Z423"/>
    </row>
    <row r="424" spans="1:27" ht="21.75" customHeight="1">
      <c r="B424" s="25"/>
      <c r="M424" s="2"/>
      <c r="O424" s="5"/>
      <c r="P424"/>
      <c r="Q424" s="100"/>
      <c r="R424" s="1"/>
      <c r="S424" s="8"/>
      <c r="T424"/>
      <c r="U424"/>
      <c r="V424" s="18"/>
      <c r="W424" s="1"/>
      <c r="Y424" s="428"/>
      <c r="Z424"/>
    </row>
    <row r="425" spans="1:27" ht="21.75" customHeight="1">
      <c r="B425" s="25"/>
      <c r="M425" s="2"/>
      <c r="O425" s="5"/>
      <c r="P425"/>
      <c r="Q425" s="100"/>
      <c r="R425" s="1"/>
      <c r="S425" s="8"/>
      <c r="T425"/>
      <c r="U425"/>
      <c r="V425" s="18"/>
      <c r="W425" s="1"/>
      <c r="Y425" s="428"/>
      <c r="Z425"/>
    </row>
    <row r="426" spans="1:27" ht="21.75" customHeight="1">
      <c r="B426" s="25"/>
      <c r="M426" s="2"/>
      <c r="O426" s="5"/>
      <c r="P426"/>
      <c r="Q426" s="100"/>
      <c r="R426" s="1"/>
      <c r="S426" s="8"/>
      <c r="T426"/>
      <c r="U426"/>
      <c r="V426" s="18"/>
      <c r="W426" s="1"/>
      <c r="Y426" s="428"/>
      <c r="Z426"/>
    </row>
    <row r="427" spans="1:27" ht="21.75" customHeight="1">
      <c r="B427" s="25"/>
      <c r="M427" s="2"/>
      <c r="O427" s="5"/>
      <c r="P427"/>
      <c r="Q427" s="100"/>
      <c r="R427" s="1"/>
      <c r="S427" s="8"/>
      <c r="T427"/>
      <c r="U427"/>
      <c r="V427" s="18"/>
      <c r="W427" s="1"/>
      <c r="Y427" s="428"/>
      <c r="Z427"/>
    </row>
    <row r="428" spans="1:27" ht="21.75" customHeight="1">
      <c r="A428" s="473"/>
      <c r="B428" s="479"/>
      <c r="C428" s="474"/>
      <c r="D428" s="474"/>
      <c r="E428" s="474"/>
      <c r="F428" s="474"/>
      <c r="G428" s="474"/>
      <c r="H428" s="474"/>
      <c r="I428" s="474"/>
      <c r="J428" s="475"/>
      <c r="K428" s="475"/>
      <c r="L428" s="474"/>
      <c r="M428" s="679"/>
      <c r="N428" s="826"/>
      <c r="O428" s="477"/>
      <c r="P428" s="477"/>
      <c r="Q428" s="249"/>
      <c r="R428" s="476"/>
      <c r="S428" s="476"/>
      <c r="T428" s="476"/>
      <c r="U428" s="477"/>
      <c r="V428" s="284">
        <f>Table62689345679101134[[#This Row],[PO Value]]-Table62689345679101134[[#This Row],[Offer Value]]</f>
        <v>0</v>
      </c>
      <c r="W428" s="474"/>
      <c r="X428" s="478"/>
      <c r="Y428" s="647"/>
      <c r="Z428" s="44"/>
      <c r="AA428" s="7"/>
    </row>
    <row r="429" spans="1:27" ht="21.75" customHeight="1">
      <c r="A429" s="473"/>
      <c r="B429" s="479"/>
      <c r="C429" s="474"/>
      <c r="D429" s="474"/>
      <c r="E429" s="474"/>
      <c r="F429" s="474"/>
      <c r="G429" s="474"/>
      <c r="H429" s="474"/>
      <c r="I429" s="474"/>
      <c r="J429" s="475"/>
      <c r="K429" s="475"/>
      <c r="L429" s="474"/>
      <c r="M429" s="679"/>
      <c r="N429" s="826"/>
      <c r="O429" s="477"/>
      <c r="P429" s="477"/>
      <c r="Q429" s="249"/>
      <c r="R429" s="476"/>
      <c r="S429" s="476"/>
      <c r="T429" s="476"/>
      <c r="U429" s="477"/>
      <c r="V429" s="284">
        <f>Table62689345679101134[[#This Row],[PO Value]]-Table62689345679101134[[#This Row],[Offer Value]]</f>
        <v>0</v>
      </c>
      <c r="W429" s="474"/>
      <c r="X429" s="478"/>
      <c r="Y429" s="647"/>
      <c r="Z429" s="44"/>
      <c r="AA429" s="7"/>
    </row>
    <row r="430" spans="1:27" ht="21.75" customHeight="1">
      <c r="A430" s="473"/>
      <c r="B430" s="479"/>
      <c r="C430" s="474"/>
      <c r="D430" s="474"/>
      <c r="E430" s="474"/>
      <c r="F430" s="474"/>
      <c r="G430" s="474"/>
      <c r="H430" s="474"/>
      <c r="I430" s="474"/>
      <c r="J430" s="475"/>
      <c r="K430" s="475"/>
      <c r="L430" s="474"/>
      <c r="M430" s="679"/>
      <c r="N430" s="826"/>
      <c r="O430" s="477"/>
      <c r="P430" s="477"/>
      <c r="Q430" s="249"/>
      <c r="R430" s="476"/>
      <c r="S430" s="476"/>
      <c r="T430" s="476"/>
      <c r="U430" s="477"/>
      <c r="V430" s="284">
        <f>Table62689345679101134[[#This Row],[PO Value]]-Table62689345679101134[[#This Row],[Offer Value]]</f>
        <v>0</v>
      </c>
      <c r="W430" s="474"/>
      <c r="X430" s="478"/>
      <c r="Y430" s="647"/>
      <c r="Z430" s="44"/>
      <c r="AA430" s="7"/>
    </row>
    <row r="431" spans="1:27" ht="21.75" customHeight="1">
      <c r="A431" s="473"/>
      <c r="B431" s="479"/>
      <c r="C431" s="474"/>
      <c r="D431" s="474"/>
      <c r="E431" s="474"/>
      <c r="F431" s="474"/>
      <c r="G431" s="474"/>
      <c r="H431" s="474"/>
      <c r="I431" s="474"/>
      <c r="J431" s="475"/>
      <c r="K431" s="475"/>
      <c r="L431" s="474"/>
      <c r="M431" s="679"/>
      <c r="N431" s="826"/>
      <c r="O431" s="477"/>
      <c r="P431" s="477"/>
      <c r="Q431" s="249"/>
      <c r="R431" s="476"/>
      <c r="S431" s="476"/>
      <c r="T431" s="476"/>
      <c r="U431" s="477"/>
      <c r="V431" s="284">
        <f>Table62689345679101134[[#This Row],[PO Value]]-Table62689345679101134[[#This Row],[Offer Value]]</f>
        <v>0</v>
      </c>
      <c r="W431" s="474"/>
      <c r="X431" s="478"/>
      <c r="Y431" s="647"/>
      <c r="Z431" s="44"/>
      <c r="AA431" s="7"/>
    </row>
    <row r="450" spans="6:8" ht="21.75" customHeight="1">
      <c r="F450" s="105"/>
      <c r="G450" s="105" t="s">
        <v>120</v>
      </c>
      <c r="H450" s="105" t="s">
        <v>125</v>
      </c>
    </row>
    <row r="451" spans="6:8" ht="21.75" customHeight="1">
      <c r="F451" s="105" t="s">
        <v>2244</v>
      </c>
      <c r="G451" s="105">
        <f>SUMIFS(N7:N444,J7:J444,"=SPP",K7:K444,"=YES")</f>
        <v>17142800</v>
      </c>
      <c r="H451" s="105">
        <f>SUMIFS(T7:T444,J7:J444,"=SPP",K7:K444,"=YES")</f>
        <v>5595578.4000000004</v>
      </c>
    </row>
    <row r="452" spans="6:8" ht="21.75" customHeight="1">
      <c r="F452" s="105" t="s">
        <v>2245</v>
      </c>
      <c r="G452" s="105">
        <f>SUMIFS(N7:N445,J7:J445,"=Contract",K7:K445,"=YES")</f>
        <v>1189257</v>
      </c>
      <c r="H452" s="105">
        <f>SUMIFS(T7:T445,J7:J445,"=Contract",K7:K445,"=YES")</f>
        <v>1420760</v>
      </c>
    </row>
    <row r="453" spans="6:8" ht="21.75" customHeight="1">
      <c r="F453" s="105" t="s">
        <v>2246</v>
      </c>
      <c r="G453" s="105">
        <f>SUMIFS(N7:N446,J7:J446,"=Retrofit Kit",K7:K446,"=YES")</f>
        <v>7451800</v>
      </c>
      <c r="H453" s="105">
        <f>SUMIFS(T9:T446,J9:J446,"=Retrofit kit",K9:K446,"=YES")</f>
        <v>2399760</v>
      </c>
    </row>
    <row r="454" spans="6:8" ht="21.75" customHeight="1">
      <c r="F454" s="105" t="s">
        <v>2247</v>
      </c>
      <c r="G454" s="105">
        <f>SUMIFS(N7:N447,J7:J447,"=Midlife Upgrade",K7:K447,"=YES")</f>
        <v>17444759</v>
      </c>
      <c r="H454" s="105">
        <f>SUMIFS(T7:T447,J7:J447,"=Midlife Upgrade",K7:K447,"=YES")</f>
        <v>8405425.6000000015</v>
      </c>
    </row>
    <row r="455" spans="6:8" ht="21.75" customHeight="1">
      <c r="F455" s="105"/>
      <c r="G455" s="105"/>
      <c r="H455" s="105"/>
    </row>
    <row r="456" spans="6:8" ht="21.75" customHeight="1">
      <c r="F456" s="105"/>
      <c r="G456" s="105"/>
      <c r="H456" s="105"/>
    </row>
    <row r="457" spans="6:8" ht="21.75" customHeight="1">
      <c r="F457" s="105" t="s">
        <v>2248</v>
      </c>
      <c r="G457" s="105">
        <f>SUMIFS(N7:N450,J7:J450,"=Relocation",K7:K450,"=No")</f>
        <v>10287136</v>
      </c>
      <c r="H457" s="105">
        <f>SUMIFS(T7:T450,J7:J450,"=Relocation",K7:K450,"=No")</f>
        <v>3226099</v>
      </c>
    </row>
    <row r="458" spans="6:8" ht="21.75" customHeight="1">
      <c r="F458" s="105" t="s">
        <v>2249</v>
      </c>
      <c r="G458" s="105">
        <f>SUMIFS(O263:O451,K263:K451,"=SPP",K263:K451,"=BD Spare",L263:L451,"=No")</f>
        <v>0</v>
      </c>
      <c r="H458" s="105" t="e">
        <f>SUMIFS(U270:U451,K120:K451,"=Relocation",L120:L451,"=No")</f>
        <v>#VALUE!</v>
      </c>
    </row>
    <row r="459" spans="6:8" ht="21.75" customHeight="1">
      <c r="F459" s="105" t="s">
        <v>2250</v>
      </c>
      <c r="G459" s="105">
        <f>SUMIFS(N7:N452,J7:J452,"=Contract",K7:K452,"=No")</f>
        <v>20210087</v>
      </c>
      <c r="H459" s="105">
        <f>SUMIFS(T7:T452,J7:J452,"=Contract",K7:K452,"=No")</f>
        <v>9713517.7600000016</v>
      </c>
    </row>
  </sheetData>
  <protectedRanges>
    <protectedRange algorithmName="SHA-512" hashValue="gZNXA0xZZvTr4mVrHIcpl3r4WknbgyiSuZM8Zwe6fcCo6m50g+9tuYL4OsRqTmMCamLLkXw2Bc4O6xBZbTITuA==" saltValue="Pwr0R4fjAsfkJJiQFB5rBQ==" spinCount="100000" sqref="E7:AA7 U127 V8:V431 R215:R216 A7:B7" name="Range1"/>
  </protectedRanges>
  <mergeCells count="1">
    <mergeCell ref="Z5:AA5"/>
  </mergeCells>
  <phoneticPr fontId="43" type="noConversion"/>
  <conditionalFormatting sqref="L1:L6 L428:L1048576">
    <cfRule type="duplicateValues" dxfId="71" priority="33"/>
  </conditionalFormatting>
  <conditionalFormatting sqref="L248:L345 L347:L427">
    <cfRule type="duplicateValues" dxfId="70" priority="24"/>
  </conditionalFormatting>
  <conditionalFormatting sqref="R244:R427">
    <cfRule type="duplicateValues" dxfId="69" priority="4"/>
  </conditionalFormatting>
  <dataValidations count="3">
    <dataValidation type="custom" allowBlank="1" showInputMessage="1" showErrorMessage="1" errorTitle="Error" error="Entered data format is wrong" promptTitle="Enter Date format : 01/10/2021 " sqref="B399:B653" xr:uid="{B1146FBF-C542-4075-B849-9EA1BBA3FD13}">
      <formula1>AND(ISNUMBER(B399),LEFT(CELL("format",B399),1)="D")</formula1>
    </dataValidation>
    <dataValidation type="list" allowBlank="1" showInputMessage="1" showErrorMessage="1" error="Do not enter any oteh products" sqref="K403:K411" xr:uid="{96D94DAB-8E05-42F8-86BA-01572821CF0D}">
      <formula1>#REF!</formula1>
    </dataValidation>
    <dataValidation type="list" allowBlank="1" showInputMessage="1" showErrorMessage="1" error="Do not Enter any other text except Month" sqref="T399:T400 T402:T411 P403:P411" xr:uid="{560E5602-FCEA-4945-8001-10A72B69448B}">
      <formula1>#REF!</formula1>
    </dataValidation>
  </dataValidations>
  <hyperlinks>
    <hyperlink ref="H7" r:id="rId1" xr:uid="{5DB39395-01CA-4F8E-AF28-4ABE3465C9E7}"/>
    <hyperlink ref="H8" r:id="rId2" xr:uid="{84342B6B-5C21-46C4-BF98-FF5F2C09368E}"/>
    <hyperlink ref="H9" r:id="rId3" xr:uid="{266A5E34-B41B-4113-A915-A68AD23EB842}"/>
    <hyperlink ref="H10" r:id="rId4" xr:uid="{B5976C85-2136-4816-ADE5-32EA4FB89704}"/>
    <hyperlink ref="H11" r:id="rId5" xr:uid="{63BC9A85-9DFF-49F9-A1D9-FE28FD5F6120}"/>
    <hyperlink ref="H12" r:id="rId6" xr:uid="{47E5F6DA-9ED6-4D93-8395-35A11AC5B5D2}"/>
    <hyperlink ref="H13" r:id="rId7" xr:uid="{12BAEF7C-820F-4BD5-9E42-658D691986F7}"/>
    <hyperlink ref="H15" r:id="rId8" xr:uid="{F3391017-B1A3-4530-A864-1CA7DFC07669}"/>
    <hyperlink ref="H16" r:id="rId9" xr:uid="{48FC0F72-6FA5-456E-809B-8E7A8E8D6032}"/>
    <hyperlink ref="H17" r:id="rId10" xr:uid="{1CE649F5-C0C1-48DC-A674-0FE6B33542FF}"/>
    <hyperlink ref="H18" r:id="rId11" xr:uid="{65D6A2AA-8731-4148-AF30-E8D2B0EA8827}"/>
    <hyperlink ref="H19" r:id="rId12" xr:uid="{CB7E785E-87C3-4BED-86BB-56074F84E9B1}"/>
    <hyperlink ref="H20" r:id="rId13" xr:uid="{26A88475-203E-477A-B3CB-B8265A4B9F49}"/>
    <hyperlink ref="H21" r:id="rId14" xr:uid="{5C7694D4-9147-49C8-BC10-B08AB73DE0DD}"/>
    <hyperlink ref="H22" r:id="rId15" xr:uid="{F477D235-0F69-48BF-B1DC-F6A48D6878E6}"/>
    <hyperlink ref="H23" r:id="rId16" xr:uid="{64E708A2-3F8E-4C30-8373-71108C21F349}"/>
    <hyperlink ref="H24" r:id="rId17" xr:uid="{618B23E2-7D0A-479A-9CB3-EB13F9FBF54B}"/>
    <hyperlink ref="H25" r:id="rId18" xr:uid="{2B17020E-3582-4508-A2BD-E5E1C7782050}"/>
    <hyperlink ref="H26" r:id="rId19" xr:uid="{F08B2ECB-9708-4D83-BBF2-D8CF7AABFF2F}"/>
    <hyperlink ref="H27" r:id="rId20" xr:uid="{4075DB24-F7AF-4C37-B29B-833076BF6517}"/>
    <hyperlink ref="H28" r:id="rId21" xr:uid="{E8A9D194-B6AD-4A00-B8B8-F77AE04A3D63}"/>
    <hyperlink ref="H29" r:id="rId22" xr:uid="{05B6BAFB-73E0-4889-9B18-C897B3DE4FF1}"/>
    <hyperlink ref="H30" r:id="rId23" xr:uid="{E8F6744F-CBBD-49FE-8451-7907EC31DD7C}"/>
    <hyperlink ref="H31" r:id="rId24" xr:uid="{05EE2A62-BBC3-40AE-B578-269D23090FC2}"/>
    <hyperlink ref="H32" r:id="rId25" xr:uid="{456D5A8C-455B-414D-81DD-A5F1AF8941BD}"/>
    <hyperlink ref="H33" r:id="rId26" xr:uid="{EACDF80A-CA87-4E11-AE1D-7D8DCACAA61B}"/>
    <hyperlink ref="H34" r:id="rId27" xr:uid="{711E89E9-9FBD-4BC0-BA01-190211D92378}"/>
    <hyperlink ref="H35" r:id="rId28" xr:uid="{4933B464-734D-4CF2-B014-3209C6C97C0E}"/>
    <hyperlink ref="H36" r:id="rId29" xr:uid="{2AE4415F-4AEA-4658-AF8B-CAEB5100E5B7}"/>
    <hyperlink ref="H37" r:id="rId30" xr:uid="{B081BBF4-28BA-4E9C-A3A1-D758892D8626}"/>
    <hyperlink ref="H38" r:id="rId31" xr:uid="{9BA03334-8C38-4E54-937C-790B891E092B}"/>
    <hyperlink ref="H39" r:id="rId32" xr:uid="{E68DDF7E-ECD5-4220-9825-B8085872EA4B}"/>
    <hyperlink ref="H40" r:id="rId33" xr:uid="{DDDAFADA-7BE7-49B8-8999-DE04F66ACC3D}"/>
    <hyperlink ref="H41" r:id="rId34" xr:uid="{347238BD-EAFA-4C43-BC0B-7733F48EAF9A}"/>
    <hyperlink ref="H42" r:id="rId35" xr:uid="{D570850E-E6CB-4920-A2ED-60D15E95DE12}"/>
    <hyperlink ref="H43" r:id="rId36" xr:uid="{F5C2AA4A-E473-454C-B34D-B57D14D46203}"/>
    <hyperlink ref="H44" r:id="rId37" xr:uid="{A0D51C7C-DC6E-4D12-8494-0794DAD02142}"/>
    <hyperlink ref="H45" r:id="rId38" xr:uid="{6215544C-D59D-451B-A862-8A71DDA22894}"/>
    <hyperlink ref="H46" r:id="rId39" xr:uid="{8E30A1BA-FD3F-4977-91A0-E51945EF39DC}"/>
    <hyperlink ref="H47" r:id="rId40" xr:uid="{A6867842-3A24-4B8B-9E87-0950C3F3C020}"/>
    <hyperlink ref="H48" r:id="rId41" xr:uid="{C0A44C20-5879-4518-A320-214DDC64C077}"/>
    <hyperlink ref="H49" r:id="rId42" xr:uid="{01887EB7-7A2C-46AC-901A-BA3191F95262}"/>
    <hyperlink ref="H50" r:id="rId43" xr:uid="{102AFC4E-A163-4C6D-83CF-9ADC3B82B273}"/>
    <hyperlink ref="H51" r:id="rId44" xr:uid="{FD552BFB-AB97-4B01-B8E8-2C7D89C5B998}"/>
    <hyperlink ref="H52" r:id="rId45" xr:uid="{30C63208-48B2-48EF-8360-0F8598F6E289}"/>
    <hyperlink ref="H53" r:id="rId46" xr:uid="{884A4BB2-4C48-4A37-A618-06587C72D536}"/>
    <hyperlink ref="H54" r:id="rId47" xr:uid="{F49F20BD-5339-45ED-9CC4-74B6F097A45D}"/>
    <hyperlink ref="H55" r:id="rId48" xr:uid="{DAF93D8D-C8D5-487F-8824-A4F796E0F970}"/>
    <hyperlink ref="H56" r:id="rId49" xr:uid="{4C8BC470-975E-41A7-B9BC-BDC872C3C5A1}"/>
    <hyperlink ref="H57" r:id="rId50" xr:uid="{B930BEAC-7ED0-4059-96C7-75D9869879D3}"/>
    <hyperlink ref="H58" r:id="rId51" xr:uid="{26CA9013-B3AD-40A8-B8D5-86FBCB14F735}"/>
    <hyperlink ref="H59" r:id="rId52" xr:uid="{777A56F4-7135-45FA-A1CC-FB44DAF8AA46}"/>
    <hyperlink ref="H60" r:id="rId53" xr:uid="{70DB8782-418F-4B6E-AFB6-E8BF527B5E27}"/>
    <hyperlink ref="H61" r:id="rId54" xr:uid="{D416ACA0-E354-4882-BC14-D98CA8C1D5AC}"/>
    <hyperlink ref="H62" r:id="rId55" xr:uid="{BDA63918-3362-4307-9AD1-D4F154B713E3}"/>
    <hyperlink ref="H63" r:id="rId56" xr:uid="{64ED54EA-30FF-4F3D-9C99-509C5CF0287A}"/>
    <hyperlink ref="H64" r:id="rId57" xr:uid="{8F37B4C6-58E7-44BE-8192-2D8AD4C23B87}"/>
    <hyperlink ref="H65" r:id="rId58" xr:uid="{D9D6D80F-3C12-476C-85CB-9B97EB7B9EF8}"/>
    <hyperlink ref="H66" r:id="rId59" xr:uid="{E5E3B7EC-73F6-4B42-AE50-E8F721223369}"/>
    <hyperlink ref="H67" r:id="rId60" xr:uid="{CFAD6589-58F5-4386-9041-38E561C53C8B}"/>
    <hyperlink ref="H68" r:id="rId61" xr:uid="{5A65AA21-AA1E-48EE-A36A-FA19BCE12B3C}"/>
    <hyperlink ref="H69" r:id="rId62" xr:uid="{27D72024-9E09-4C15-83EA-7AAB08E0DC7D}"/>
    <hyperlink ref="H70" r:id="rId63" xr:uid="{8DEAFE53-42AA-4C74-8275-55031D3E3629}"/>
    <hyperlink ref="H71" r:id="rId64" xr:uid="{F4FFA09D-4274-43F4-916C-E53408B868D8}"/>
    <hyperlink ref="H72" r:id="rId65" xr:uid="{ED3F9BFA-435B-4FC2-8675-31AC88380A62}"/>
    <hyperlink ref="H73" r:id="rId66" xr:uid="{FEFDF638-213E-40CA-8AAD-6F302CB56676}"/>
    <hyperlink ref="H74" r:id="rId67" xr:uid="{F7A3515F-389D-4CE0-9AF5-D5F5844C5320}"/>
    <hyperlink ref="H75" r:id="rId68" xr:uid="{55B97B4D-0AD1-401F-ACA4-7AD75D38A768}"/>
    <hyperlink ref="H76" r:id="rId69" xr:uid="{F3ABD47E-7475-4069-87E5-30DAAD60AD36}"/>
    <hyperlink ref="H77" r:id="rId70" xr:uid="{B2BE793A-1D48-4FA4-A480-5E271CA43A43}"/>
    <hyperlink ref="H78" r:id="rId71" xr:uid="{ED83C233-C1C1-4E21-975D-7FF698D04183}"/>
    <hyperlink ref="H79" r:id="rId72" xr:uid="{5AC94F20-5B5C-4434-BA42-49B64F93FF93}"/>
    <hyperlink ref="H80" r:id="rId73" xr:uid="{BC549E4F-55AC-4616-9AAF-825233967D2F}"/>
    <hyperlink ref="H81" r:id="rId74" xr:uid="{DFFD33B0-3743-45D4-A1EA-84ADD0B1CF62}"/>
    <hyperlink ref="H82" r:id="rId75" xr:uid="{2E7E14D9-58D8-4433-8397-D6185C4DE1AE}"/>
    <hyperlink ref="H83" r:id="rId76" xr:uid="{94A50FAC-5A66-44D0-9AC9-D298C4A2A34C}"/>
    <hyperlink ref="H84" r:id="rId77" xr:uid="{C1DFFD71-ADC4-4F60-8EC1-E52E6846B8A4}"/>
    <hyperlink ref="H85" r:id="rId78" xr:uid="{2FB0D86B-1A3B-4D77-A9E3-06A36D08313D}"/>
    <hyperlink ref="H86" r:id="rId79" xr:uid="{D25C180A-0A91-4088-9252-3FCBB4DAC057}"/>
    <hyperlink ref="H87" r:id="rId80" xr:uid="{755763ED-9F0D-4533-AEBA-D9E3B30D778B}"/>
    <hyperlink ref="H88" r:id="rId81" xr:uid="{3E7A4C85-D6CD-4552-A742-17D112969705}"/>
    <hyperlink ref="H89" r:id="rId82" xr:uid="{429EBD54-CB9E-4ACC-A96C-FE46C4E1071E}"/>
    <hyperlink ref="H90" r:id="rId83" xr:uid="{3F8128CC-E41C-4A9A-BC61-D0C9DA20FCE3}"/>
    <hyperlink ref="H91" r:id="rId84" xr:uid="{CE3BCB64-34B0-441C-892F-ADD443E301D5}"/>
    <hyperlink ref="H92" r:id="rId85" xr:uid="{A824C3F1-17D0-482B-9771-E79D3389CDFC}"/>
    <hyperlink ref="H93" r:id="rId86" xr:uid="{8412265F-7219-4023-815F-56E9E0BCA0F9}"/>
    <hyperlink ref="H94" r:id="rId87" xr:uid="{FB6FE318-485D-44A9-9604-606F27614EC7}"/>
    <hyperlink ref="H95" r:id="rId88" xr:uid="{179EEE74-F921-4105-94CD-5514B895A6FA}"/>
    <hyperlink ref="H96" r:id="rId89" xr:uid="{6C65483D-CAFB-4647-BB12-AF844C5B3D7B}"/>
    <hyperlink ref="H97" r:id="rId90" xr:uid="{4B85D3E4-97AD-4271-9722-BF4BC0DE4F84}"/>
    <hyperlink ref="H98" r:id="rId91" xr:uid="{589B45EE-4D2C-4575-A4B0-E7CB5DEF4716}"/>
    <hyperlink ref="H99" r:id="rId92" xr:uid="{F10692CD-2CFC-4969-AA5F-FDAAAD5A1A33}"/>
    <hyperlink ref="H100" r:id="rId93" xr:uid="{A577FC48-8E27-4D4C-966C-9F854C80413E}"/>
    <hyperlink ref="H101" r:id="rId94" xr:uid="{65B4F25F-7CAE-40CF-885E-CBA10CCFE84E}"/>
    <hyperlink ref="H102" r:id="rId95" xr:uid="{CCC1C1DC-F2AF-4EB0-B2D8-37554F934D34}"/>
    <hyperlink ref="H103" r:id="rId96" xr:uid="{B9DCE5E1-600A-4197-9C55-F3F6243C7526}"/>
    <hyperlink ref="H104" r:id="rId97" xr:uid="{D1745B35-9FDD-497D-8E20-4826763E2B03}"/>
    <hyperlink ref="H105" r:id="rId98" xr:uid="{FDE7B205-8C2F-4CDC-A115-47C9B17E3DB3}"/>
    <hyperlink ref="H106" r:id="rId99" xr:uid="{0DDE83DA-C7BB-4A31-90A8-8A5A7EFE35FE}"/>
    <hyperlink ref="H107" r:id="rId100" xr:uid="{A8774230-C6BA-42FA-9ACF-4735D4412E05}"/>
    <hyperlink ref="H108" r:id="rId101" xr:uid="{2AA7423C-A693-428C-9234-C1CA2148EBE9}"/>
    <hyperlink ref="H109" r:id="rId102" xr:uid="{9F91C063-32FE-4685-8E49-A2C482429214}"/>
    <hyperlink ref="H110" r:id="rId103" xr:uid="{3108FE05-8ADE-49F5-8E38-78146422A759}"/>
    <hyperlink ref="H111" r:id="rId104" xr:uid="{E435F97F-5BE3-49BA-8E1D-5FA8BA4B51A8}"/>
    <hyperlink ref="H112" r:id="rId105" xr:uid="{611E329E-F183-4990-9397-809F1076F9EE}"/>
    <hyperlink ref="H113" r:id="rId106" xr:uid="{725A9BA9-26EC-410A-BD5F-5C638B421723}"/>
    <hyperlink ref="H114" r:id="rId107" xr:uid="{C6DB12DE-095E-4E04-B0AD-DDE2615077B0}"/>
    <hyperlink ref="H115" r:id="rId108" xr:uid="{370C3B2A-8D10-4D6E-9F8C-D7D23DDA37DA}"/>
    <hyperlink ref="H116" r:id="rId109" xr:uid="{CCCAF86F-FE21-4D64-A9F5-1EB8482FC645}"/>
    <hyperlink ref="H117" r:id="rId110" xr:uid="{969D6C7B-3064-4581-A21B-2812CD65A166}"/>
    <hyperlink ref="H118" r:id="rId111" xr:uid="{E9DE8B7C-63BE-475F-803D-9A898B3A4891}"/>
    <hyperlink ref="H119" r:id="rId112" xr:uid="{E8FB1D66-063A-4AFD-A15B-F04F8137EE9E}"/>
    <hyperlink ref="H120" r:id="rId113" xr:uid="{A965977F-171A-4C8B-B26A-88CBE8DF73F2}"/>
    <hyperlink ref="H121" r:id="rId114" xr:uid="{07492815-B697-4896-91E0-BDFC0B24CA8B}"/>
    <hyperlink ref="H122" r:id="rId115" xr:uid="{E67F0629-A532-42C1-B2A9-FD8F830BB0B6}"/>
    <hyperlink ref="H123" r:id="rId116" xr:uid="{521E93AE-6CFA-4FBE-9B5A-FAEB350CE2AF}"/>
    <hyperlink ref="H124" r:id="rId117" xr:uid="{0428C32B-DA79-4E32-8E34-DD818B35F39A}"/>
    <hyperlink ref="H125" r:id="rId118" xr:uid="{3EFDF3EF-1F32-4D92-8D1F-74CBD414C000}"/>
    <hyperlink ref="H126" r:id="rId119" xr:uid="{121D6A68-FE39-4956-8103-EAC58DC3F66F}"/>
    <hyperlink ref="H127" r:id="rId120" xr:uid="{0BA7FED6-F141-4F66-AAED-14A28E2BDF90}"/>
    <hyperlink ref="H128" r:id="rId121" xr:uid="{6908036D-F354-44AE-A893-28E06764EAF9}"/>
    <hyperlink ref="H129" r:id="rId122" xr:uid="{0A7EE3F6-0B9C-4B39-9A18-892DF90FA1BF}"/>
    <hyperlink ref="H130" r:id="rId123" xr:uid="{6BEF4C53-7B92-4404-AAD2-D8129109640C}"/>
    <hyperlink ref="H131" r:id="rId124" xr:uid="{6E742C97-D4CD-4F7D-81A5-7D509208329C}"/>
    <hyperlink ref="H132" r:id="rId125" xr:uid="{2148232E-D4A6-481F-A67E-A2D4C53DC74C}"/>
    <hyperlink ref="H133" r:id="rId126" xr:uid="{D975E819-3BCE-499D-90CC-78F4C795AC0F}"/>
    <hyperlink ref="H134" r:id="rId127" xr:uid="{557E145A-FC50-4FAA-A3C4-F08408BD46FE}"/>
    <hyperlink ref="H135" r:id="rId128" xr:uid="{DAD1101A-7A62-46DB-9B5D-05FB953A37BC}"/>
    <hyperlink ref="H136" r:id="rId129" xr:uid="{B4A79B09-B603-4DE3-8493-890CCC9B1D18}"/>
    <hyperlink ref="H137" r:id="rId130" xr:uid="{0141BF4C-F4D0-4793-96E0-19B0BFD78749}"/>
    <hyperlink ref="H138" r:id="rId131" xr:uid="{11EA39CF-5AE1-4F26-A221-AC3DC21BE5A3}"/>
    <hyperlink ref="H139" r:id="rId132" xr:uid="{AE1327B1-A217-4A3B-9811-C2BD0597B494}"/>
    <hyperlink ref="H140" r:id="rId133" xr:uid="{4F5B7D4D-C067-44FF-89D7-18F2CBAB45F5}"/>
    <hyperlink ref="H141" r:id="rId134" xr:uid="{2CE95B64-B3E6-47A9-BCDD-48928C5DC53D}"/>
    <hyperlink ref="H142" r:id="rId135" xr:uid="{4908FCAA-5C78-42E9-9E0F-95D51E3110DD}"/>
    <hyperlink ref="H143" r:id="rId136" xr:uid="{507C1C45-E3F8-4F16-91DE-D43A2821960B}"/>
    <hyperlink ref="H144" r:id="rId137" xr:uid="{DA163849-F955-4223-86AB-3437C54C55AE}"/>
    <hyperlink ref="H145" r:id="rId138" xr:uid="{3026191E-D797-4DA9-A25B-9F4FDFF2B8D8}"/>
    <hyperlink ref="H146" r:id="rId139" xr:uid="{165754E0-D90C-470D-9D55-C75D040ECCF7}"/>
    <hyperlink ref="H147" r:id="rId140" xr:uid="{C98ECD81-217F-47F2-821C-B2EA505AA3C3}"/>
    <hyperlink ref="H148" r:id="rId141" xr:uid="{CBB7DFF1-C12A-4538-B2B3-35F8FD07B597}"/>
    <hyperlink ref="H149" r:id="rId142" xr:uid="{5614AD30-DA00-4058-B4D3-F89B13BB6E9F}"/>
    <hyperlink ref="H150" r:id="rId143" xr:uid="{041C8A9A-7883-4ACC-99BD-D425B53B6EB1}"/>
    <hyperlink ref="H151" r:id="rId144" xr:uid="{ABBD056A-EB0E-48FB-B352-F114263D7996}"/>
    <hyperlink ref="H152" r:id="rId145" xr:uid="{11F21120-1A87-4829-9327-3CD9F2222380}"/>
    <hyperlink ref="H153" r:id="rId146" xr:uid="{D59D370F-FC74-40BD-AA33-848B67C634E8}"/>
    <hyperlink ref="H154" r:id="rId147" xr:uid="{76B60A60-45FF-422A-895E-0ACF65889041}"/>
    <hyperlink ref="H155" r:id="rId148" xr:uid="{1743074B-4D1B-47A8-B45C-4F84BD908F23}"/>
    <hyperlink ref="H156" r:id="rId149" xr:uid="{356923F4-1632-4A42-B256-0D128EB86F4E}"/>
    <hyperlink ref="H157" r:id="rId150" xr:uid="{8DD19FF6-12D6-4389-937F-CEC83EF6AFCD}"/>
    <hyperlink ref="H158" r:id="rId151" xr:uid="{2546B97F-A0AA-43D8-90C1-0D0C08813C58}"/>
    <hyperlink ref="H159" r:id="rId152" xr:uid="{26DDB98D-8DA3-4FC9-98E8-FFA8C3B6F890}"/>
    <hyperlink ref="H160" r:id="rId153" xr:uid="{11CE46A9-30EB-4529-BA77-6518856DBA25}"/>
    <hyperlink ref="H161" r:id="rId154" xr:uid="{5D0A476E-51B8-4070-B2C4-4E52DB8EE45B}"/>
    <hyperlink ref="H162" r:id="rId155" xr:uid="{C279F6B7-9282-4B0A-B6D5-FEAFA497AAE1}"/>
    <hyperlink ref="H163" r:id="rId156" xr:uid="{6A88C108-CF95-4EF6-8989-668932F71306}"/>
    <hyperlink ref="H164" r:id="rId157" xr:uid="{4226B50C-7BF6-4DD8-B9E9-946E0A36A5D2}"/>
    <hyperlink ref="H165" r:id="rId158" xr:uid="{71538EA1-919D-4689-A3DA-2F66D5C88C9B}"/>
    <hyperlink ref="H166" r:id="rId159" xr:uid="{10467202-581D-4AE6-9C00-151B1A5EB034}"/>
    <hyperlink ref="H167" r:id="rId160" xr:uid="{5960034C-3EEF-4D80-B67D-30D8BA544A22}"/>
    <hyperlink ref="H168" r:id="rId161" xr:uid="{504110C4-C4C0-47F7-A36D-7AD01265C537}"/>
    <hyperlink ref="H169" r:id="rId162" xr:uid="{493DC091-22D1-42BE-AFE7-D63B904AC9FF}"/>
    <hyperlink ref="H170" r:id="rId163" xr:uid="{BB392BCE-B273-4295-959A-824469DFF087}"/>
    <hyperlink ref="H171" r:id="rId164" xr:uid="{EA3D7AB3-B181-4804-B832-42D1694C9211}"/>
    <hyperlink ref="H172" r:id="rId165" xr:uid="{F9BB498F-2A34-452C-8B9C-3E81878D5397}"/>
    <hyperlink ref="H173" r:id="rId166" xr:uid="{F5D49B87-5A8E-4033-8D54-EBA9B6504349}"/>
    <hyperlink ref="H174" r:id="rId167" xr:uid="{1A770359-0300-4906-9C22-A1BA63AFF594}"/>
    <hyperlink ref="H175" r:id="rId168" xr:uid="{70799483-7DB0-4876-8FE8-D744CA2690B3}"/>
    <hyperlink ref="H176" r:id="rId169" xr:uid="{D01D2539-77D4-4C28-94E3-7F8B1BF9D528}"/>
    <hyperlink ref="H177" r:id="rId170" xr:uid="{DDF74807-9D57-46BE-BCF8-D914F7E1B6EE}"/>
    <hyperlink ref="H178" r:id="rId171" xr:uid="{7CA57B0A-85F9-4041-8F19-D6B8EFFF832A}"/>
    <hyperlink ref="H179" r:id="rId172" xr:uid="{CC169670-DECD-43D2-97A8-77979AF9B892}"/>
    <hyperlink ref="H180" r:id="rId173" xr:uid="{F854BDDB-B685-42F0-B8D8-ABC221E863A1}"/>
    <hyperlink ref="H181" r:id="rId174" xr:uid="{B8DDCEA9-3A3A-4A10-93E0-2D87E7F09782}"/>
    <hyperlink ref="H183" r:id="rId175" xr:uid="{429F7E9F-F4CD-499B-889C-80A3C8501BD3}"/>
    <hyperlink ref="H184" r:id="rId176" xr:uid="{16975381-10FD-4DD8-9833-CC5F76FEE96E}"/>
    <hyperlink ref="H185" r:id="rId177" xr:uid="{5CB8E573-030A-44F1-BF0E-F39B146C9605}"/>
    <hyperlink ref="H186" r:id="rId178" xr:uid="{6410F310-9C31-45BE-9662-955FD543DC55}"/>
    <hyperlink ref="H187" r:id="rId179" xr:uid="{863A7E08-D61E-409E-BDFE-BB2F8CDD6A38}"/>
    <hyperlink ref="H188" r:id="rId180" xr:uid="{9E22B4C7-D0EE-4C70-9F33-A7F0A7F9C8F1}"/>
    <hyperlink ref="H189" r:id="rId181" xr:uid="{AFC33D4F-ED7D-4360-B368-E4F225C48DAE}"/>
    <hyperlink ref="H190" r:id="rId182" xr:uid="{52B6A5BC-6E06-46C8-9223-14E2C0449298}"/>
    <hyperlink ref="H191" r:id="rId183" xr:uid="{CCF6755E-6D33-4398-9C1F-245204019822}"/>
    <hyperlink ref="H192" r:id="rId184" xr:uid="{E3BDE0F0-9EEA-44F8-93FA-924F3750A090}"/>
    <hyperlink ref="H193" r:id="rId185" xr:uid="{B13269BB-18E8-4904-9998-8C94470C538A}"/>
    <hyperlink ref="H194" r:id="rId186" xr:uid="{C65FD8E9-4A12-4778-BEC0-FFC1A7E58E60}"/>
    <hyperlink ref="H195" r:id="rId187" xr:uid="{1C511EEA-FB68-47E7-B335-AD4E4578E706}"/>
    <hyperlink ref="H196" r:id="rId188" xr:uid="{F8B338AE-84B6-452C-B71F-094B89680F06}"/>
    <hyperlink ref="H197" r:id="rId189" xr:uid="{F910F079-F446-43EE-AA1B-D82202611047}"/>
    <hyperlink ref="H198" r:id="rId190" xr:uid="{EA9EB199-C600-474A-8407-670706CF2557}"/>
    <hyperlink ref="H199" r:id="rId191" xr:uid="{85590F78-7A1E-4116-8190-B9D2F1744D13}"/>
    <hyperlink ref="H200" r:id="rId192" xr:uid="{99886400-47D6-4D85-BCF4-8BCA1F817CA9}"/>
    <hyperlink ref="H201" r:id="rId193" xr:uid="{24C26671-A55F-4648-8445-2FE3AA48D6FE}"/>
    <hyperlink ref="H202" r:id="rId194" xr:uid="{470BA16B-28E4-40AD-9B3C-FC2246E5ED12}"/>
    <hyperlink ref="H203" r:id="rId195" xr:uid="{E27BCA68-5ABE-45EB-A566-67483871DC77}"/>
    <hyperlink ref="H204" r:id="rId196" xr:uid="{8D3FA363-48BE-411A-BB9C-0503A1AE690C}"/>
    <hyperlink ref="H205" r:id="rId197" xr:uid="{159F498E-1000-4556-AB2D-CEB90793484C}"/>
    <hyperlink ref="H206" r:id="rId198" xr:uid="{307C8563-4B00-4891-88F7-79FA4FFDD7D3}"/>
    <hyperlink ref="H207" r:id="rId199" xr:uid="{6DF9414C-96CB-4E71-BF5B-D2FF59E37CC4}"/>
    <hyperlink ref="H208" r:id="rId200" xr:uid="{B3A8909B-8E1D-46D4-90FE-21C3E2BC9B74}"/>
    <hyperlink ref="H209" r:id="rId201" xr:uid="{9367D75D-0410-4F7F-B0DC-9522E1904675}"/>
    <hyperlink ref="H210" r:id="rId202" xr:uid="{E4DBB01B-7BCF-4693-BF20-C69AC3637F08}"/>
    <hyperlink ref="H211" r:id="rId203" xr:uid="{2A72E9E8-EEE1-4E1A-B0AD-DA790BE33094}"/>
    <hyperlink ref="H212" r:id="rId204" xr:uid="{8715F78A-1883-463B-8621-1CAD1B8C841E}"/>
    <hyperlink ref="H213" r:id="rId205" xr:uid="{CD76AF6F-D064-40D0-86E8-B56D503A218B}"/>
    <hyperlink ref="H214" r:id="rId206" xr:uid="{864FD6F3-CFC4-4298-B9A2-14ACFDA21C33}"/>
    <hyperlink ref="H215" r:id="rId207" xr:uid="{6D3962A0-F0BB-40AD-B054-EC2A7CABCD00}"/>
    <hyperlink ref="H216" r:id="rId208" xr:uid="{9BB263AC-6E20-43D9-867E-D5B87714A901}"/>
    <hyperlink ref="H217" r:id="rId209" xr:uid="{EB4BE889-5D38-492E-9882-C2B363958E61}"/>
    <hyperlink ref="H218" r:id="rId210" xr:uid="{4D675BBF-DA8A-48F0-B8EF-DDF7A4775E7A}"/>
    <hyperlink ref="H220" r:id="rId211" xr:uid="{7B03DB2D-9F48-4C4A-9EDE-1ED402CC79BE}"/>
    <hyperlink ref="H221" r:id="rId212" xr:uid="{BEDA1DAE-4DE7-435A-8309-356CA048704D}"/>
    <hyperlink ref="H222" r:id="rId213" xr:uid="{8411C9C5-AC06-467D-9B17-49C3F7D6821E}"/>
    <hyperlink ref="H223" r:id="rId214" xr:uid="{413CDC7F-E673-451B-AB93-2825570FE5CA}"/>
    <hyperlink ref="H224" r:id="rId215" xr:uid="{F76BDAA4-A804-446B-92F7-BCCA30ABF66B}"/>
    <hyperlink ref="H225" r:id="rId216" xr:uid="{2CFE16C6-6B97-4DF4-A797-CF4C16BE9CB0}"/>
    <hyperlink ref="H226" r:id="rId217" xr:uid="{D5D91097-25B3-4A59-BE3C-299D85676BC9}"/>
    <hyperlink ref="H227" r:id="rId218" xr:uid="{3034A2A3-9593-4A59-8E2D-6C8CE4BD8075}"/>
    <hyperlink ref="H228" r:id="rId219" xr:uid="{9CE0FE1D-7932-4163-9725-317AAC6793FE}"/>
    <hyperlink ref="H229" r:id="rId220" xr:uid="{05F4662D-EA65-42A4-A45C-6F1C580FB9BC}"/>
    <hyperlink ref="H230" r:id="rId221" xr:uid="{AD13494B-37D1-4543-A63A-E73FFB6CD4AD}"/>
    <hyperlink ref="H231" r:id="rId222" xr:uid="{E5E54F77-09D3-4348-B8F6-541F586E9C46}"/>
    <hyperlink ref="H232" r:id="rId223" xr:uid="{D9059DEC-11EC-4101-B815-11CC4033102E}"/>
    <hyperlink ref="H233" r:id="rId224" xr:uid="{9BD8BE62-897A-4956-B12C-9E58D0E2DC42}"/>
    <hyperlink ref="H234" r:id="rId225" xr:uid="{F09DD1B2-C318-47B3-B378-65090E99B5D7}"/>
    <hyperlink ref="H235" r:id="rId226" xr:uid="{E94FE54E-F3FB-4235-A072-8646030E530D}"/>
    <hyperlink ref="H236" r:id="rId227" xr:uid="{9809E9AB-2D91-4B2F-86D6-6ED3E02BACBB}"/>
    <hyperlink ref="H237" r:id="rId228" xr:uid="{4C192004-F78E-47D7-92CD-404088D0BC36}"/>
    <hyperlink ref="H238" r:id="rId229" xr:uid="{8109F5A6-2B90-4C84-9D41-EE6DAFA0498D}"/>
    <hyperlink ref="H239" r:id="rId230" xr:uid="{8A540B07-8F9C-4165-B16F-249A87CD475E}"/>
    <hyperlink ref="H240" r:id="rId231" xr:uid="{DFAD117A-EAE4-4AF7-B574-6859B283B381}"/>
    <hyperlink ref="H241" r:id="rId232" xr:uid="{063CBB42-E091-4AFF-B2A1-C0EAB4A596C3}"/>
    <hyperlink ref="H242" r:id="rId233" xr:uid="{AED06479-C899-4CF7-835B-1A049A417F73}"/>
    <hyperlink ref="H243" r:id="rId234" xr:uid="{4AD1DE7E-DF9D-42FB-9063-C1D609F23E21}"/>
    <hyperlink ref="H244" r:id="rId235" xr:uid="{A2D9F1FC-E00F-418A-839D-1B12F28E877B}"/>
    <hyperlink ref="H245" r:id="rId236" xr:uid="{79748E4B-F72A-48AC-9DF1-393585F821F0}"/>
    <hyperlink ref="H246" r:id="rId237" xr:uid="{1F279C44-9460-4DFE-A177-A81307917B80}"/>
    <hyperlink ref="H247" r:id="rId238" xr:uid="{755079FA-F1E7-442D-8F56-AEA309B474E6}"/>
    <hyperlink ref="H248" r:id="rId239" xr:uid="{BE6655E5-F0FE-4CE3-9E6A-CC47DCFD66C7}"/>
    <hyperlink ref="H249" r:id="rId240" xr:uid="{460315E2-BB80-457D-9523-0A0BF591C5ED}"/>
    <hyperlink ref="H250" r:id="rId241" xr:uid="{805C2CAC-A4D4-40C5-B29A-51D386E24BF2}"/>
    <hyperlink ref="H251" r:id="rId242" xr:uid="{3035A913-F027-49E9-A3D7-638B4810C111}"/>
    <hyperlink ref="H252" r:id="rId243" xr:uid="{C7852DF6-81F5-43B2-A259-7971A025981C}"/>
    <hyperlink ref="H253" r:id="rId244" xr:uid="{726CA7AA-A9AE-446D-8C7A-90E0ACF4B2F5}"/>
    <hyperlink ref="H254" r:id="rId245" xr:uid="{64155CA8-2E3B-4513-A07B-9BB508F1C64E}"/>
    <hyperlink ref="H255" r:id="rId246" xr:uid="{7D47D5A8-C5FB-4D02-9838-3976BB08F7D0}"/>
    <hyperlink ref="H256" r:id="rId247" xr:uid="{D8CB05D4-8830-4F87-8FC8-2C7EBADF3B63}"/>
    <hyperlink ref="H257" r:id="rId248" xr:uid="{F980B446-02FD-4105-A826-E86465861BFD}"/>
    <hyperlink ref="H258" r:id="rId249" xr:uid="{7A1CEF79-28C5-47C9-8A38-BA092E46DE62}"/>
    <hyperlink ref="H259" r:id="rId250" xr:uid="{3953AA09-BC6D-44C8-B971-F4A039BD54DA}"/>
    <hyperlink ref="H260" r:id="rId251" xr:uid="{CA4BE955-F9F1-43B7-9782-2B26EDE486E8}"/>
    <hyperlink ref="H261" r:id="rId252" xr:uid="{AEADC95D-1378-4ED5-A26E-E9AAA205F7C3}"/>
    <hyperlink ref="H262" r:id="rId253" xr:uid="{93CFA748-9600-4326-8A9A-4A0D61FB6A31}"/>
    <hyperlink ref="H263" r:id="rId254" xr:uid="{1E4AFC37-3A67-44F2-91A8-1810CEBD888A}"/>
    <hyperlink ref="H264" r:id="rId255" xr:uid="{4B08D385-2163-45FF-A7DF-66AB89712601}"/>
    <hyperlink ref="H265" r:id="rId256" xr:uid="{BB590ED3-725B-496B-872A-4F1E5161D610}"/>
    <hyperlink ref="H266" r:id="rId257" xr:uid="{564A4009-DA1D-46BB-83DD-622EE9EFBF29}"/>
    <hyperlink ref="H267" r:id="rId258" xr:uid="{2DF98E27-AF98-4AE5-95A7-96CC7AFA53B8}"/>
    <hyperlink ref="H268" r:id="rId259" xr:uid="{E8DC3FD5-8BF8-46E8-B7B5-9B8231E321FA}"/>
    <hyperlink ref="H269" r:id="rId260" xr:uid="{AC9CB486-AB5A-4908-ACB9-E89B2AD31ADB}"/>
    <hyperlink ref="H270" r:id="rId261" xr:uid="{26FFFECD-D910-48E6-A8DF-AB43C6C3AF2C}"/>
    <hyperlink ref="H271" r:id="rId262" xr:uid="{89D1361E-1773-407F-A7D6-CDED365AA915}"/>
    <hyperlink ref="H272" r:id="rId263" xr:uid="{4B22DBF2-E376-42B3-8001-2BF613DEAF50}"/>
    <hyperlink ref="H273" r:id="rId264" xr:uid="{21EAEC1E-9EA0-41FD-8FB2-109806E9B3A3}"/>
    <hyperlink ref="H274" r:id="rId265" xr:uid="{9AAD3AC9-770E-4839-B158-41187E49C313}"/>
    <hyperlink ref="H275" r:id="rId266" xr:uid="{10F0B147-F0F6-48BF-B856-C81D5141B328}"/>
    <hyperlink ref="H276" r:id="rId267" xr:uid="{AC69CBBB-7910-4CA2-B210-29522ABBE98D}"/>
    <hyperlink ref="H277" r:id="rId268" xr:uid="{199E823C-8885-43D0-A875-56E2CD9CDE05}"/>
    <hyperlink ref="H278" r:id="rId269" xr:uid="{94E1C2DF-F31C-4656-9442-C9EDB352EFD9}"/>
    <hyperlink ref="H279" r:id="rId270" xr:uid="{EBB412AF-1772-4B0F-AEAE-0E21208F4615}"/>
    <hyperlink ref="H280" r:id="rId271" xr:uid="{018F46E0-F0F0-4069-8774-A770DDD82514}"/>
    <hyperlink ref="H281" r:id="rId272" xr:uid="{A0FA6574-97E9-4BFE-9062-67FCE35F2F7D}"/>
    <hyperlink ref="H282" r:id="rId273" xr:uid="{C6BA8D2C-B2F5-4C24-8954-EA8E525702B8}"/>
    <hyperlink ref="H283" r:id="rId274" xr:uid="{3F830E5B-7079-49EC-97FB-3020D8E78F37}"/>
    <hyperlink ref="H284" r:id="rId275" xr:uid="{DFFF6181-2767-4F6B-8E75-F9E5B63972A0}"/>
    <hyperlink ref="H285" r:id="rId276" xr:uid="{15D9F551-4B04-4990-850D-F43F1198BCBF}"/>
    <hyperlink ref="H286" r:id="rId277" xr:uid="{870AEBBA-E730-4BF7-A5FC-F4D11A6567E2}"/>
    <hyperlink ref="H287" r:id="rId278" xr:uid="{B5A46E2F-F36D-4EC0-AFFF-BD1A47AE3FD1}"/>
    <hyperlink ref="H288" r:id="rId279" xr:uid="{68884410-A86E-45A1-9552-36594DE1D140}"/>
    <hyperlink ref="H289" r:id="rId280" xr:uid="{092D8B48-F310-439D-B6D8-B376637D4AE6}"/>
    <hyperlink ref="H290" r:id="rId281" xr:uid="{58CD7FC6-BA22-4EAB-86BB-44AFA7434D1E}"/>
    <hyperlink ref="H291" r:id="rId282" xr:uid="{E4CF68E1-8170-4EE3-9AC1-E6105FC338F3}"/>
    <hyperlink ref="H292" r:id="rId283" xr:uid="{481F7858-36D0-4188-A3AD-BC288EB1959D}"/>
    <hyperlink ref="H293" r:id="rId284" xr:uid="{271DA234-7D2B-45E9-AE92-40C4C30506B0}"/>
    <hyperlink ref="H294" r:id="rId285" xr:uid="{5C07AA33-7BA7-43A3-ACE5-B56CD4DE087D}"/>
    <hyperlink ref="H295" r:id="rId286" xr:uid="{2E46ED13-4BDD-439B-8BAA-5A281F141856}"/>
    <hyperlink ref="H296" r:id="rId287" xr:uid="{A8D74F46-79D7-4F6F-B0E2-CAA64C7E0C0E}"/>
    <hyperlink ref="H297" r:id="rId288" xr:uid="{80630B4C-60F2-4CA5-BD68-F976491FB6DA}"/>
    <hyperlink ref="H298" r:id="rId289" xr:uid="{9C713BE8-9324-4CC3-B2DF-A742E76F711B}"/>
    <hyperlink ref="H299" r:id="rId290" xr:uid="{C37B26BD-D210-4049-B30F-2F38433E0C17}"/>
    <hyperlink ref="H300" r:id="rId291" xr:uid="{04308CC2-B557-4DDB-B33A-C4FB097D469A}"/>
    <hyperlink ref="H301" r:id="rId292" xr:uid="{855FFDBB-3BF5-4402-8706-714F9A9D5CC8}"/>
    <hyperlink ref="H302" r:id="rId293" xr:uid="{83B9541C-715E-47B0-ADF1-A09CE79F1255}"/>
    <hyperlink ref="H303" r:id="rId294" xr:uid="{B10D3740-3AF2-445A-9E3C-36026B975485}"/>
    <hyperlink ref="H304" r:id="rId295" xr:uid="{5BB32836-27A7-4FC1-BD6E-B51106D819E2}"/>
    <hyperlink ref="H305" r:id="rId296" xr:uid="{4538B8F0-CF5D-4A48-BEFF-F9FE6713EEA2}"/>
    <hyperlink ref="H306" r:id="rId297" xr:uid="{9B6E1767-267A-4655-8235-548A829037F1}"/>
    <hyperlink ref="H307" r:id="rId298" xr:uid="{8F1786F4-DA40-41C9-A22F-AF717F4D511C}"/>
    <hyperlink ref="H308" r:id="rId299" xr:uid="{3CD2947C-CCBB-4189-BBCB-F4CA411EE428}"/>
    <hyperlink ref="H309" r:id="rId300" xr:uid="{5E71FFD1-564C-42A4-93B9-6ED6812AA1D4}"/>
    <hyperlink ref="H310" r:id="rId301" xr:uid="{8A3C7C84-4BC1-4AD0-9506-E8E7AF90EAC2}"/>
    <hyperlink ref="H311" r:id="rId302" xr:uid="{F59D3F11-508B-4579-8067-45C729604F13}"/>
    <hyperlink ref="H312" r:id="rId303" xr:uid="{F7A38198-4363-4106-B076-DE31B96E097A}"/>
    <hyperlink ref="H313" r:id="rId304" xr:uid="{C79D9CBF-BC85-4AA2-BCF8-57DE0E78F73C}"/>
    <hyperlink ref="H314" r:id="rId305" xr:uid="{80FCD95A-2B53-4A85-BB01-605832A54FF5}"/>
    <hyperlink ref="H315" r:id="rId306" xr:uid="{89E8342A-9CF4-4F7E-AFBA-4AB1E50A6ABA}"/>
    <hyperlink ref="H316" r:id="rId307" xr:uid="{69C6B00C-2536-4811-A587-49BDBB50A5E6}"/>
    <hyperlink ref="H317" r:id="rId308" xr:uid="{5FBE49AD-FBFF-4BD5-A44D-C756A99DA8F1}"/>
    <hyperlink ref="H318" r:id="rId309" xr:uid="{9637A152-24FA-428C-B592-04CF3D7C3FD4}"/>
    <hyperlink ref="H319" r:id="rId310" xr:uid="{B32CA0FC-80D9-4F1D-BC6B-99B17DBC5F0E}"/>
    <hyperlink ref="H320" r:id="rId311" xr:uid="{B973A2B4-99EB-44FE-AFA3-FA94661638E7}"/>
    <hyperlink ref="H321" r:id="rId312" xr:uid="{9F01426F-958A-4985-8C8F-FF364198DC99}"/>
    <hyperlink ref="H322" r:id="rId313" xr:uid="{EA2895C1-DB6E-4A5A-A838-FE63A6B226DF}"/>
    <hyperlink ref="H323" r:id="rId314" xr:uid="{0BDE60FF-BB21-408E-8437-9FB0273604EE}"/>
    <hyperlink ref="H324" r:id="rId315" xr:uid="{75075347-E90C-4BC2-B45B-161C4089C198}"/>
    <hyperlink ref="H325" r:id="rId316" xr:uid="{45DCEF52-C500-4316-9A49-8FF1A4FE6F94}"/>
    <hyperlink ref="H326" r:id="rId317" xr:uid="{2DD1B137-7BE6-47A1-A776-FDD2CF837A4C}"/>
    <hyperlink ref="H327" r:id="rId318" xr:uid="{1C64DAD4-ECC0-4D54-B63A-4F949E12F034}"/>
    <hyperlink ref="H328" r:id="rId319" xr:uid="{5E1A1259-1CE3-4E11-9FF8-046E32199059}"/>
    <hyperlink ref="H329" r:id="rId320" xr:uid="{0D450DD4-5B7C-48AF-AF5F-E5D002E63861}"/>
    <hyperlink ref="H330" r:id="rId321" xr:uid="{097FC270-C1F1-4D4F-8892-347788DC2490}"/>
    <hyperlink ref="H331" r:id="rId322" xr:uid="{5A799659-87B2-40F3-A033-0D6DB34E210A}"/>
    <hyperlink ref="H332" r:id="rId323" xr:uid="{9C36B033-678F-42BC-8EA4-9AF7470EF179}"/>
    <hyperlink ref="H333" r:id="rId324" xr:uid="{AC4056DB-6855-4258-9139-E76279163A2C}"/>
    <hyperlink ref="H334" r:id="rId325" xr:uid="{9932C3E9-961C-45C0-A83F-532CB842973A}"/>
    <hyperlink ref="H335" r:id="rId326" xr:uid="{A40D691C-FA89-441F-87DD-BE6482434E61}"/>
    <hyperlink ref="H336" r:id="rId327" xr:uid="{507C528C-1B3D-4037-A40D-E464047402CC}"/>
    <hyperlink ref="H337" r:id="rId328" xr:uid="{FE72A503-E6C4-4FDE-9A79-6583B8D4E6F6}"/>
    <hyperlink ref="H338" r:id="rId329" xr:uid="{009E8E43-1533-40C3-BB4D-27FD3061CCEF}"/>
    <hyperlink ref="H339" r:id="rId330" xr:uid="{7C2D69BF-C287-4EC8-884E-E4963EBA3C1E}"/>
    <hyperlink ref="H340" r:id="rId331" xr:uid="{D9B7C59A-13CB-41EA-8156-1E2A8F117BF7}"/>
    <hyperlink ref="H341" r:id="rId332" xr:uid="{F05CB97C-F75D-4A50-A3DB-1E11B1866894}"/>
    <hyperlink ref="H342" r:id="rId333" xr:uid="{E3DDB243-7F67-4F09-BFE3-BBC63BAE8B16}"/>
    <hyperlink ref="H343" r:id="rId334" display="mailto:shivajij@bel.co.in" xr:uid="{547D6733-CB18-4111-9933-0D7065991074}"/>
    <hyperlink ref="H344" r:id="rId335" xr:uid="{F3C1FC75-0181-46EA-982D-F361C6EC212E}"/>
    <hyperlink ref="H345" r:id="rId336" xr:uid="{D3935807-783D-46C6-9B3F-73A5AAAC87B3}"/>
    <hyperlink ref="H346" r:id="rId337" xr:uid="{3654E05C-7FF0-468C-90BF-8CEEF362121E}"/>
    <hyperlink ref="H348" r:id="rId338" xr:uid="{80850A27-FDFE-4FDA-BDA5-5C3C1B0B3CCE}"/>
    <hyperlink ref="H347" r:id="rId339" xr:uid="{3AD7C48B-220A-45FF-B39F-81CE2B7AE6DE}"/>
    <hyperlink ref="H349" r:id="rId340" xr:uid="{2B027B93-D021-497F-A753-705897FCC639}"/>
    <hyperlink ref="H350" r:id="rId341" xr:uid="{C9C20546-5077-4BA6-BDCD-C25EF156C340}"/>
    <hyperlink ref="H351" r:id="rId342" xr:uid="{2072A9A7-70F2-41DB-99C9-CE0EE41779F3}"/>
    <hyperlink ref="H352" r:id="rId343" xr:uid="{3A6B87FA-E3F1-4961-8FA0-1269734CCDBF}"/>
    <hyperlink ref="H353" r:id="rId344" xr:uid="{EB9B3419-A7EF-4F0E-B14F-7F90517319E1}"/>
    <hyperlink ref="H354" r:id="rId345" xr:uid="{EE99EE5D-0DE8-499A-B007-02F87ABF21C9}"/>
    <hyperlink ref="H355" r:id="rId346" xr:uid="{21BB5E4C-8825-48AF-B492-9B37961A8FAF}"/>
    <hyperlink ref="H356" r:id="rId347" xr:uid="{FB10C3F2-5487-4972-A7AD-9E0359F566D1}"/>
    <hyperlink ref="H357" r:id="rId348" xr:uid="{B3F08002-1403-469F-8008-220680C05E02}"/>
    <hyperlink ref="H358" r:id="rId349" xr:uid="{A2345CB3-02A0-42FA-B04A-092D7835871C}"/>
    <hyperlink ref="H359" r:id="rId350" xr:uid="{648D4D2A-1729-411D-B1FF-299DD278D396}"/>
    <hyperlink ref="H360" r:id="rId351" xr:uid="{E864BC0F-90E0-4502-BEA5-21C2B6C8C14E}"/>
    <hyperlink ref="H361" r:id="rId352" xr:uid="{97DEBD1E-C928-4B09-80F1-8737BA68FD0D}"/>
    <hyperlink ref="H362" r:id="rId353" xr:uid="{7BA79E84-2B6B-485A-A168-762C09D8BB92}"/>
    <hyperlink ref="H363" r:id="rId354" xr:uid="{C5A83D64-4D56-42CE-952D-16F02F94B178}"/>
    <hyperlink ref="H364" r:id="rId355" xr:uid="{EE80A4D7-B2E8-4DC6-86A2-BB0847541F61}"/>
    <hyperlink ref="H365" r:id="rId356" xr:uid="{C85FD9F7-CD1B-412B-A802-17D780D0EE50}"/>
    <hyperlink ref="H366" r:id="rId357" xr:uid="{5D7F488C-0090-42C4-A3A6-41FB890F7E80}"/>
    <hyperlink ref="H367" r:id="rId358" xr:uid="{7553970D-A840-4BFB-9FCF-C29C304FBC3E}"/>
    <hyperlink ref="H368" r:id="rId359" xr:uid="{75970015-2312-4EA7-8E13-9CD92D012CCC}"/>
    <hyperlink ref="H369" r:id="rId360" xr:uid="{B5A3820D-E0CE-44C5-BAC2-A8B1BEA4C1D4}"/>
    <hyperlink ref="H370" r:id="rId361" xr:uid="{9BD33B49-A940-4F80-A069-C17E51B08A11}"/>
    <hyperlink ref="H371" r:id="rId362" xr:uid="{23DEC315-5B73-48FC-9D75-C3FA6AA5B635}"/>
    <hyperlink ref="H372" r:id="rId363" xr:uid="{1CF4CFED-EED5-4192-858B-F1FDDFB1FDDF}"/>
    <hyperlink ref="H373" r:id="rId364" xr:uid="{CCE4F775-6D26-46F9-8B76-1F6EC413EEAE}"/>
    <hyperlink ref="H374" r:id="rId365" xr:uid="{E40E06DC-169C-4FBB-AE5E-1A50DCABC6E3}"/>
    <hyperlink ref="H375" r:id="rId366" xr:uid="{0D3E7287-539B-4263-9C8B-980F36C16C13}"/>
    <hyperlink ref="H376" r:id="rId367" xr:uid="{EEBB73C4-1A95-4811-8EEE-A03E4B5FBF19}"/>
    <hyperlink ref="H377" r:id="rId368" xr:uid="{AEA76157-A648-47C5-B386-F0697642C4D5}"/>
    <hyperlink ref="H378" r:id="rId369" xr:uid="{AF68FDB0-9A54-4282-8B0E-4ECFF535314B}"/>
    <hyperlink ref="H379" r:id="rId370" xr:uid="{2102A959-B03C-40FA-98AA-D8C9B0F548DA}"/>
    <hyperlink ref="H380" r:id="rId371" xr:uid="{DED236AE-741E-4D8B-910D-66DFBAE35EE7}"/>
    <hyperlink ref="H381" r:id="rId372" xr:uid="{7BBA1194-7BB7-4410-87F0-B128DC89D87A}"/>
    <hyperlink ref="H382" r:id="rId373" xr:uid="{E56246CF-68EA-4C2A-AE8E-18517A9C8374}"/>
    <hyperlink ref="H383" r:id="rId374" xr:uid="{AEE7A5BD-ADC8-4C6C-A9C8-F97DAB516ABF}"/>
  </hyperlinks>
  <pageMargins left="0.23622047244094491" right="0.23622047244094491" top="0.74803149606299213" bottom="0.74803149606299213" header="0.31496062992125984" footer="0.31496062992125984"/>
  <pageSetup paperSize="9" orientation="landscape" r:id="rId375"/>
  <headerFooter>
    <oddHeader>&amp;R&amp;9&amp;K02+000&amp;D</oddHeader>
    <oddFooter>&amp;L&amp;G&amp;C&amp;9&amp;K02+000&amp;F&amp;R&amp;9&amp;K02+000Page &amp;P of &amp;N</oddFooter>
  </headerFooter>
  <legacyDrawingHF r:id="rId376"/>
  <tableParts count="1">
    <tablePart r:id="rId377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421FA75F-A9EC-4DE7-AF18-5C6D38A6B9C2}">
          <x14:formula1>
            <xm:f>Location!$B$2:$B$126</xm:f>
          </x14:formula1>
          <xm:sqref>D1:D6 D428:D1048576</xm:sqref>
        </x14:dataValidation>
        <x14:dataValidation type="list" allowBlank="1" showInputMessage="1" showErrorMessage="1" error="Do not enter any oteh products" xr:uid="{AFCFD4DC-EBF8-4960-B5F1-41B25A29528A}">
          <x14:formula1>
            <xm:f>'Month Prod Names'!$J$4:$J$5</xm:f>
          </x14:formula1>
          <xm:sqref>K1:K6 K428:K1048576</xm:sqref>
        </x14:dataValidation>
        <x14:dataValidation type="list" allowBlank="1" showInputMessage="1" showErrorMessage="1" error="Do not Enter any other text except Month" xr:uid="{3EB30CA1-3C2A-4116-9E44-736A70616B48}">
          <x14:formula1>
            <xm:f>'Month Prod Names'!$B$4:$B$15</xm:f>
          </x14:formula1>
          <xm:sqref>P1:P6 P428:P1048576 P227:P231 P136:P139 P174:P181 P149 P126</xm:sqref>
        </x14:dataValidation>
        <x14:dataValidation type="list" allowBlank="1" showInputMessage="1" showErrorMessage="1" error="Do not Enter any other text except Month" xr:uid="{AC368BE8-6981-45E3-BDC3-EB58B1A62A6C}">
          <x14:formula1>
            <xm:f>'Month Prod Names'!$K$4:$K$13</xm:f>
          </x14:formula1>
          <xm:sqref>Q1:Q6 Q428:Q1048576</xm:sqref>
        </x14:dataValidation>
        <x14:dataValidation type="list" allowBlank="1" showInputMessage="1" showErrorMessage="1" xr:uid="{B9415C44-7364-41C1-AA1B-BF64A88E2993}">
          <x14:formula1>
            <xm:f>'Machine Serial Numbers'!$A$2:$A$1502</xm:f>
          </x14:formula1>
          <xm:sqref>I1:I6 I428:I1048576</xm:sqref>
        </x14:dataValidation>
        <x14:dataValidation type="list" allowBlank="1" showInputMessage="1" showErrorMessage="1" error="Do not enter any oteh products" xr:uid="{4DBFD73D-F6E6-41B2-BB9D-8492EF0B5CED}">
          <x14:formula1>
            <xm:f>'Month Prod Names'!$D$4:$D$141</xm:f>
          </x14:formula1>
          <xm:sqref>J1:J6 J428:J1048576</xm:sqref>
        </x14:dataValidation>
        <x14:dataValidation type="list" allowBlank="1" showInputMessage="1" showErrorMessage="1" error="Select From Drop Down" xr:uid="{301568F4-F433-425E-B1AB-E3A994578E33}">
          <x14:formula1>
            <xm:f>'Machine Serial Numbers'!$A$2:$A$1502</xm:f>
          </x14:formula1>
          <xm:sqref>I243:I427</xm:sqref>
        </x14:dataValidation>
        <x14:dataValidation type="list" allowBlank="1" showInputMessage="1" showErrorMessage="1" error="Select from drop down" xr:uid="{637B2F45-616C-4B46-86BB-BE1FEC284861}">
          <x14:formula1>
            <xm:f>'Month Prod Names'!$J$4:$J$5</xm:f>
          </x14:formula1>
          <xm:sqref>K243:K345 K347:K402</xm:sqref>
        </x14:dataValidation>
        <x14:dataValidation type="list" allowBlank="1" showInputMessage="1" showErrorMessage="1" error="Select From Drop Down" xr:uid="{1A65EC43-1893-4E4A-BF5E-F499FCE68F49}">
          <x14:formula1>
            <xm:f>Location!$B$2:$B$126</xm:f>
          </x14:formula1>
          <xm:sqref>D243:D401</xm:sqref>
        </x14:dataValidation>
        <x14:dataValidation type="list" allowBlank="1" showInputMessage="1" showErrorMessage="1" xr:uid="{395B24AA-7FF4-432E-946A-B5923BE07012}">
          <x14:formula1>
            <xm:f>'Month Prod Names'!$K$4:$K$19</xm:f>
          </x14:formula1>
          <xm:sqref>Q243:Q427</xm:sqref>
        </x14:dataValidation>
        <x14:dataValidation type="list" allowBlank="1" showInputMessage="1" showErrorMessage="1" xr:uid="{2048DCD9-6E0D-4A73-AE2E-0DBC6A770EBF}">
          <x14:formula1>
            <xm:f>'Month Prod Names'!$D$4:$D$46</xm:f>
          </x14:formula1>
          <xm:sqref>J243:J427</xm:sqref>
        </x14:dataValidation>
        <x14:dataValidation type="list" allowBlank="1" showInputMessage="1" showErrorMessage="1" error="Select From Drop Down" xr:uid="{C96A4C83-FA84-4167-B65E-59A20F2E40B1}">
          <x14:formula1>
            <xm:f>'Month Prod Names'!$B$4:$B$15</xm:f>
          </x14:formula1>
          <xm:sqref>U243:U401 P242:P402 O243 P10:P11 P185 P226 U228:U240 O245:O387 U174:U179 U226</xm:sqref>
        </x14:dataValidation>
        <x14:dataValidation type="list" allowBlank="1" showInputMessage="1" showErrorMessage="1" xr:uid="{B90C690B-493C-42F2-9946-0CE54EA4A2CD}">
          <x14:formula1>
            <xm:f>Customer!$B$2:$B$240</xm:f>
          </x14:formula1>
          <xm:sqref>C1:C6 C428:C1048576</xm:sqref>
        </x14:dataValidation>
        <x14:dataValidation type="list" allowBlank="1" showInputMessage="1" showErrorMessage="1" error="Select From Drop Down" xr:uid="{B118C54A-A488-4087-B421-75B57C5B6021}">
          <x14:formula1>
            <xm:f>Customer!$B$2:$B$240</xm:f>
          </x14:formula1>
          <xm:sqref>C243:C401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536B-1566-4401-9C0E-4BF65A41E254}">
  <dimension ref="A1:AG474"/>
  <sheetViews>
    <sheetView zoomScale="85" zoomScaleNormal="85" zoomScalePageLayoutView="80" workbookViewId="0">
      <selection activeCell="J128" sqref="J128"/>
    </sheetView>
  </sheetViews>
  <sheetFormatPr defaultRowHeight="21.75" customHeight="1"/>
  <cols>
    <col min="1" max="1" width="6.5546875" style="1" customWidth="1"/>
    <col min="2" max="2" width="12.88671875" style="2499" bestFit="1" customWidth="1"/>
    <col min="3" max="3" width="27.44140625" style="2" customWidth="1"/>
    <col min="4" max="4" width="12.44140625" style="2" customWidth="1"/>
    <col min="5" max="5" width="14.5546875" style="2" customWidth="1"/>
    <col min="6" max="6" width="16.5546875" style="2" customWidth="1"/>
    <col min="7" max="7" width="16" style="428" customWidth="1"/>
    <col min="8" max="8" width="33.44140625" style="2" customWidth="1"/>
    <col min="9" max="9" width="22" customWidth="1"/>
    <col min="10" max="10" width="12.5546875" style="2" customWidth="1"/>
    <col min="11" max="11" width="7.5546875" style="2" customWidth="1"/>
    <col min="12" max="12" width="29.44140625" style="2" customWidth="1"/>
    <col min="13" max="13" width="13.5546875" style="8" customWidth="1"/>
    <col min="14" max="14" width="12.5546875" style="214" customWidth="1"/>
    <col min="15" max="15" width="14.44140625" style="87" bestFit="1" customWidth="1"/>
    <col min="16" max="16" width="14.44140625" style="2" customWidth="1"/>
    <col min="17" max="17" width="14" style="838" customWidth="1"/>
    <col min="18" max="18" width="24.5546875" style="2" customWidth="1"/>
    <col min="19" max="19" width="13.44140625" style="8" customWidth="1"/>
    <col min="20" max="20" width="15.5546875" style="2" bestFit="1" customWidth="1"/>
    <col min="21" max="21" width="13.44140625" style="2" customWidth="1"/>
    <col min="22" max="22" width="18.5546875" style="268" customWidth="1"/>
    <col min="23" max="23" width="39.5546875" style="2" customWidth="1"/>
    <col min="24" max="24" width="15.44140625" style="1" customWidth="1"/>
    <col min="25" max="25" width="15.44140625" style="2" customWidth="1"/>
    <col min="26" max="26" width="16.44140625" style="2" customWidth="1"/>
    <col min="27" max="28" width="14.44140625" customWidth="1"/>
    <col min="29" max="29" width="20.44140625" bestFit="1" customWidth="1"/>
    <col min="30" max="30" width="16.44140625" customWidth="1"/>
    <col min="31" max="31" width="18.5546875" bestFit="1" customWidth="1"/>
    <col min="32" max="32" width="15" bestFit="1" customWidth="1"/>
    <col min="33" max="33" width="28.5546875" bestFit="1" customWidth="1"/>
  </cols>
  <sheetData>
    <row r="1" spans="1:33" ht="21.75" customHeight="1" thickBot="1">
      <c r="M1" s="8" t="s">
        <v>3597</v>
      </c>
    </row>
    <row r="2" spans="1:33" ht="33.75" customHeight="1" thickBot="1">
      <c r="A2" s="796" t="s">
        <v>3598</v>
      </c>
      <c r="B2" s="83"/>
      <c r="C2" s="263"/>
      <c r="D2" s="263"/>
      <c r="E2" s="263"/>
      <c r="F2" s="263"/>
      <c r="G2" s="213"/>
      <c r="H2" s="263"/>
      <c r="I2" s="83"/>
      <c r="J2" s="263"/>
      <c r="K2" s="263"/>
      <c r="L2" s="263"/>
      <c r="M2" s="1313"/>
      <c r="N2" s="213"/>
      <c r="O2" s="263"/>
      <c r="P2" s="263"/>
      <c r="Q2" s="213"/>
      <c r="R2" s="263"/>
      <c r="S2" s="1313"/>
      <c r="T2" s="263"/>
      <c r="U2" s="263"/>
      <c r="V2" s="263"/>
      <c r="W2" s="263"/>
      <c r="X2" s="83"/>
      <c r="Y2" s="328"/>
      <c r="Z2" s="101"/>
      <c r="AC2" s="443" t="s">
        <v>99</v>
      </c>
      <c r="AD2" s="443"/>
      <c r="AE2" s="443"/>
    </row>
    <row r="3" spans="1:33" ht="18" customHeight="1" thickBot="1">
      <c r="J3" s="87"/>
      <c r="K3" s="87"/>
      <c r="L3" s="87"/>
      <c r="M3" s="17"/>
      <c r="P3" s="87"/>
      <c r="Q3" s="839"/>
      <c r="R3" s="87"/>
      <c r="S3" s="17"/>
      <c r="T3" s="87"/>
      <c r="U3" s="269" t="s">
        <v>104</v>
      </c>
      <c r="V3" s="270">
        <f>SUM(N7:N418)</f>
        <v>36691385.739999995</v>
      </c>
      <c r="W3" s="271"/>
      <c r="X3" s="4"/>
      <c r="Y3" s="271"/>
      <c r="Z3" s="271"/>
      <c r="AC3" s="6" t="s">
        <v>22</v>
      </c>
      <c r="AD3" s="6" t="s">
        <v>101</v>
      </c>
      <c r="AE3" s="6" t="s">
        <v>102</v>
      </c>
      <c r="AF3" s="863" t="s">
        <v>2</v>
      </c>
      <c r="AG3" s="994" t="s">
        <v>103</v>
      </c>
    </row>
    <row r="4" spans="1:33" ht="30.6" thickBot="1">
      <c r="A4" s="299" t="s">
        <v>105</v>
      </c>
      <c r="B4" s="2500">
        <f>COUNT(B7:B1441)</f>
        <v>100</v>
      </c>
      <c r="C4" s="88"/>
      <c r="D4" s="88"/>
      <c r="E4" s="88"/>
      <c r="F4" s="88"/>
      <c r="G4" s="827"/>
      <c r="H4" s="88"/>
      <c r="I4" s="1914"/>
      <c r="J4" s="89"/>
      <c r="K4" s="89"/>
      <c r="L4" s="89"/>
      <c r="M4" s="17"/>
      <c r="N4" s="215"/>
      <c r="O4" s="90"/>
      <c r="P4" s="90"/>
      <c r="Q4" s="839"/>
      <c r="R4" s="90"/>
      <c r="S4" s="17"/>
      <c r="T4" s="90"/>
      <c r="U4" s="272" t="s">
        <v>54</v>
      </c>
      <c r="V4" s="273">
        <f>SUM(T7:T418)</f>
        <v>17089151.739999998</v>
      </c>
      <c r="W4" s="274"/>
      <c r="X4" s="21"/>
      <c r="Y4" s="271"/>
      <c r="Z4" s="274"/>
      <c r="AC4" s="450" t="s">
        <v>7</v>
      </c>
      <c r="AD4" s="451">
        <f>SUMIF($O$7:$O$418,"January",$N$7:$N$418)</f>
        <v>7562494.4399999995</v>
      </c>
      <c r="AE4" s="451">
        <f>SUMIF($U$7:$U$418,"January",$T$7:$T$418)</f>
        <v>5514449.4400000004</v>
      </c>
      <c r="AF4" s="863">
        <f>SUMIF($P$7:$P$441,"January",$N$7:$N$441)</f>
        <v>5369728.4399999995</v>
      </c>
      <c r="AG4" s="995">
        <f>AF4-AE4</f>
        <v>-144721.00000000093</v>
      </c>
    </row>
    <row r="5" spans="1:33" ht="29.25" customHeight="1" thickBot="1">
      <c r="A5" s="91"/>
      <c r="B5" s="2501"/>
      <c r="C5" s="88"/>
      <c r="D5" s="88"/>
      <c r="E5" s="88"/>
      <c r="F5" s="88"/>
      <c r="G5" s="827"/>
      <c r="H5" s="88"/>
      <c r="I5" s="1914"/>
      <c r="J5" s="89"/>
      <c r="K5" s="89"/>
      <c r="L5" s="89"/>
      <c r="M5" s="17"/>
      <c r="N5" s="215"/>
      <c r="O5" s="90"/>
      <c r="P5" s="90"/>
      <c r="Q5" s="839"/>
      <c r="R5" s="90"/>
      <c r="S5" s="17"/>
      <c r="T5" s="90"/>
      <c r="U5" s="272" t="s">
        <v>13</v>
      </c>
      <c r="V5" s="273">
        <f>SUM(V7:V418)</f>
        <v>19249474</v>
      </c>
      <c r="W5" s="275"/>
      <c r="X5" s="22"/>
      <c r="Y5" s="199" t="s">
        <v>106</v>
      </c>
      <c r="Z5" s="3483"/>
      <c r="AA5" s="3483"/>
      <c r="AB5" s="336"/>
      <c r="AC5" s="450" t="s">
        <v>18</v>
      </c>
      <c r="AD5" s="451">
        <f>SUMIF($O$7:$O$418,"February",$N$7:$N$418)</f>
        <v>3576976.7</v>
      </c>
      <c r="AE5" s="451">
        <f>SUMIF($U$7:$U$418,"February",$T$7:$T$418)</f>
        <v>1000142</v>
      </c>
      <c r="AF5" s="863">
        <f>SUMIF($P$7:$P$441,"February",$N$7:$N$441)</f>
        <v>923262</v>
      </c>
      <c r="AG5" s="995">
        <f t="shared" ref="AG5:AG7" si="0">AF5-AE5</f>
        <v>-76880</v>
      </c>
    </row>
    <row r="6" spans="1:33" ht="27.75" customHeight="1">
      <c r="A6" s="134" t="s">
        <v>107</v>
      </c>
      <c r="B6" s="2502" t="s">
        <v>108</v>
      </c>
      <c r="C6" s="266" t="s">
        <v>109</v>
      </c>
      <c r="D6" s="266" t="s">
        <v>110</v>
      </c>
      <c r="E6" s="266" t="s">
        <v>111</v>
      </c>
      <c r="F6" s="266" t="s">
        <v>112</v>
      </c>
      <c r="G6" s="216" t="s">
        <v>113</v>
      </c>
      <c r="H6" s="266" t="s">
        <v>114</v>
      </c>
      <c r="I6" s="1915" t="s">
        <v>115</v>
      </c>
      <c r="J6" s="266" t="s">
        <v>116</v>
      </c>
      <c r="K6" s="266" t="s">
        <v>117</v>
      </c>
      <c r="L6" s="266" t="s">
        <v>118</v>
      </c>
      <c r="M6" s="846" t="s">
        <v>119</v>
      </c>
      <c r="N6" s="216" t="s">
        <v>120</v>
      </c>
      <c r="O6" s="266" t="s">
        <v>121</v>
      </c>
      <c r="P6" s="266" t="s">
        <v>93</v>
      </c>
      <c r="Q6" s="216" t="s">
        <v>122</v>
      </c>
      <c r="R6" s="266" t="s">
        <v>123</v>
      </c>
      <c r="S6" s="1401" t="s">
        <v>124</v>
      </c>
      <c r="T6" s="266" t="s">
        <v>125</v>
      </c>
      <c r="U6" s="266" t="s">
        <v>126</v>
      </c>
      <c r="V6" s="266" t="s">
        <v>13</v>
      </c>
      <c r="W6" s="266" t="s">
        <v>127</v>
      </c>
      <c r="X6" s="197" t="s">
        <v>128</v>
      </c>
      <c r="Y6" s="427" t="s">
        <v>129</v>
      </c>
      <c r="Z6" s="648" t="s">
        <v>130</v>
      </c>
      <c r="AA6" s="649" t="s">
        <v>131</v>
      </c>
      <c r="AB6" s="202"/>
      <c r="AC6" s="450" t="s">
        <v>25</v>
      </c>
      <c r="AD6" s="451">
        <f>SUMIF($O$7:$O$418,"March",$N$7:$N$418)</f>
        <v>264385.88</v>
      </c>
      <c r="AE6" s="451">
        <f>SUMIF($U$7:$U$418,"March",$T$7:$T$418)</f>
        <v>1804528.88</v>
      </c>
      <c r="AF6" s="864">
        <f>SUMIF($P$7:$P$441,"March",$N$7:$N$441)</f>
        <v>1358861.88</v>
      </c>
      <c r="AG6" s="995">
        <f t="shared" si="0"/>
        <v>-445667</v>
      </c>
    </row>
    <row r="7" spans="1:33" s="259" customFormat="1" ht="31.2">
      <c r="A7" s="1262">
        <f>ROW() - ROW(Table626893456791011347[[#Headers],[SL]])</f>
        <v>1</v>
      </c>
      <c r="B7" s="2503">
        <v>45467</v>
      </c>
      <c r="C7" s="1122" t="s">
        <v>3599</v>
      </c>
      <c r="D7" s="1120" t="s">
        <v>3600</v>
      </c>
      <c r="E7" s="1120" t="s">
        <v>3601</v>
      </c>
      <c r="F7" s="1120" t="s">
        <v>3602</v>
      </c>
      <c r="G7" s="1278">
        <v>8754033997</v>
      </c>
      <c r="H7" s="2388" t="s">
        <v>3603</v>
      </c>
      <c r="I7" s="1278" t="s">
        <v>3604</v>
      </c>
      <c r="J7" s="1041" t="s">
        <v>75</v>
      </c>
      <c r="K7" s="1041" t="s">
        <v>157</v>
      </c>
      <c r="L7" s="1278" t="s">
        <v>3605</v>
      </c>
      <c r="M7" s="1263">
        <v>45467</v>
      </c>
      <c r="N7" s="1259">
        <v>9570</v>
      </c>
      <c r="O7" s="1042" t="s">
        <v>7</v>
      </c>
      <c r="P7" s="1042" t="s">
        <v>7</v>
      </c>
      <c r="Q7" s="1294">
        <v>1</v>
      </c>
      <c r="R7" s="1309">
        <v>4504559485</v>
      </c>
      <c r="S7" s="1269">
        <v>45474</v>
      </c>
      <c r="T7" s="1259">
        <v>9570</v>
      </c>
      <c r="U7" s="1042" t="s">
        <v>7</v>
      </c>
      <c r="V7" s="1260">
        <f>Table626893456791011347[[#This Row],[Offer Value]]-Table626893456791011347[[#This Row],[PO Value]]</f>
        <v>0</v>
      </c>
      <c r="W7" s="1261" t="s">
        <v>3606</v>
      </c>
      <c r="X7" s="2488"/>
      <c r="Y7" s="2489">
        <v>45993</v>
      </c>
      <c r="Z7" s="1028"/>
      <c r="AA7" s="1029"/>
      <c r="AB7" s="470"/>
      <c r="AC7" s="450" t="s">
        <v>28</v>
      </c>
      <c r="AD7" s="451">
        <f>SUMIF($O$7:$O$418,"April",$N$7:$N$418)</f>
        <v>5135539</v>
      </c>
      <c r="AE7" s="451">
        <f>SUMIF($U$7:$U$418,"April",$T$7:$T$418)</f>
        <v>826145.8</v>
      </c>
      <c r="AF7" s="864">
        <f>SUMIF($P$7:$P$441,"April",$N$7:$N$441)</f>
        <v>4409137.7</v>
      </c>
      <c r="AG7" s="995">
        <f t="shared" si="0"/>
        <v>3582991.9000000004</v>
      </c>
    </row>
    <row r="8" spans="1:33" s="1472" customFormat="1" ht="18">
      <c r="A8" s="1053">
        <f>ROW() - ROW(Table626893456791011347[[#Headers],[SL]])</f>
        <v>2</v>
      </c>
      <c r="B8" s="1490">
        <v>45553</v>
      </c>
      <c r="C8" s="1120" t="s">
        <v>3607</v>
      </c>
      <c r="D8" s="1120" t="s">
        <v>3600</v>
      </c>
      <c r="E8" s="1120" t="s">
        <v>3601</v>
      </c>
      <c r="F8" s="1120" t="s">
        <v>3608</v>
      </c>
      <c r="G8" s="1245">
        <v>4222587312</v>
      </c>
      <c r="H8" s="1278" t="s">
        <v>3609</v>
      </c>
      <c r="I8" s="1267" t="s">
        <v>3610</v>
      </c>
      <c r="J8" s="1041" t="s">
        <v>75</v>
      </c>
      <c r="K8" s="1041" t="s">
        <v>157</v>
      </c>
      <c r="L8" s="1267" t="s">
        <v>3611</v>
      </c>
      <c r="M8" s="1279">
        <v>45553</v>
      </c>
      <c r="N8" s="2425">
        <v>9606</v>
      </c>
      <c r="O8" s="1023" t="s">
        <v>7</v>
      </c>
      <c r="P8" s="1042" t="s">
        <v>7</v>
      </c>
      <c r="Q8" s="1294">
        <v>1</v>
      </c>
      <c r="R8" s="1270">
        <v>700004979</v>
      </c>
      <c r="S8" s="1282">
        <v>45603</v>
      </c>
      <c r="T8" s="1491">
        <v>9606</v>
      </c>
      <c r="U8" s="1042" t="s">
        <v>7</v>
      </c>
      <c r="V8" s="1260">
        <f>Table626893456791011347[[#This Row],[Offer Value]]-Table626893456791011347[[#This Row],[PO Value]]</f>
        <v>0</v>
      </c>
      <c r="W8" s="1261" t="s">
        <v>3606</v>
      </c>
      <c r="X8" s="1042"/>
      <c r="Y8" s="1134" t="s">
        <v>1768</v>
      </c>
      <c r="Z8" s="1485"/>
      <c r="AA8" s="1486"/>
      <c r="AB8" s="470"/>
      <c r="AC8" s="450" t="s">
        <v>30</v>
      </c>
      <c r="AD8" s="451">
        <f>SUMIF($O$7:$O$418,"May",$N$7:$N$418)</f>
        <v>2060128</v>
      </c>
      <c r="AE8" s="451">
        <f>SUMIF($U$7:$U$418,"May",$T$7:$T$418)</f>
        <v>983860</v>
      </c>
      <c r="AF8" s="864">
        <f>SUMIF($P$7:$P$441,"May",$N$7:$N$441)</f>
        <v>298690</v>
      </c>
      <c r="AG8" s="995">
        <f t="shared" ref="AG8:AG15" si="1">AF8-AE8</f>
        <v>-685170</v>
      </c>
    </row>
    <row r="9" spans="1:33" s="259" customFormat="1" ht="18">
      <c r="A9" s="1053">
        <f>ROW() - ROW(Table626893456791011347[[#Headers],[SL]])</f>
        <v>3</v>
      </c>
      <c r="B9" s="1490">
        <v>45736</v>
      </c>
      <c r="C9" s="1041" t="s">
        <v>1736</v>
      </c>
      <c r="D9" s="1120" t="s">
        <v>3612</v>
      </c>
      <c r="E9" s="1120" t="s">
        <v>3601</v>
      </c>
      <c r="F9" s="1041" t="s">
        <v>3613</v>
      </c>
      <c r="G9" s="1245">
        <v>9047900045</v>
      </c>
      <c r="H9" s="1132" t="s">
        <v>3614</v>
      </c>
      <c r="I9" s="1267" t="s">
        <v>3615</v>
      </c>
      <c r="J9" s="1041" t="s">
        <v>79</v>
      </c>
      <c r="K9" s="1041" t="s">
        <v>138</v>
      </c>
      <c r="L9" s="1267" t="s">
        <v>3616</v>
      </c>
      <c r="M9" s="1492">
        <v>45736</v>
      </c>
      <c r="N9" s="1278">
        <v>14500</v>
      </c>
      <c r="O9" s="1042" t="s">
        <v>25</v>
      </c>
      <c r="P9" s="1042" t="s">
        <v>25</v>
      </c>
      <c r="Q9" s="1306">
        <v>1</v>
      </c>
      <c r="R9" s="2453">
        <v>6600145841</v>
      </c>
      <c r="S9" s="1282">
        <v>45751</v>
      </c>
      <c r="T9" s="1278">
        <v>14500</v>
      </c>
      <c r="U9" s="1042" t="s">
        <v>28</v>
      </c>
      <c r="V9" s="1260">
        <f>Table626893456791011347[[#This Row],[Offer Value]]-Table626893456791011347[[#This Row],[PO Value]]</f>
        <v>0</v>
      </c>
      <c r="W9" s="1042"/>
      <c r="X9" s="1149"/>
      <c r="Y9" s="1127"/>
      <c r="Z9" s="1028"/>
      <c r="AA9" s="1029"/>
      <c r="AB9" s="470"/>
      <c r="AC9" s="450" t="s">
        <v>34</v>
      </c>
      <c r="AD9" s="451">
        <f>SUMIF($O$7:$O$418,"June",$N$7:$N$418)</f>
        <v>5228444</v>
      </c>
      <c r="AE9" s="451">
        <f>SUMIF($U$7:$U$418,"june",$T$7:$T$418)</f>
        <v>2303059.6</v>
      </c>
      <c r="AF9" s="864">
        <f>SUMIF($P$7:$P$441,"June",$N$7:$N$441)</f>
        <v>2500144</v>
      </c>
      <c r="AG9" s="995">
        <f t="shared" si="1"/>
        <v>197084.39999999991</v>
      </c>
    </row>
    <row r="10" spans="1:33" s="259" customFormat="1" ht="18">
      <c r="A10" s="1053">
        <f>ROW() - ROW(Table626893456791011347[[#Headers],[SL]])</f>
        <v>4</v>
      </c>
      <c r="B10" s="1490">
        <v>45708</v>
      </c>
      <c r="C10" s="1120" t="s">
        <v>1736</v>
      </c>
      <c r="D10" s="1120" t="s">
        <v>3612</v>
      </c>
      <c r="E10" s="1120" t="s">
        <v>3601</v>
      </c>
      <c r="F10" s="1041" t="s">
        <v>3617</v>
      </c>
      <c r="G10" s="1277">
        <v>9994975187</v>
      </c>
      <c r="H10" s="2394" t="s">
        <v>3618</v>
      </c>
      <c r="I10" s="1267" t="s">
        <v>3619</v>
      </c>
      <c r="J10" s="1122" t="s">
        <v>74</v>
      </c>
      <c r="K10" s="1122" t="s">
        <v>138</v>
      </c>
      <c r="L10" s="1267" t="s">
        <v>3620</v>
      </c>
      <c r="M10" s="1312">
        <v>45708</v>
      </c>
      <c r="N10" s="1243">
        <v>24800</v>
      </c>
      <c r="O10" s="1042" t="s">
        <v>18</v>
      </c>
      <c r="P10" s="1042" t="s">
        <v>18</v>
      </c>
      <c r="Q10" s="1306">
        <v>1</v>
      </c>
      <c r="R10" s="1270">
        <v>6600144137</v>
      </c>
      <c r="S10" s="1282">
        <v>45709</v>
      </c>
      <c r="T10" s="1259">
        <v>24800</v>
      </c>
      <c r="U10" s="1042" t="s">
        <v>18</v>
      </c>
      <c r="V10" s="1260">
        <f>Table626893456791011347[[#This Row],[Offer Value]]-Table626893456791011347[[#This Row],[PO Value]]</f>
        <v>0</v>
      </c>
      <c r="W10" s="1042"/>
      <c r="X10" s="1042"/>
      <c r="Y10" s="1127" t="s">
        <v>3621</v>
      </c>
      <c r="Z10" s="1028"/>
      <c r="AA10" s="1029"/>
      <c r="AB10" s="470"/>
      <c r="AC10" s="819" t="s">
        <v>37</v>
      </c>
      <c r="AD10" s="820">
        <f>SUMIF($O$7:$O$418,"July",$N$7:$N$418)</f>
        <v>3245951.7199999997</v>
      </c>
      <c r="AE10" s="820">
        <f>SUMIF($U$7:$U$418,"july",$T$7:$T$418)</f>
        <v>1091300</v>
      </c>
      <c r="AF10" s="864">
        <f>SUMIF($P$7:$P$441,"July",$N$7:$N$441)</f>
        <v>2562908</v>
      </c>
      <c r="AG10" s="995">
        <f t="shared" si="1"/>
        <v>1471608</v>
      </c>
    </row>
    <row r="11" spans="1:33" s="259" customFormat="1" ht="18">
      <c r="A11" s="1053">
        <f>ROW() - ROW(Table626893456791011347[[#Headers],[SL]])</f>
        <v>5</v>
      </c>
      <c r="B11" s="1490">
        <v>45736</v>
      </c>
      <c r="C11" s="1041" t="s">
        <v>1736</v>
      </c>
      <c r="D11" s="1120" t="s">
        <v>3612</v>
      </c>
      <c r="E11" s="1120" t="s">
        <v>3601</v>
      </c>
      <c r="F11" s="1041" t="s">
        <v>3613</v>
      </c>
      <c r="G11" s="1245">
        <v>9047900045</v>
      </c>
      <c r="H11" s="1132" t="s">
        <v>3614</v>
      </c>
      <c r="I11" s="1267" t="s">
        <v>3615</v>
      </c>
      <c r="J11" s="1041" t="s">
        <v>74</v>
      </c>
      <c r="K11" s="1041" t="s">
        <v>138</v>
      </c>
      <c r="L11" s="2376" t="s">
        <v>3616</v>
      </c>
      <c r="M11" s="1492">
        <v>45736</v>
      </c>
      <c r="N11" s="1243">
        <v>30000</v>
      </c>
      <c r="O11" s="1042" t="s">
        <v>25</v>
      </c>
      <c r="P11" s="1042" t="s">
        <v>25</v>
      </c>
      <c r="Q11" s="1306">
        <v>1</v>
      </c>
      <c r="R11" s="2453">
        <v>6800046048</v>
      </c>
      <c r="S11" s="1282" t="s">
        <v>2495</v>
      </c>
      <c r="T11" s="1042">
        <v>30000</v>
      </c>
      <c r="U11" s="1042" t="s">
        <v>25</v>
      </c>
      <c r="V11" s="1260">
        <f>Table626893456791011347[[#This Row],[Offer Value]]-Table626893456791011347[[#This Row],[PO Value]]</f>
        <v>0</v>
      </c>
      <c r="W11" s="1042"/>
      <c r="X11" s="1149"/>
      <c r="Y11" s="1127"/>
      <c r="Z11" s="1028"/>
      <c r="AA11" s="1029"/>
      <c r="AB11" s="470"/>
      <c r="AC11" s="450" t="s">
        <v>39</v>
      </c>
      <c r="AD11" s="451">
        <f>SUMIF($O$7:$O$418,"August",$N$7:$N$418)</f>
        <v>2662978</v>
      </c>
      <c r="AE11" s="451">
        <f>SUMIF($U$7:$U$418,"August",$T$7:$T$418)</f>
        <v>964755.02</v>
      </c>
      <c r="AF11" s="864">
        <f>SUMIF($P$7:$P$441,"August",$N$7:$N$441)</f>
        <v>5700035.7199999997</v>
      </c>
      <c r="AG11" s="995">
        <f t="shared" si="1"/>
        <v>4735280.6999999993</v>
      </c>
    </row>
    <row r="12" spans="1:33" s="259" customFormat="1" ht="18">
      <c r="A12" s="1517">
        <f>ROW() - ROW(Table626893456791011347[[#Headers],[SL]])</f>
        <v>6</v>
      </c>
      <c r="B12" s="1527"/>
      <c r="C12" s="1518" t="s">
        <v>3622</v>
      </c>
      <c r="D12" s="1518" t="s">
        <v>3612</v>
      </c>
      <c r="E12" s="1518" t="s">
        <v>3601</v>
      </c>
      <c r="F12" s="1519" t="s">
        <v>3350</v>
      </c>
      <c r="G12" s="1520">
        <v>9941068710</v>
      </c>
      <c r="H12" s="1529" t="s">
        <v>3623</v>
      </c>
      <c r="I12" s="2406" t="s">
        <v>3624</v>
      </c>
      <c r="J12" s="1519" t="s">
        <v>73</v>
      </c>
      <c r="K12" s="1519" t="s">
        <v>157</v>
      </c>
      <c r="L12" s="2417" t="s">
        <v>3625</v>
      </c>
      <c r="M12" s="1527">
        <v>45685</v>
      </c>
      <c r="N12" s="1530">
        <v>49250</v>
      </c>
      <c r="O12" s="1518" t="s">
        <v>7</v>
      </c>
      <c r="P12" s="1518" t="s">
        <v>28</v>
      </c>
      <c r="Q12" s="2441">
        <v>0.3</v>
      </c>
      <c r="R12" s="2460"/>
      <c r="S12" s="2470"/>
      <c r="T12" s="1525"/>
      <c r="U12" s="2479"/>
      <c r="V12" s="1526">
        <f>Table626893456791011347[[#This Row],[Offer Value]]-Table626893456791011347[[#This Row],[PO Value]]</f>
        <v>49250</v>
      </c>
      <c r="W12" s="1527" t="s">
        <v>3626</v>
      </c>
      <c r="X12" s="1518"/>
      <c r="Y12" s="1528"/>
      <c r="Z12" s="1028"/>
      <c r="AA12" s="1029"/>
      <c r="AB12" s="470"/>
      <c r="AC12" s="450" t="s">
        <v>44</v>
      </c>
      <c r="AD12" s="451">
        <f>SUMIF($O$7:$O$418,"September",$N$7:$N$418)</f>
        <v>3869956</v>
      </c>
      <c r="AE12" s="451">
        <f>SUMIF($U$7:$U$418,"September",$T$7:$T$418)</f>
        <v>2321806</v>
      </c>
      <c r="AF12" s="864">
        <f>SUMIF($P$7:$P$441,"September",$N$7:$N$441)</f>
        <v>4652140</v>
      </c>
      <c r="AG12" s="995">
        <f t="shared" si="1"/>
        <v>2330334</v>
      </c>
    </row>
    <row r="13" spans="1:33" s="259" customFormat="1" ht="31.2">
      <c r="A13" s="1053">
        <f>ROW() - ROW(Table626893456791011347[[#Headers],[SL]])</f>
        <v>7</v>
      </c>
      <c r="B13" s="1490">
        <v>45721</v>
      </c>
      <c r="C13" s="1041" t="s">
        <v>3627</v>
      </c>
      <c r="D13" s="1140" t="s">
        <v>3612</v>
      </c>
      <c r="E13" s="1120" t="s">
        <v>3601</v>
      </c>
      <c r="F13" s="1140" t="s">
        <v>3628</v>
      </c>
      <c r="G13" s="1244">
        <v>9790743230</v>
      </c>
      <c r="H13" s="1132" t="s">
        <v>3629</v>
      </c>
      <c r="I13" s="1267" t="s">
        <v>3630</v>
      </c>
      <c r="J13" s="1041" t="s">
        <v>75</v>
      </c>
      <c r="K13" s="1041" t="s">
        <v>157</v>
      </c>
      <c r="L13" s="2376" t="s">
        <v>3631</v>
      </c>
      <c r="M13" s="1492">
        <v>45721</v>
      </c>
      <c r="N13" s="1243">
        <v>51907</v>
      </c>
      <c r="O13" s="1042" t="s">
        <v>25</v>
      </c>
      <c r="P13" s="2436" t="s">
        <v>25</v>
      </c>
      <c r="Q13" s="1281">
        <v>1</v>
      </c>
      <c r="R13" s="1276">
        <v>85388734</v>
      </c>
      <c r="S13" s="2473">
        <v>45728</v>
      </c>
      <c r="T13" s="1259">
        <v>51907</v>
      </c>
      <c r="U13" s="1242" t="s">
        <v>25</v>
      </c>
      <c r="V13" s="1260">
        <f>Table626893456791011347[[#This Row],[Offer Value]]-Table626893456791011347[[#This Row],[PO Value]]</f>
        <v>0</v>
      </c>
      <c r="W13" s="2487"/>
      <c r="X13" s="1042"/>
      <c r="Y13" s="1127"/>
      <c r="Z13" s="1028"/>
      <c r="AA13" s="1029"/>
      <c r="AB13" s="470"/>
      <c r="AC13" s="450" t="s">
        <v>97</v>
      </c>
      <c r="AD13" s="451">
        <f>SUMIF($O$7:$O$418,"October",$N$7:$N$418)</f>
        <v>0</v>
      </c>
      <c r="AE13" s="451">
        <f>SUMIF($U$7:$U$418,"October",$T$7:$T$418)</f>
        <v>0</v>
      </c>
      <c r="AF13" s="864">
        <f>SUMIF($P$7:$P$441,"October",$N$7:$N$441)</f>
        <v>0</v>
      </c>
      <c r="AG13" s="995">
        <f t="shared" si="1"/>
        <v>0</v>
      </c>
    </row>
    <row r="14" spans="1:33" s="259" customFormat="1" ht="31.2">
      <c r="A14" s="1053">
        <f>ROW() - ROW(Table626893456791011347[[#Headers],[SL]])</f>
        <v>8</v>
      </c>
      <c r="B14" s="1490"/>
      <c r="C14" s="1122" t="s">
        <v>3632</v>
      </c>
      <c r="D14" s="1041" t="s">
        <v>3600</v>
      </c>
      <c r="E14" s="1041" t="s">
        <v>3601</v>
      </c>
      <c r="F14" s="1278" t="s">
        <v>3633</v>
      </c>
      <c r="G14" s="1245">
        <v>9994624042</v>
      </c>
      <c r="H14" s="1278" t="s">
        <v>3634</v>
      </c>
      <c r="I14" s="1267" t="s">
        <v>3635</v>
      </c>
      <c r="J14" s="1041" t="s">
        <v>80</v>
      </c>
      <c r="K14" s="1041" t="s">
        <v>157</v>
      </c>
      <c r="L14" s="1267" t="s">
        <v>3636</v>
      </c>
      <c r="M14" s="1302">
        <v>45628</v>
      </c>
      <c r="N14" s="1259">
        <v>58500</v>
      </c>
      <c r="O14" s="1023" t="s">
        <v>7</v>
      </c>
      <c r="P14" s="2436" t="s">
        <v>7</v>
      </c>
      <c r="Q14" s="2439">
        <v>1</v>
      </c>
      <c r="R14" s="1276" t="s">
        <v>3637</v>
      </c>
      <c r="S14" s="2467">
        <v>45667</v>
      </c>
      <c r="T14" s="1259">
        <v>56160</v>
      </c>
      <c r="U14" s="1242" t="s">
        <v>7</v>
      </c>
      <c r="V14" s="1260">
        <f>Table626893456791011347[[#This Row],[Offer Value]]-Table626893456791011347[[#This Row],[PO Value]]</f>
        <v>2340</v>
      </c>
      <c r="W14" s="2483" t="s">
        <v>3638</v>
      </c>
      <c r="X14" s="1042"/>
      <c r="Y14" s="1134"/>
      <c r="Z14" s="1028"/>
      <c r="AA14" s="1029"/>
      <c r="AB14" s="470"/>
      <c r="AC14" s="819" t="s">
        <v>49</v>
      </c>
      <c r="AD14" s="820">
        <f>SUMIF($O$7:$O$418,"November",$N$7:$N$418)</f>
        <v>434100</v>
      </c>
      <c r="AE14" s="820">
        <f>SUMIF($U$7:$U$418,"November",$T$7:$T$418)</f>
        <v>0</v>
      </c>
      <c r="AF14" s="864">
        <f>SUMIF($P$7:$P$441,"November",$N$7:$N$441)</f>
        <v>3675596</v>
      </c>
      <c r="AG14" s="995">
        <f t="shared" si="1"/>
        <v>3675596</v>
      </c>
    </row>
    <row r="15" spans="1:33" s="259" customFormat="1" ht="18">
      <c r="A15" s="289">
        <v>90</v>
      </c>
      <c r="B15" s="301">
        <v>45852</v>
      </c>
      <c r="C15" s="178" t="s">
        <v>3639</v>
      </c>
      <c r="D15" s="304" t="s">
        <v>3612</v>
      </c>
      <c r="E15" s="178" t="s">
        <v>954</v>
      </c>
      <c r="F15" s="178" t="s">
        <v>3640</v>
      </c>
      <c r="G15" s="833">
        <v>7823945177</v>
      </c>
      <c r="H15" s="1948" t="s">
        <v>3641</v>
      </c>
      <c r="I15" s="2403" t="s">
        <v>3642</v>
      </c>
      <c r="J15" s="108" t="s">
        <v>75</v>
      </c>
      <c r="K15" s="108" t="s">
        <v>157</v>
      </c>
      <c r="L15" s="1943" t="s">
        <v>3643</v>
      </c>
      <c r="M15" s="317">
        <v>45852</v>
      </c>
      <c r="N15" s="611">
        <v>72266</v>
      </c>
      <c r="O15" s="113" t="s">
        <v>37</v>
      </c>
      <c r="P15" s="2437" t="s">
        <v>39</v>
      </c>
      <c r="Q15" s="2440">
        <v>1</v>
      </c>
      <c r="R15" s="1795"/>
      <c r="S15" s="2468"/>
      <c r="T15" s="300"/>
      <c r="U15" s="801"/>
      <c r="V15" s="1951">
        <f>Table626893456791011347[[#This Row],[Offer Value]]-Table626893456791011347[[#This Row],[PO Value]]</f>
        <v>72266</v>
      </c>
      <c r="W15" s="2484"/>
      <c r="X15" s="300"/>
      <c r="Y15" s="610"/>
      <c r="Z15" s="1028"/>
      <c r="AA15" s="1029"/>
      <c r="AB15" s="470"/>
      <c r="AC15" s="450" t="s">
        <v>62</v>
      </c>
      <c r="AD15" s="451">
        <f>SUMIF($O$7:$O$418,"December",$N$7:$N$418)</f>
        <v>0</v>
      </c>
      <c r="AE15" s="451">
        <f>SUMIF($U$7:$U$418,"December",$T$7:$T$418)</f>
        <v>0</v>
      </c>
      <c r="AF15" s="864">
        <f>SUMIF($P$7:$P$441,"December",$N$7:$N$441)</f>
        <v>0</v>
      </c>
      <c r="AG15" s="995">
        <f t="shared" si="1"/>
        <v>0</v>
      </c>
    </row>
    <row r="16" spans="1:33" s="259" customFormat="1" ht="18">
      <c r="A16" s="289">
        <f>ROW() - ROW(Table626893456791011347[[#Headers],[SL]])</f>
        <v>10</v>
      </c>
      <c r="B16" s="301">
        <v>45867</v>
      </c>
      <c r="C16" s="108" t="s">
        <v>3644</v>
      </c>
      <c r="D16" s="108" t="s">
        <v>3600</v>
      </c>
      <c r="E16" s="303" t="s">
        <v>954</v>
      </c>
      <c r="F16" s="303" t="s">
        <v>2263</v>
      </c>
      <c r="G16" s="303">
        <v>9500963296</v>
      </c>
      <c r="H16" s="250" t="s">
        <v>3645</v>
      </c>
      <c r="I16" s="2411" t="s">
        <v>3646</v>
      </c>
      <c r="J16" s="178" t="s">
        <v>75</v>
      </c>
      <c r="K16" s="108" t="s">
        <v>157</v>
      </c>
      <c r="L16" s="2403" t="s">
        <v>3647</v>
      </c>
      <c r="M16" s="301">
        <v>45867</v>
      </c>
      <c r="N16" s="611">
        <v>77200</v>
      </c>
      <c r="O16" s="1957" t="str">
        <f>TEXT(Table626893456791011347[[#This Row],[Offer Reference Date]], "mmmm")</f>
        <v>July</v>
      </c>
      <c r="P16" s="805" t="s">
        <v>39</v>
      </c>
      <c r="Q16" s="2443">
        <v>1</v>
      </c>
      <c r="R16" s="1795"/>
      <c r="S16" s="2468"/>
      <c r="T16" s="300"/>
      <c r="U16" s="2481"/>
      <c r="V16" s="1958">
        <f>Table626893456791011347[[#This Row],[Offer Value]]-Table626893456791011347[[#This Row],[PO Value]]</f>
        <v>77200</v>
      </c>
      <c r="W16" s="2484"/>
      <c r="X16" s="300"/>
      <c r="Y16" s="609"/>
      <c r="Z16" s="1028"/>
      <c r="AA16" s="1029"/>
      <c r="AB16" s="470"/>
      <c r="AC16" s="450"/>
      <c r="AD16" s="451"/>
      <c r="AE16" s="451"/>
      <c r="AF16" s="864"/>
    </row>
    <row r="17" spans="1:28" s="259" customFormat="1" ht="18">
      <c r="A17" s="118">
        <v>89</v>
      </c>
      <c r="B17" s="2504">
        <v>45842</v>
      </c>
      <c r="C17" s="120" t="s">
        <v>3648</v>
      </c>
      <c r="D17" s="113" t="s">
        <v>3612</v>
      </c>
      <c r="E17" s="120" t="s">
        <v>954</v>
      </c>
      <c r="F17" s="120" t="s">
        <v>3649</v>
      </c>
      <c r="G17" s="833">
        <v>7823945177</v>
      </c>
      <c r="H17" s="1950" t="s">
        <v>3650</v>
      </c>
      <c r="I17" s="1744" t="s">
        <v>3635</v>
      </c>
      <c r="J17" s="1404" t="s">
        <v>73</v>
      </c>
      <c r="K17" s="1404" t="s">
        <v>138</v>
      </c>
      <c r="L17" s="2414" t="s">
        <v>3651</v>
      </c>
      <c r="M17" s="125">
        <v>45842</v>
      </c>
      <c r="N17" s="611">
        <v>80800</v>
      </c>
      <c r="O17" s="2207" t="str">
        <f>TEXT(Table626893456791011347[[#This Row],[Offer Reference Date]], "mmmm")</f>
        <v>July</v>
      </c>
      <c r="P17" s="2435" t="s">
        <v>44</v>
      </c>
      <c r="Q17" s="2438">
        <v>1</v>
      </c>
      <c r="R17" s="2450"/>
      <c r="S17" s="2466"/>
      <c r="T17" s="2206"/>
      <c r="U17" s="2478" t="str">
        <f>TEXT(Table626893456791011347[[#This Row],[PO Date]], "mmmm")</f>
        <v>January</v>
      </c>
      <c r="V17" s="2208">
        <f>Table626893456791011347[[#This Row],[PO Value]]-Table626893456791011347[[#This Row],[Offer Value]]</f>
        <v>-80800</v>
      </c>
      <c r="W17" s="2482"/>
      <c r="X17" s="119"/>
      <c r="Y17" s="2206"/>
      <c r="Z17" s="1028"/>
      <c r="AA17" s="1029"/>
      <c r="AB17" s="470"/>
    </row>
    <row r="18" spans="1:28" s="259" customFormat="1" ht="18">
      <c r="A18" s="1053">
        <f>ROW() - ROW(Table626893456791011347[[#Headers],[SL]])</f>
        <v>12</v>
      </c>
      <c r="B18" s="1490">
        <v>45667</v>
      </c>
      <c r="C18" s="1041" t="s">
        <v>3652</v>
      </c>
      <c r="D18" s="1041" t="s">
        <v>3612</v>
      </c>
      <c r="E18" s="1041" t="s">
        <v>3601</v>
      </c>
      <c r="F18" s="1041" t="s">
        <v>3653</v>
      </c>
      <c r="G18" s="1277">
        <v>7824872375</v>
      </c>
      <c r="H18" s="1139" t="s">
        <v>3654</v>
      </c>
      <c r="I18" s="1278" t="s">
        <v>3655</v>
      </c>
      <c r="J18" s="1041" t="s">
        <v>73</v>
      </c>
      <c r="K18" s="1041" t="s">
        <v>138</v>
      </c>
      <c r="L18" s="1041" t="s">
        <v>3656</v>
      </c>
      <c r="M18" s="1279">
        <v>45667</v>
      </c>
      <c r="N18" s="1280">
        <v>86350</v>
      </c>
      <c r="O18" s="1023" t="s">
        <v>7</v>
      </c>
      <c r="P18" s="1026" t="s">
        <v>18</v>
      </c>
      <c r="Q18" s="1281">
        <v>0.6</v>
      </c>
      <c r="R18" s="1276">
        <v>4800012618</v>
      </c>
      <c r="S18" s="1282">
        <v>45673</v>
      </c>
      <c r="T18" s="1259">
        <v>86350</v>
      </c>
      <c r="U18" s="1242" t="s">
        <v>18</v>
      </c>
      <c r="V18" s="1260">
        <f>Table626893456791011347[[#This Row],[Offer Value]]-Table626893456791011347[[#This Row],[PO Value]]</f>
        <v>0</v>
      </c>
      <c r="W18" s="1283"/>
      <c r="X18" s="1042"/>
      <c r="Y18" s="1127"/>
      <c r="Z18" s="1128"/>
      <c r="AA18" s="1278"/>
      <c r="AB18" s="470"/>
    </row>
    <row r="19" spans="1:28" s="259" customFormat="1" ht="31.2">
      <c r="A19" s="1042">
        <f>ROW() - ROW(Table626893456791011347[[#Headers],[SL]])</f>
        <v>13</v>
      </c>
      <c r="B19" s="1490">
        <v>45685</v>
      </c>
      <c r="C19" s="1122" t="s">
        <v>3599</v>
      </c>
      <c r="D19" s="1120" t="s">
        <v>3600</v>
      </c>
      <c r="E19" s="1120" t="s">
        <v>3601</v>
      </c>
      <c r="F19" s="1120" t="s">
        <v>3602</v>
      </c>
      <c r="G19" s="1309">
        <v>8754033997</v>
      </c>
      <c r="H19" s="1169" t="s">
        <v>3603</v>
      </c>
      <c r="I19" s="1278" t="s">
        <v>3604</v>
      </c>
      <c r="J19" s="1041" t="s">
        <v>75</v>
      </c>
      <c r="K19" s="1041" t="s">
        <v>157</v>
      </c>
      <c r="L19" s="1310" t="s">
        <v>3657</v>
      </c>
      <c r="M19" s="1124">
        <v>45685</v>
      </c>
      <c r="N19" s="1042">
        <v>86400</v>
      </c>
      <c r="O19" s="1042" t="s">
        <v>7</v>
      </c>
      <c r="P19" s="1042" t="s">
        <v>7</v>
      </c>
      <c r="Q19" s="2442">
        <v>1</v>
      </c>
      <c r="R19" s="1276">
        <v>4504704568</v>
      </c>
      <c r="S19" s="2472">
        <v>45685</v>
      </c>
      <c r="T19" s="1259">
        <v>82944</v>
      </c>
      <c r="U19" s="2480" t="s">
        <v>7</v>
      </c>
      <c r="V19" s="1260">
        <f>Table626893456791011347[[#This Row],[Offer Value]]-Table626893456791011347[[#This Row],[PO Value]]</f>
        <v>3456</v>
      </c>
      <c r="W19" s="1126" t="s">
        <v>3658</v>
      </c>
      <c r="X19" s="1042"/>
      <c r="Y19" s="1138">
        <v>45993</v>
      </c>
      <c r="Z19" s="1128"/>
      <c r="AA19" s="1278"/>
      <c r="AB19" s="470"/>
    </row>
    <row r="20" spans="1:28" s="821" customFormat="1" ht="18" customHeight="1">
      <c r="A20" s="1262">
        <f>ROW() - ROW(Table626893456791011347[[#Headers],[SL]])</f>
        <v>14</v>
      </c>
      <c r="B20" s="2503">
        <v>45663</v>
      </c>
      <c r="C20" s="1264" t="s">
        <v>3659</v>
      </c>
      <c r="D20" s="1253" t="s">
        <v>3612</v>
      </c>
      <c r="E20" s="1264" t="s">
        <v>2673</v>
      </c>
      <c r="F20" s="1264" t="s">
        <v>3660</v>
      </c>
      <c r="G20" s="1265">
        <v>7823945161</v>
      </c>
      <c r="H20" s="1266" t="s">
        <v>3661</v>
      </c>
      <c r="I20" s="1278" t="s">
        <v>3642</v>
      </c>
      <c r="J20" s="1268" t="s">
        <v>73</v>
      </c>
      <c r="K20" s="1268" t="s">
        <v>138</v>
      </c>
      <c r="L20" s="1278" t="s">
        <v>3662</v>
      </c>
      <c r="M20" s="1263">
        <v>45663</v>
      </c>
      <c r="N20" s="1256">
        <v>86500</v>
      </c>
      <c r="O20" s="1257" t="s">
        <v>7</v>
      </c>
      <c r="P20" s="1257" t="s">
        <v>7</v>
      </c>
      <c r="Q20" s="1258">
        <v>1</v>
      </c>
      <c r="R20" s="1276" t="s">
        <v>3663</v>
      </c>
      <c r="S20" s="1286">
        <v>45679</v>
      </c>
      <c r="T20" s="1259">
        <v>86500</v>
      </c>
      <c r="U20" s="1272" t="str">
        <f>TEXT(Table626893456791011347[[#This Row],[PO Date]], "mmmm")</f>
        <v>January</v>
      </c>
      <c r="V20" s="1260">
        <f>Table626893456791011347[[#This Row],[Offer Value]]-Table626893456791011347[[#This Row],[PO Value]]</f>
        <v>0</v>
      </c>
      <c r="W20" s="1273"/>
      <c r="X20" s="1274"/>
      <c r="Y20" s="1275" t="s">
        <v>3664</v>
      </c>
      <c r="Z20" s="1128"/>
      <c r="AA20" s="1278"/>
      <c r="AB20" s="818"/>
    </row>
    <row r="21" spans="1:28" s="259" customFormat="1" ht="18">
      <c r="A21" s="1262">
        <f>ROW() - ROW(Table626893456791011347[[#Headers],[SL]])</f>
        <v>15</v>
      </c>
      <c r="B21" s="2505"/>
      <c r="C21" s="1264" t="s">
        <v>3659</v>
      </c>
      <c r="D21" s="1253" t="s">
        <v>3612</v>
      </c>
      <c r="E21" s="1264" t="s">
        <v>2673</v>
      </c>
      <c r="F21" s="1264" t="s">
        <v>3660</v>
      </c>
      <c r="G21" s="1265">
        <v>7823945161</v>
      </c>
      <c r="H21" s="1266" t="s">
        <v>3661</v>
      </c>
      <c r="I21" s="1278" t="s">
        <v>3665</v>
      </c>
      <c r="J21" s="1268" t="s">
        <v>73</v>
      </c>
      <c r="K21" s="1268" t="s">
        <v>138</v>
      </c>
      <c r="L21" s="1278" t="s">
        <v>3662</v>
      </c>
      <c r="M21" s="1263">
        <v>45663</v>
      </c>
      <c r="N21" s="1256">
        <v>86500</v>
      </c>
      <c r="O21" s="1257" t="s">
        <v>7</v>
      </c>
      <c r="P21" s="1257" t="s">
        <v>7</v>
      </c>
      <c r="Q21" s="1258">
        <v>1</v>
      </c>
      <c r="R21" s="1276" t="s">
        <v>3663</v>
      </c>
      <c r="S21" s="1286">
        <v>45679</v>
      </c>
      <c r="T21" s="1259">
        <v>86500</v>
      </c>
      <c r="U21" s="1272" t="str">
        <f>TEXT(Table626893456791011347[[#This Row],[PO Date]], "mmmm")</f>
        <v>January</v>
      </c>
      <c r="V21" s="1260">
        <f>Table626893456791011347[[#This Row],[Offer Value]]-Table626893456791011347[[#This Row],[PO Value]]</f>
        <v>0</v>
      </c>
      <c r="W21" s="1273"/>
      <c r="X21" s="1274"/>
      <c r="Y21" s="1275" t="s">
        <v>3664</v>
      </c>
      <c r="Z21" s="1128"/>
      <c r="AA21" s="1278"/>
      <c r="AB21" s="470"/>
    </row>
    <row r="22" spans="1:28" s="259" customFormat="1" ht="18">
      <c r="A22" s="1262">
        <f>ROW() - ROW(Table626893456791011347[[#Headers],[SL]])</f>
        <v>16</v>
      </c>
      <c r="B22" s="2505"/>
      <c r="C22" s="1264" t="s">
        <v>3659</v>
      </c>
      <c r="D22" s="1253" t="s">
        <v>3612</v>
      </c>
      <c r="E22" s="1264" t="s">
        <v>2673</v>
      </c>
      <c r="F22" s="1264" t="s">
        <v>3660</v>
      </c>
      <c r="G22" s="1265">
        <v>7823945161</v>
      </c>
      <c r="H22" s="1266" t="s">
        <v>3661</v>
      </c>
      <c r="I22" s="1278" t="s">
        <v>3666</v>
      </c>
      <c r="J22" s="1268" t="s">
        <v>73</v>
      </c>
      <c r="K22" s="1268" t="s">
        <v>138</v>
      </c>
      <c r="L22" s="1278" t="s">
        <v>3662</v>
      </c>
      <c r="M22" s="1263">
        <v>45663</v>
      </c>
      <c r="N22" s="1256">
        <v>86500</v>
      </c>
      <c r="O22" s="1257" t="s">
        <v>7</v>
      </c>
      <c r="P22" s="1257" t="s">
        <v>7</v>
      </c>
      <c r="Q22" s="1258">
        <v>1</v>
      </c>
      <c r="R22" s="1276" t="s">
        <v>3663</v>
      </c>
      <c r="S22" s="1286">
        <v>45679</v>
      </c>
      <c r="T22" s="1259">
        <v>86500</v>
      </c>
      <c r="U22" s="1272" t="str">
        <f>TEXT(Table626893456791011347[[#This Row],[PO Date]], "mmmm")</f>
        <v>January</v>
      </c>
      <c r="V22" s="1260">
        <f>Table626893456791011347[[#This Row],[Offer Value]]-Table626893456791011347[[#This Row],[PO Value]]</f>
        <v>0</v>
      </c>
      <c r="W22" s="1273"/>
      <c r="X22" s="1274"/>
      <c r="Y22" s="1275" t="s">
        <v>3664</v>
      </c>
      <c r="Z22" s="1128"/>
      <c r="AA22" s="1298"/>
      <c r="AB22" s="470"/>
    </row>
    <row r="23" spans="1:28" s="259" customFormat="1" ht="18">
      <c r="A23" s="1020">
        <f>ROW() - ROW(Table626893456791011347[[#Headers],[SL]])</f>
        <v>17</v>
      </c>
      <c r="B23" s="2506">
        <v>45668</v>
      </c>
      <c r="C23" s="1253" t="s">
        <v>1736</v>
      </c>
      <c r="D23" s="1253" t="s">
        <v>3612</v>
      </c>
      <c r="E23" s="1253" t="s">
        <v>954</v>
      </c>
      <c r="F23" s="1153" t="s">
        <v>3613</v>
      </c>
      <c r="G23" s="1254">
        <v>4254306253</v>
      </c>
      <c r="H23" s="7" t="s">
        <v>3667</v>
      </c>
      <c r="I23" s="1201" t="s">
        <v>3615</v>
      </c>
      <c r="J23" s="1253" t="s">
        <v>75</v>
      </c>
      <c r="K23" s="1253" t="s">
        <v>157</v>
      </c>
      <c r="L23" s="1255" t="s">
        <v>3668</v>
      </c>
      <c r="M23" s="1251">
        <v>45535</v>
      </c>
      <c r="N23" s="1256">
        <v>88000</v>
      </c>
      <c r="O23" s="1257" t="s">
        <v>7</v>
      </c>
      <c r="P23" s="1257" t="s">
        <v>7</v>
      </c>
      <c r="Q23" s="1258">
        <v>1</v>
      </c>
      <c r="R23" s="2452">
        <v>6800043360</v>
      </c>
      <c r="S23" s="1402">
        <v>45331</v>
      </c>
      <c r="T23" s="1259">
        <v>88000</v>
      </c>
      <c r="U23" s="1159" t="s">
        <v>7</v>
      </c>
      <c r="V23" s="1260">
        <f>Table626893456791011347[[#This Row],[Offer Value]]-Table626893456791011347[[#This Row],[PO Value]]</f>
        <v>0</v>
      </c>
      <c r="W23" s="1261" t="s">
        <v>3606</v>
      </c>
      <c r="X23" s="1023"/>
      <c r="Y23" s="1138" t="s">
        <v>1348</v>
      </c>
      <c r="Z23" s="1128"/>
      <c r="AA23" s="1129"/>
      <c r="AB23" s="470"/>
    </row>
    <row r="24" spans="1:28" s="821" customFormat="1" ht="18">
      <c r="A24" s="1053">
        <f>ROW() - ROW(Table626893456791011347[[#Headers],[SL]])</f>
        <v>18</v>
      </c>
      <c r="B24" s="2506">
        <v>45668</v>
      </c>
      <c r="C24" s="1252" t="s">
        <v>3669</v>
      </c>
      <c r="D24" s="1289" t="s">
        <v>3670</v>
      </c>
      <c r="E24" s="1289" t="s">
        <v>1730</v>
      </c>
      <c r="F24" s="1250" t="s">
        <v>3671</v>
      </c>
      <c r="G24" s="1290">
        <v>6300493996</v>
      </c>
      <c r="H24" s="1289" t="s">
        <v>3672</v>
      </c>
      <c r="I24" s="1247" t="s">
        <v>3673</v>
      </c>
      <c r="J24" s="1247" t="s">
        <v>73</v>
      </c>
      <c r="K24" s="1247" t="s">
        <v>138</v>
      </c>
      <c r="L24" s="1291" t="s">
        <v>3674</v>
      </c>
      <c r="M24" s="1286">
        <v>45572</v>
      </c>
      <c r="N24" s="1292">
        <v>88500</v>
      </c>
      <c r="O24" s="1023" t="s">
        <v>7</v>
      </c>
      <c r="P24" s="1293" t="s">
        <v>7</v>
      </c>
      <c r="Q24" s="1294">
        <v>1</v>
      </c>
      <c r="R24" s="1276" t="s">
        <v>3675</v>
      </c>
      <c r="S24" s="1295">
        <v>45483</v>
      </c>
      <c r="T24" s="1259">
        <v>88500</v>
      </c>
      <c r="U24" s="1249" t="s">
        <v>7</v>
      </c>
      <c r="V24" s="1260">
        <f>Table626893456791011347[[#This Row],[Offer Value]]-Table626893456791011347[[#This Row],[PO Value]]</f>
        <v>0</v>
      </c>
      <c r="W24" s="1261" t="s">
        <v>3606</v>
      </c>
      <c r="X24" s="1042"/>
      <c r="Y24" s="1126" t="s">
        <v>1348</v>
      </c>
      <c r="Z24" s="1128"/>
      <c r="AA24" s="1129"/>
      <c r="AB24" s="818"/>
    </row>
    <row r="25" spans="1:28" s="259" customFormat="1" ht="31.2">
      <c r="A25" s="1262">
        <f>ROW() - ROW(Table626893456791011347[[#Headers],[SL]])</f>
        <v>19</v>
      </c>
      <c r="B25" s="2503">
        <v>45663</v>
      </c>
      <c r="C25" s="1041" t="s">
        <v>3676</v>
      </c>
      <c r="D25" s="1253" t="s">
        <v>3612</v>
      </c>
      <c r="E25" s="1264" t="s">
        <v>3677</v>
      </c>
      <c r="F25" s="1264" t="s">
        <v>3678</v>
      </c>
      <c r="G25" s="1265">
        <v>9445204702</v>
      </c>
      <c r="H25" s="1266" t="s">
        <v>3679</v>
      </c>
      <c r="I25" s="1278" t="s">
        <v>3680</v>
      </c>
      <c r="J25" s="1268" t="s">
        <v>73</v>
      </c>
      <c r="K25" s="1268" t="s">
        <v>138</v>
      </c>
      <c r="L25" s="1278" t="s">
        <v>3681</v>
      </c>
      <c r="M25" s="1269">
        <v>45663</v>
      </c>
      <c r="N25" s="1256">
        <v>88511</v>
      </c>
      <c r="O25" s="1257" t="s">
        <v>7</v>
      </c>
      <c r="P25" s="1257" t="s">
        <v>7</v>
      </c>
      <c r="Q25" s="1258">
        <v>1</v>
      </c>
      <c r="R25" s="1276">
        <v>6100031235</v>
      </c>
      <c r="S25" s="1271">
        <v>45688</v>
      </c>
      <c r="T25" s="1259">
        <v>88511</v>
      </c>
      <c r="U25" s="1272" t="str">
        <f>TEXT(Table626893456791011347[[#This Row],[PO Date]], "mmmm")</f>
        <v>January</v>
      </c>
      <c r="V25" s="1260">
        <f>Table626893456791011347[[#This Row],[Offer Value]]-Table626893456791011347[[#This Row],[PO Value]]</f>
        <v>0</v>
      </c>
      <c r="W25" s="1273"/>
      <c r="X25" s="1274"/>
      <c r="Y25" s="1275" t="s">
        <v>1348</v>
      </c>
      <c r="Z25" s="1128"/>
      <c r="AA25" s="1129"/>
      <c r="AB25" s="470"/>
    </row>
    <row r="26" spans="1:28" s="259" customFormat="1" ht="31.2">
      <c r="A26" s="1262">
        <f>ROW() - ROW(Table626893456791011347[[#Headers],[SL]])</f>
        <v>20</v>
      </c>
      <c r="B26" s="2505"/>
      <c r="C26" s="1041" t="s">
        <v>3676</v>
      </c>
      <c r="D26" s="1253" t="s">
        <v>3612</v>
      </c>
      <c r="E26" s="1264" t="s">
        <v>3677</v>
      </c>
      <c r="F26" s="1264" t="s">
        <v>3678</v>
      </c>
      <c r="G26" s="1265">
        <v>9445204702</v>
      </c>
      <c r="H26" s="1266" t="s">
        <v>3679</v>
      </c>
      <c r="I26" s="1278" t="s">
        <v>3682</v>
      </c>
      <c r="J26" s="1268" t="s">
        <v>73</v>
      </c>
      <c r="K26" s="1268" t="s">
        <v>138</v>
      </c>
      <c r="L26" s="1278" t="s">
        <v>3681</v>
      </c>
      <c r="M26" s="1269">
        <v>45663</v>
      </c>
      <c r="N26" s="1256">
        <v>88511</v>
      </c>
      <c r="O26" s="1257" t="s">
        <v>7</v>
      </c>
      <c r="P26" s="1257" t="s">
        <v>7</v>
      </c>
      <c r="Q26" s="1258">
        <v>1</v>
      </c>
      <c r="R26" s="1276">
        <v>6100031235</v>
      </c>
      <c r="S26" s="1271">
        <v>45688</v>
      </c>
      <c r="T26" s="1259">
        <v>88511</v>
      </c>
      <c r="U26" s="1272" t="str">
        <f>TEXT(Table626893456791011347[[#This Row],[PO Date]], "mmmm")</f>
        <v>January</v>
      </c>
      <c r="V26" s="1260">
        <f>Table626893456791011347[[#This Row],[Offer Value]]-Table626893456791011347[[#This Row],[PO Value]]</f>
        <v>0</v>
      </c>
      <c r="W26" s="1273"/>
      <c r="X26" s="1274"/>
      <c r="Y26" s="1275" t="s">
        <v>1348</v>
      </c>
      <c r="Z26" s="1128"/>
      <c r="AA26" s="1129"/>
      <c r="AB26" s="470"/>
    </row>
    <row r="27" spans="1:28" s="259" customFormat="1" ht="31.2">
      <c r="A27" s="1262">
        <f>ROW() - ROW(Table626893456791011347[[#Headers],[SL]])</f>
        <v>21</v>
      </c>
      <c r="B27" s="2505"/>
      <c r="C27" s="1041" t="s">
        <v>3676</v>
      </c>
      <c r="D27" s="1253" t="s">
        <v>3612</v>
      </c>
      <c r="E27" s="1264" t="s">
        <v>3677</v>
      </c>
      <c r="F27" s="1264" t="s">
        <v>3678</v>
      </c>
      <c r="G27" s="1265">
        <v>9445204702</v>
      </c>
      <c r="H27" s="1266" t="s">
        <v>3679</v>
      </c>
      <c r="I27" s="1278" t="s">
        <v>3683</v>
      </c>
      <c r="J27" s="1268" t="s">
        <v>73</v>
      </c>
      <c r="K27" s="1268" t="s">
        <v>138</v>
      </c>
      <c r="L27" s="1278" t="s">
        <v>3681</v>
      </c>
      <c r="M27" s="1269">
        <v>45663</v>
      </c>
      <c r="N27" s="1256">
        <v>88511</v>
      </c>
      <c r="O27" s="1257" t="s">
        <v>7</v>
      </c>
      <c r="P27" s="1257" t="s">
        <v>7</v>
      </c>
      <c r="Q27" s="1258">
        <v>1</v>
      </c>
      <c r="R27" s="1276">
        <v>6100031235</v>
      </c>
      <c r="S27" s="1271">
        <v>45688</v>
      </c>
      <c r="T27" s="1259">
        <v>88511</v>
      </c>
      <c r="U27" s="1272" t="str">
        <f>TEXT(Table626893456791011347[[#This Row],[PO Date]], "mmmm")</f>
        <v>January</v>
      </c>
      <c r="V27" s="1260">
        <f>Table626893456791011347[[#This Row],[Offer Value]]-Table626893456791011347[[#This Row],[PO Value]]</f>
        <v>0</v>
      </c>
      <c r="W27" s="1273"/>
      <c r="X27" s="1274"/>
      <c r="Y27" s="1275" t="s">
        <v>1348</v>
      </c>
      <c r="Z27" s="1128"/>
      <c r="AA27" s="1129"/>
    </row>
    <row r="28" spans="1:28" s="259" customFormat="1" ht="31.2">
      <c r="A28" s="1262">
        <f>ROW() - ROW(Table626893456791011347[[#Headers],[SL]])</f>
        <v>22</v>
      </c>
      <c r="B28" s="2505"/>
      <c r="C28" s="1041" t="s">
        <v>3676</v>
      </c>
      <c r="D28" s="1253" t="s">
        <v>3612</v>
      </c>
      <c r="E28" s="1264" t="s">
        <v>3677</v>
      </c>
      <c r="F28" s="1264" t="s">
        <v>3678</v>
      </c>
      <c r="G28" s="1265">
        <v>9445204702</v>
      </c>
      <c r="H28" s="1266" t="s">
        <v>3679</v>
      </c>
      <c r="I28" s="1278" t="s">
        <v>3684</v>
      </c>
      <c r="J28" s="1268" t="s">
        <v>73</v>
      </c>
      <c r="K28" s="1268" t="s">
        <v>138</v>
      </c>
      <c r="L28" s="1278" t="s">
        <v>3681</v>
      </c>
      <c r="M28" s="1269">
        <v>45663</v>
      </c>
      <c r="N28" s="1256">
        <v>88511</v>
      </c>
      <c r="O28" s="1257" t="s">
        <v>7</v>
      </c>
      <c r="P28" s="1257" t="s">
        <v>7</v>
      </c>
      <c r="Q28" s="1258">
        <v>1</v>
      </c>
      <c r="R28" s="1276">
        <v>6100031235</v>
      </c>
      <c r="S28" s="1271">
        <v>45688</v>
      </c>
      <c r="T28" s="1259">
        <v>88511</v>
      </c>
      <c r="U28" s="1272" t="str">
        <f>TEXT(Table626893456791011347[[#This Row],[PO Date]], "mmmm")</f>
        <v>January</v>
      </c>
      <c r="V28" s="1260">
        <f>Table626893456791011347[[#This Row],[Offer Value]]-Table626893456791011347[[#This Row],[PO Value]]</f>
        <v>0</v>
      </c>
      <c r="W28" s="1273"/>
      <c r="X28" s="1274"/>
      <c r="Y28" s="1275" t="s">
        <v>1348</v>
      </c>
      <c r="Z28" s="1128"/>
      <c r="AA28" s="1141"/>
    </row>
    <row r="29" spans="1:28" s="259" customFormat="1" ht="31.2">
      <c r="A29" s="1262">
        <f>ROW() - ROW(Table626893456791011347[[#Headers],[SL]])</f>
        <v>23</v>
      </c>
      <c r="B29" s="2505"/>
      <c r="C29" s="1041" t="s">
        <v>3676</v>
      </c>
      <c r="D29" s="1253" t="s">
        <v>3612</v>
      </c>
      <c r="E29" s="1264" t="s">
        <v>3677</v>
      </c>
      <c r="F29" s="1264" t="s">
        <v>3678</v>
      </c>
      <c r="G29" s="1265">
        <v>9445204702</v>
      </c>
      <c r="H29" s="1266" t="s">
        <v>3679</v>
      </c>
      <c r="I29" s="1278" t="s">
        <v>3685</v>
      </c>
      <c r="J29" s="1268" t="s">
        <v>73</v>
      </c>
      <c r="K29" s="1268" t="s">
        <v>138</v>
      </c>
      <c r="L29" s="1278" t="s">
        <v>3681</v>
      </c>
      <c r="M29" s="1269">
        <v>45663</v>
      </c>
      <c r="N29" s="1256">
        <v>88511</v>
      </c>
      <c r="O29" s="1257" t="s">
        <v>7</v>
      </c>
      <c r="P29" s="1257" t="s">
        <v>7</v>
      </c>
      <c r="Q29" s="1258">
        <v>1</v>
      </c>
      <c r="R29" s="1276">
        <v>6100031235</v>
      </c>
      <c r="S29" s="1271">
        <v>45688</v>
      </c>
      <c r="T29" s="1259">
        <v>88511</v>
      </c>
      <c r="U29" s="1272" t="str">
        <f>TEXT(Table626893456791011347[[#This Row],[PO Date]], "mmmm")</f>
        <v>January</v>
      </c>
      <c r="V29" s="1260">
        <f>Table626893456791011347[[#This Row],[Offer Value]]-Table626893456791011347[[#This Row],[PO Value]]</f>
        <v>0</v>
      </c>
      <c r="W29" s="1273"/>
      <c r="X29" s="1274"/>
      <c r="Y29" s="1275" t="s">
        <v>1348</v>
      </c>
      <c r="Z29" s="1128"/>
      <c r="AA29" s="1141"/>
    </row>
    <row r="30" spans="1:28" s="259" customFormat="1" ht="31.2">
      <c r="A30" s="1262">
        <f>ROW() - ROW(Table626893456791011347[[#Headers],[SL]])</f>
        <v>24</v>
      </c>
      <c r="B30" s="2505"/>
      <c r="C30" s="1041" t="s">
        <v>3676</v>
      </c>
      <c r="D30" s="1253" t="s">
        <v>3612</v>
      </c>
      <c r="E30" s="1264" t="s">
        <v>3677</v>
      </c>
      <c r="F30" s="1264" t="s">
        <v>3678</v>
      </c>
      <c r="G30" s="1265">
        <v>9445204702</v>
      </c>
      <c r="H30" s="1266" t="s">
        <v>3679</v>
      </c>
      <c r="I30" s="1278" t="s">
        <v>3686</v>
      </c>
      <c r="J30" s="1268" t="s">
        <v>73</v>
      </c>
      <c r="K30" s="1268" t="s">
        <v>138</v>
      </c>
      <c r="L30" s="1278" t="s">
        <v>3681</v>
      </c>
      <c r="M30" s="1269">
        <v>45663</v>
      </c>
      <c r="N30" s="1256">
        <v>88511</v>
      </c>
      <c r="O30" s="1257" t="s">
        <v>7</v>
      </c>
      <c r="P30" s="1257" t="s">
        <v>7</v>
      </c>
      <c r="Q30" s="1258">
        <v>1</v>
      </c>
      <c r="R30" s="1276">
        <v>6100031235</v>
      </c>
      <c r="S30" s="1271">
        <v>45688</v>
      </c>
      <c r="T30" s="1259">
        <v>88511</v>
      </c>
      <c r="U30" s="1272" t="str">
        <f>TEXT(Table626893456791011347[[#This Row],[PO Date]], "mmmm")</f>
        <v>January</v>
      </c>
      <c r="V30" s="1260">
        <f>Table626893456791011347[[#This Row],[Offer Value]]-Table626893456791011347[[#This Row],[PO Value]]</f>
        <v>0</v>
      </c>
      <c r="W30" s="1273"/>
      <c r="X30" s="1274"/>
      <c r="Y30" s="1275" t="s">
        <v>1348</v>
      </c>
      <c r="Z30" s="1128"/>
      <c r="AA30" s="1141"/>
    </row>
    <row r="31" spans="1:28" s="259" customFormat="1" ht="18">
      <c r="A31" s="1498">
        <f>ROW() - ROW(Table626893456791011347[[#Headers],[SL]])</f>
        <v>25</v>
      </c>
      <c r="B31" s="1492">
        <v>45770</v>
      </c>
      <c r="C31" s="1140" t="s">
        <v>1736</v>
      </c>
      <c r="D31" s="1140" t="s">
        <v>3612</v>
      </c>
      <c r="E31" s="1140" t="s">
        <v>3601</v>
      </c>
      <c r="F31" s="1041" t="s">
        <v>3617</v>
      </c>
      <c r="G31" s="1277">
        <v>9994975187</v>
      </c>
      <c r="H31" s="1142" t="s">
        <v>3618</v>
      </c>
      <c r="I31" s="1920" t="s">
        <v>3619</v>
      </c>
      <c r="J31" s="1041" t="s">
        <v>73</v>
      </c>
      <c r="K31" s="1041" t="s">
        <v>138</v>
      </c>
      <c r="L31" s="1930" t="s">
        <v>3687</v>
      </c>
      <c r="M31" s="1492">
        <v>45770</v>
      </c>
      <c r="N31" s="1244">
        <v>89500</v>
      </c>
      <c r="O31" s="1140" t="s">
        <v>28</v>
      </c>
      <c r="P31" s="1140" t="s">
        <v>28</v>
      </c>
      <c r="Q31" s="1500">
        <v>1</v>
      </c>
      <c r="R31" s="1276">
        <v>6800046962</v>
      </c>
      <c r="S31" s="1490">
        <v>45786</v>
      </c>
      <c r="T31" s="1042">
        <v>85000</v>
      </c>
      <c r="U31" s="1042" t="s">
        <v>30</v>
      </c>
      <c r="V31" s="1260">
        <f>Table626893456791011347[[#This Row],[Offer Value]]-Table626893456791011347[[#This Row],[PO Value]]</f>
        <v>4500</v>
      </c>
      <c r="W31" s="1042"/>
      <c r="X31" s="1042"/>
      <c r="Y31" s="1134"/>
      <c r="Z31" s="1128"/>
      <c r="AA31" s="1141"/>
    </row>
    <row r="32" spans="1:28" s="259" customFormat="1" ht="18">
      <c r="A32" s="1498">
        <f>ROW() - ROW(Table626893456791011347[[#Headers],[SL]])</f>
        <v>26</v>
      </c>
      <c r="B32" s="1492"/>
      <c r="C32" s="1140" t="s">
        <v>1736</v>
      </c>
      <c r="D32" s="1140" t="s">
        <v>3612</v>
      </c>
      <c r="E32" s="1140" t="s">
        <v>3601</v>
      </c>
      <c r="F32" s="1041" t="s">
        <v>3617</v>
      </c>
      <c r="G32" s="1277">
        <v>9994975187</v>
      </c>
      <c r="H32" s="1142" t="s">
        <v>3618</v>
      </c>
      <c r="I32" s="1928" t="s">
        <v>3688</v>
      </c>
      <c r="J32" s="1041" t="s">
        <v>73</v>
      </c>
      <c r="K32" s="1041" t="s">
        <v>138</v>
      </c>
      <c r="L32" s="1930" t="s">
        <v>3687</v>
      </c>
      <c r="M32" s="1492">
        <v>45770</v>
      </c>
      <c r="N32" s="1244">
        <v>89500</v>
      </c>
      <c r="O32" s="1140" t="s">
        <v>28</v>
      </c>
      <c r="P32" s="1140" t="s">
        <v>28</v>
      </c>
      <c r="Q32" s="1500">
        <v>1</v>
      </c>
      <c r="R32" s="1276">
        <v>6800046959</v>
      </c>
      <c r="S32" s="1490">
        <v>45786</v>
      </c>
      <c r="T32" s="1042">
        <v>85000</v>
      </c>
      <c r="U32" s="1042" t="s">
        <v>30</v>
      </c>
      <c r="V32" s="1260">
        <f>Table626893456791011347[[#This Row],[Offer Value]]-Table626893456791011347[[#This Row],[PO Value]]</f>
        <v>4500</v>
      </c>
      <c r="W32" s="1042"/>
      <c r="X32" s="1042"/>
      <c r="Y32" s="1134"/>
      <c r="Z32" s="257"/>
      <c r="AA32" s="594"/>
    </row>
    <row r="33" spans="1:27" s="259" customFormat="1" ht="18">
      <c r="A33" s="1498">
        <f>ROW() - ROW(Table626893456791011347[[#Headers],[SL]])</f>
        <v>27</v>
      </c>
      <c r="B33" s="1492"/>
      <c r="C33" s="1140" t="s">
        <v>1736</v>
      </c>
      <c r="D33" s="1140" t="s">
        <v>3612</v>
      </c>
      <c r="E33" s="1140" t="s">
        <v>3601</v>
      </c>
      <c r="F33" s="1041" t="s">
        <v>3617</v>
      </c>
      <c r="G33" s="1277">
        <v>9994975187</v>
      </c>
      <c r="H33" s="1142" t="s">
        <v>3618</v>
      </c>
      <c r="I33" s="1928" t="s">
        <v>3689</v>
      </c>
      <c r="J33" s="1041" t="s">
        <v>73</v>
      </c>
      <c r="K33" s="1041" t="s">
        <v>138</v>
      </c>
      <c r="L33" s="1930" t="s">
        <v>3687</v>
      </c>
      <c r="M33" s="1492">
        <v>45770</v>
      </c>
      <c r="N33" s="1244">
        <v>89500</v>
      </c>
      <c r="O33" s="1140" t="s">
        <v>28</v>
      </c>
      <c r="P33" s="1140" t="s">
        <v>28</v>
      </c>
      <c r="Q33" s="1500">
        <v>1</v>
      </c>
      <c r="R33" s="1276">
        <v>6800046959</v>
      </c>
      <c r="S33" s="1490">
        <v>45786</v>
      </c>
      <c r="T33" s="1042">
        <v>85000</v>
      </c>
      <c r="U33" s="1042" t="s">
        <v>30</v>
      </c>
      <c r="V33" s="1260">
        <f>Table626893456791011347[[#This Row],[Offer Value]]-Table626893456791011347[[#This Row],[PO Value]]</f>
        <v>4500</v>
      </c>
      <c r="W33" s="1042"/>
      <c r="X33" s="1042"/>
      <c r="Y33" s="1134"/>
      <c r="Z33" s="1128"/>
      <c r="AA33" s="1129"/>
    </row>
    <row r="34" spans="1:27" s="259" customFormat="1" ht="18">
      <c r="A34" s="1498">
        <f>ROW() - ROW(Table626893456791011347[[#Headers],[SL]])</f>
        <v>28</v>
      </c>
      <c r="B34" s="1492"/>
      <c r="C34" s="1140" t="s">
        <v>1736</v>
      </c>
      <c r="D34" s="1140" t="s">
        <v>3612</v>
      </c>
      <c r="E34" s="1140" t="s">
        <v>3601</v>
      </c>
      <c r="F34" s="1041" t="s">
        <v>3617</v>
      </c>
      <c r="G34" s="1277">
        <v>9994975187</v>
      </c>
      <c r="H34" s="1142" t="s">
        <v>3618</v>
      </c>
      <c r="I34" s="1928" t="s">
        <v>3690</v>
      </c>
      <c r="J34" s="1041" t="s">
        <v>73</v>
      </c>
      <c r="K34" s="1041" t="s">
        <v>138</v>
      </c>
      <c r="L34" s="1930" t="s">
        <v>3687</v>
      </c>
      <c r="M34" s="1492">
        <v>45770</v>
      </c>
      <c r="N34" s="1244">
        <v>89500</v>
      </c>
      <c r="O34" s="1140" t="s">
        <v>28</v>
      </c>
      <c r="P34" s="1140" t="s">
        <v>28</v>
      </c>
      <c r="Q34" s="1500">
        <v>1</v>
      </c>
      <c r="R34" s="1276">
        <v>6800046959</v>
      </c>
      <c r="S34" s="2474">
        <v>45786</v>
      </c>
      <c r="T34" s="1042">
        <v>85000</v>
      </c>
      <c r="U34" s="1042" t="s">
        <v>30</v>
      </c>
      <c r="V34" s="1260">
        <f>Table626893456791011347[[#This Row],[Offer Value]]-Table626893456791011347[[#This Row],[PO Value]]</f>
        <v>4500</v>
      </c>
      <c r="W34" s="1042"/>
      <c r="X34" s="1042"/>
      <c r="Y34" s="1134"/>
      <c r="Z34" s="1128"/>
      <c r="AA34" s="1129"/>
    </row>
    <row r="35" spans="1:27" s="259" customFormat="1" ht="18">
      <c r="A35" s="1498">
        <f>ROW() - ROW(Table626893456791011347[[#Headers],[SL]])</f>
        <v>29</v>
      </c>
      <c r="B35" s="1492"/>
      <c r="C35" s="1140" t="s">
        <v>1736</v>
      </c>
      <c r="D35" s="1140" t="s">
        <v>3612</v>
      </c>
      <c r="E35" s="1140" t="s">
        <v>3601</v>
      </c>
      <c r="F35" s="1041" t="s">
        <v>3617</v>
      </c>
      <c r="G35" s="1277">
        <v>9994975187</v>
      </c>
      <c r="H35" s="1142" t="s">
        <v>3618</v>
      </c>
      <c r="I35" s="2402" t="s">
        <v>3691</v>
      </c>
      <c r="J35" s="1041" t="s">
        <v>73</v>
      </c>
      <c r="K35" s="1041" t="s">
        <v>138</v>
      </c>
      <c r="L35" s="1930" t="s">
        <v>3687</v>
      </c>
      <c r="M35" s="1492">
        <v>45770</v>
      </c>
      <c r="N35" s="1244">
        <v>89500</v>
      </c>
      <c r="O35" s="1140" t="s">
        <v>28</v>
      </c>
      <c r="P35" s="1140" t="s">
        <v>28</v>
      </c>
      <c r="Q35" s="1500">
        <v>1</v>
      </c>
      <c r="R35" s="1276">
        <v>6800046959</v>
      </c>
      <c r="S35" s="1490">
        <v>45786</v>
      </c>
      <c r="T35" s="1042">
        <v>85000</v>
      </c>
      <c r="U35" s="1042" t="s">
        <v>30</v>
      </c>
      <c r="V35" s="1260">
        <f>Table626893456791011347[[#This Row],[Offer Value]]-Table626893456791011347[[#This Row],[PO Value]]</f>
        <v>4500</v>
      </c>
      <c r="W35" s="1042"/>
      <c r="X35" s="1042"/>
      <c r="Y35" s="1127"/>
      <c r="Z35" s="1128"/>
      <c r="AA35" s="1129"/>
    </row>
    <row r="36" spans="1:27" s="259" customFormat="1" ht="18">
      <c r="A36" s="1498">
        <f>ROW() - ROW(Table626893456791011347[[#Headers],[SL]])</f>
        <v>30</v>
      </c>
      <c r="B36" s="1492"/>
      <c r="C36" s="1140" t="s">
        <v>1736</v>
      </c>
      <c r="D36" s="1140" t="s">
        <v>3612</v>
      </c>
      <c r="E36" s="1140" t="s">
        <v>3601</v>
      </c>
      <c r="F36" s="1041" t="s">
        <v>3617</v>
      </c>
      <c r="G36" s="1277">
        <v>9994975187</v>
      </c>
      <c r="H36" s="1142" t="s">
        <v>3618</v>
      </c>
      <c r="I36" s="2402" t="s">
        <v>3692</v>
      </c>
      <c r="J36" s="1041" t="s">
        <v>73</v>
      </c>
      <c r="K36" s="1041" t="s">
        <v>138</v>
      </c>
      <c r="L36" s="1930" t="s">
        <v>3687</v>
      </c>
      <c r="M36" s="1492">
        <v>45770</v>
      </c>
      <c r="N36" s="1244">
        <v>89500</v>
      </c>
      <c r="O36" s="1140" t="s">
        <v>28</v>
      </c>
      <c r="P36" s="1140" t="s">
        <v>28</v>
      </c>
      <c r="Q36" s="1500">
        <v>1</v>
      </c>
      <c r="R36" s="1276">
        <v>6800046959</v>
      </c>
      <c r="S36" s="1490">
        <v>45786</v>
      </c>
      <c r="T36" s="1042">
        <v>85000</v>
      </c>
      <c r="U36" s="1042" t="s">
        <v>30</v>
      </c>
      <c r="V36" s="1260">
        <f>Table626893456791011347[[#This Row],[Offer Value]]-Table626893456791011347[[#This Row],[PO Value]]</f>
        <v>4500</v>
      </c>
      <c r="W36" s="1042"/>
      <c r="X36" s="1042"/>
      <c r="Y36" s="1134"/>
      <c r="Z36" s="1128"/>
      <c r="AA36" s="1141"/>
    </row>
    <row r="37" spans="1:27" s="259" customFormat="1" ht="25.5" customHeight="1">
      <c r="A37" s="1053">
        <f>ROW() - ROW(Table626893456791011347[[#Headers],[SL]])</f>
        <v>31</v>
      </c>
      <c r="B37" s="1490">
        <v>45703</v>
      </c>
      <c r="C37" s="1120" t="s">
        <v>3607</v>
      </c>
      <c r="D37" s="1041" t="s">
        <v>3600</v>
      </c>
      <c r="E37" s="1120" t="s">
        <v>3601</v>
      </c>
      <c r="F37" s="1041" t="s">
        <v>3693</v>
      </c>
      <c r="G37" s="1277">
        <v>9994975187</v>
      </c>
      <c r="H37" s="1139" t="s">
        <v>3609</v>
      </c>
      <c r="I37" s="1927" t="s">
        <v>3694</v>
      </c>
      <c r="J37" s="1122" t="s">
        <v>73</v>
      </c>
      <c r="K37" s="1122" t="s">
        <v>138</v>
      </c>
      <c r="L37" s="1310" t="s">
        <v>3695</v>
      </c>
      <c r="M37" s="1312">
        <v>45703</v>
      </c>
      <c r="N37" s="1299">
        <v>89780</v>
      </c>
      <c r="O37" s="1042" t="s">
        <v>18</v>
      </c>
      <c r="P37" s="1042" t="s">
        <v>28</v>
      </c>
      <c r="Q37" s="1306">
        <v>1</v>
      </c>
      <c r="R37" s="2445">
        <v>700005514</v>
      </c>
      <c r="S37" s="1282">
        <v>45800</v>
      </c>
      <c r="T37" s="1259">
        <v>87985</v>
      </c>
      <c r="U37" s="1042" t="s">
        <v>30</v>
      </c>
      <c r="V37" s="1260">
        <f>Table626893456791011347[[#This Row],[Offer Value]]-Table626893456791011347[[#This Row],[PO Value]]</f>
        <v>1795</v>
      </c>
      <c r="W37" s="1042"/>
      <c r="X37" s="1149"/>
      <c r="Y37" s="1134"/>
      <c r="Z37" s="1128"/>
      <c r="AA37" s="1129"/>
    </row>
    <row r="38" spans="1:27" s="259" customFormat="1" ht="18">
      <c r="A38" s="1053">
        <f>ROW() - ROW(Table626893456791011347[[#Headers],[SL]])</f>
        <v>32</v>
      </c>
      <c r="B38" s="1490"/>
      <c r="C38" s="1120" t="s">
        <v>3607</v>
      </c>
      <c r="D38" s="1041" t="s">
        <v>3600</v>
      </c>
      <c r="E38" s="1120" t="s">
        <v>3601</v>
      </c>
      <c r="F38" s="1041" t="s">
        <v>3693</v>
      </c>
      <c r="G38" s="1277">
        <v>9994975187</v>
      </c>
      <c r="H38" s="1139" t="s">
        <v>3609</v>
      </c>
      <c r="I38" s="1927" t="s">
        <v>3610</v>
      </c>
      <c r="J38" s="1122" t="s">
        <v>73</v>
      </c>
      <c r="K38" s="1122" t="s">
        <v>138</v>
      </c>
      <c r="L38" s="1310" t="s">
        <v>3695</v>
      </c>
      <c r="M38" s="1312">
        <v>45703</v>
      </c>
      <c r="N38" s="1299">
        <v>89780</v>
      </c>
      <c r="O38" s="1042" t="s">
        <v>18</v>
      </c>
      <c r="P38" s="1042" t="s">
        <v>28</v>
      </c>
      <c r="Q38" s="1306">
        <v>1</v>
      </c>
      <c r="R38" s="2445">
        <v>700005514</v>
      </c>
      <c r="S38" s="1282">
        <v>45800</v>
      </c>
      <c r="T38" s="1259">
        <v>87985</v>
      </c>
      <c r="U38" s="1042" t="s">
        <v>30</v>
      </c>
      <c r="V38" s="1260">
        <f>Table626893456791011347[[#This Row],[Offer Value]]-Table626893456791011347[[#This Row],[PO Value]]</f>
        <v>1795</v>
      </c>
      <c r="W38" s="1042"/>
      <c r="X38" s="1149"/>
      <c r="Y38" s="1127"/>
      <c r="Z38" s="1128"/>
      <c r="AA38" s="1129"/>
    </row>
    <row r="39" spans="1:27" s="259" customFormat="1" ht="18">
      <c r="A39" s="1053">
        <f>ROW() - ROW(Table626893456791011347[[#Headers],[SL]])</f>
        <v>33</v>
      </c>
      <c r="B39" s="2506">
        <v>45668</v>
      </c>
      <c r="C39" s="1247" t="s">
        <v>3644</v>
      </c>
      <c r="D39" s="1120" t="s">
        <v>3600</v>
      </c>
      <c r="E39" s="1247" t="s">
        <v>3601</v>
      </c>
      <c r="F39" s="1252" t="s">
        <v>2263</v>
      </c>
      <c r="G39" s="1297">
        <v>9500963296</v>
      </c>
      <c r="H39" s="1142" t="s">
        <v>3645</v>
      </c>
      <c r="I39" s="1299" t="s">
        <v>3646</v>
      </c>
      <c r="J39" s="1247" t="s">
        <v>73</v>
      </c>
      <c r="K39" s="1247" t="s">
        <v>138</v>
      </c>
      <c r="L39" s="1300" t="s">
        <v>3696</v>
      </c>
      <c r="M39" s="1251">
        <v>45423</v>
      </c>
      <c r="N39" s="1301">
        <v>90000</v>
      </c>
      <c r="O39" s="1023" t="s">
        <v>7</v>
      </c>
      <c r="P39" s="1248" t="s">
        <v>7</v>
      </c>
      <c r="Q39" s="1294">
        <v>1</v>
      </c>
      <c r="R39" s="1276" t="s">
        <v>3697</v>
      </c>
      <c r="S39" s="1295">
        <v>45617</v>
      </c>
      <c r="T39" s="1259">
        <v>90000</v>
      </c>
      <c r="U39" s="1249" t="s">
        <v>7</v>
      </c>
      <c r="V39" s="1260">
        <f>Table626893456791011347[[#This Row],[Offer Value]]-Table626893456791011347[[#This Row],[PO Value]]</f>
        <v>0</v>
      </c>
      <c r="W39" s="1261" t="s">
        <v>3606</v>
      </c>
      <c r="X39" s="1042"/>
      <c r="Y39" s="1127" t="s">
        <v>1348</v>
      </c>
      <c r="Z39" s="1128"/>
      <c r="AA39" s="1129"/>
    </row>
    <row r="40" spans="1:27" s="259" customFormat="1" ht="18">
      <c r="A40" s="289">
        <f>ROW() - ROW(Table626893456791011347[[#Headers],[SL]])</f>
        <v>34</v>
      </c>
      <c r="B40" s="301">
        <v>45923</v>
      </c>
      <c r="C40" s="105" t="s">
        <v>755</v>
      </c>
      <c r="D40" s="105" t="s">
        <v>3600</v>
      </c>
      <c r="E40" s="105" t="s">
        <v>3601</v>
      </c>
      <c r="F40" s="108" t="s">
        <v>3698</v>
      </c>
      <c r="G40" s="829">
        <v>9443675970</v>
      </c>
      <c r="H40" s="248" t="s">
        <v>3699</v>
      </c>
      <c r="I40" s="304" t="s">
        <v>3700</v>
      </c>
      <c r="J40" s="1404" t="s">
        <v>73</v>
      </c>
      <c r="K40" s="1404" t="s">
        <v>138</v>
      </c>
      <c r="L40" s="457" t="s">
        <v>3701</v>
      </c>
      <c r="M40" s="301">
        <v>45923</v>
      </c>
      <c r="N40" s="2420">
        <v>93690</v>
      </c>
      <c r="O40" s="113" t="s">
        <v>44</v>
      </c>
      <c r="P40" s="300" t="s">
        <v>2354</v>
      </c>
      <c r="Q40" s="841">
        <v>1</v>
      </c>
      <c r="R40" s="1795"/>
      <c r="S40" s="320"/>
      <c r="T40" s="300"/>
      <c r="U40" s="315"/>
      <c r="V40" s="1541">
        <f>Table626893456791011347[[#This Row],[Offer Value]]-Table626893456791011347[[#This Row],[PO Value]]</f>
        <v>93690</v>
      </c>
      <c r="W40" s="300"/>
      <c r="X40" s="300"/>
      <c r="Y40" s="610"/>
      <c r="Z40" s="1128"/>
      <c r="AA40" s="1129"/>
    </row>
    <row r="41" spans="1:27" s="259" customFormat="1" ht="18">
      <c r="A41" s="289">
        <f>ROW() - ROW(Table626893456791011347[[#Headers],[SL]])</f>
        <v>35</v>
      </c>
      <c r="B41" s="300"/>
      <c r="C41" s="105" t="s">
        <v>755</v>
      </c>
      <c r="D41" s="105" t="s">
        <v>3600</v>
      </c>
      <c r="E41" s="105" t="s">
        <v>3601</v>
      </c>
      <c r="F41" s="108" t="s">
        <v>3698</v>
      </c>
      <c r="G41" s="829">
        <v>9443675970</v>
      </c>
      <c r="H41" s="800" t="s">
        <v>3699</v>
      </c>
      <c r="I41" s="304" t="s">
        <v>3702</v>
      </c>
      <c r="J41" s="1404" t="s">
        <v>73</v>
      </c>
      <c r="K41" s="1404" t="s">
        <v>138</v>
      </c>
      <c r="L41" s="457" t="s">
        <v>3701</v>
      </c>
      <c r="M41" s="301">
        <v>45923</v>
      </c>
      <c r="N41" s="2420">
        <v>93690</v>
      </c>
      <c r="O41" s="113" t="s">
        <v>44</v>
      </c>
      <c r="P41" s="300" t="s">
        <v>2354</v>
      </c>
      <c r="Q41" s="841">
        <v>1</v>
      </c>
      <c r="R41" s="2459"/>
      <c r="S41" s="301"/>
      <c r="T41" s="2477"/>
      <c r="U41" s="300"/>
      <c r="V41" s="1260">
        <f>Table626893456791011347[[#This Row],[Offer Value]]-Table626893456791011347[[#This Row],[PO Value]]</f>
        <v>93690</v>
      </c>
      <c r="W41" s="300"/>
      <c r="X41" s="300"/>
      <c r="Y41" s="610"/>
      <c r="Z41" s="1128"/>
      <c r="AA41" s="1129"/>
    </row>
    <row r="42" spans="1:27" s="259" customFormat="1" ht="18">
      <c r="A42" s="289">
        <f>ROW() - ROW(Table626893456791011347[[#Headers],[SL]])</f>
        <v>36</v>
      </c>
      <c r="B42" s="300"/>
      <c r="C42" s="105" t="s">
        <v>755</v>
      </c>
      <c r="D42" s="105" t="s">
        <v>3600</v>
      </c>
      <c r="E42" s="105" t="s">
        <v>3601</v>
      </c>
      <c r="F42" s="108" t="s">
        <v>3698</v>
      </c>
      <c r="G42" s="829">
        <v>9443675970</v>
      </c>
      <c r="H42" s="800" t="s">
        <v>3699</v>
      </c>
      <c r="I42" s="304" t="s">
        <v>3703</v>
      </c>
      <c r="J42" s="1404" t="s">
        <v>73</v>
      </c>
      <c r="K42" s="1404" t="s">
        <v>138</v>
      </c>
      <c r="L42" s="457" t="s">
        <v>3701</v>
      </c>
      <c r="M42" s="301">
        <v>45923</v>
      </c>
      <c r="N42" s="2420">
        <v>93690</v>
      </c>
      <c r="O42" s="113" t="s">
        <v>44</v>
      </c>
      <c r="P42" s="300" t="s">
        <v>2354</v>
      </c>
      <c r="Q42" s="841">
        <v>1</v>
      </c>
      <c r="R42" s="2448"/>
      <c r="S42" s="301"/>
      <c r="T42" s="300"/>
      <c r="U42" s="300"/>
      <c r="V42" s="1260">
        <f>Table626893456791011347[[#This Row],[Offer Value]]-Table626893456791011347[[#This Row],[PO Value]]</f>
        <v>93690</v>
      </c>
      <c r="W42" s="300"/>
      <c r="X42" s="300"/>
      <c r="Y42" s="610"/>
      <c r="Z42" s="1531"/>
      <c r="AA42" s="1532"/>
    </row>
    <row r="43" spans="1:27" s="918" customFormat="1" ht="18">
      <c r="A43" s="289">
        <f>ROW() - ROW(Table626893456791011347[[#Headers],[SL]])</f>
        <v>37</v>
      </c>
      <c r="B43" s="300"/>
      <c r="C43" s="105" t="s">
        <v>755</v>
      </c>
      <c r="D43" s="105" t="s">
        <v>3600</v>
      </c>
      <c r="E43" s="105" t="s">
        <v>3601</v>
      </c>
      <c r="F43" s="108" t="s">
        <v>3698</v>
      </c>
      <c r="G43" s="829">
        <v>9443675970</v>
      </c>
      <c r="H43" s="800" t="s">
        <v>3699</v>
      </c>
      <c r="I43" s="304" t="s">
        <v>3704</v>
      </c>
      <c r="J43" s="1404" t="s">
        <v>73</v>
      </c>
      <c r="K43" s="1404" t="s">
        <v>138</v>
      </c>
      <c r="L43" s="457" t="s">
        <v>3701</v>
      </c>
      <c r="M43" s="301">
        <v>45923</v>
      </c>
      <c r="N43" s="2420">
        <v>93690</v>
      </c>
      <c r="O43" s="113" t="s">
        <v>44</v>
      </c>
      <c r="P43" s="300" t="s">
        <v>2354</v>
      </c>
      <c r="Q43" s="841">
        <v>1</v>
      </c>
      <c r="R43" s="2448"/>
      <c r="S43" s="301"/>
      <c r="T43" s="300"/>
      <c r="U43" s="300"/>
      <c r="V43" s="1260">
        <f>Table626893456791011347[[#This Row],[Offer Value]]-Table626893456791011347[[#This Row],[PO Value]]</f>
        <v>93690</v>
      </c>
      <c r="W43" s="300"/>
      <c r="X43" s="300"/>
      <c r="Y43" s="610"/>
      <c r="Z43" s="1128"/>
      <c r="AA43" s="1141"/>
    </row>
    <row r="44" spans="1:27" s="259" customFormat="1" ht="28.8">
      <c r="A44" s="1053">
        <f>ROW() - ROW(Table626893456791011347[[#Headers],[SL]])</f>
        <v>38</v>
      </c>
      <c r="B44" s="1490">
        <v>45770</v>
      </c>
      <c r="C44" s="1041" t="s">
        <v>3705</v>
      </c>
      <c r="D44" s="1140" t="s">
        <v>3612</v>
      </c>
      <c r="E44" s="1120" t="s">
        <v>3601</v>
      </c>
      <c r="F44" s="2378" t="s">
        <v>3706</v>
      </c>
      <c r="G44" s="1244">
        <v>9003079016</v>
      </c>
      <c r="H44" s="1132" t="s">
        <v>3707</v>
      </c>
      <c r="I44" s="1299" t="s">
        <v>3708</v>
      </c>
      <c r="J44" s="1041" t="s">
        <v>73</v>
      </c>
      <c r="K44" s="1041" t="s">
        <v>138</v>
      </c>
      <c r="L44" s="1140" t="s">
        <v>3709</v>
      </c>
      <c r="M44" s="1492">
        <v>45770</v>
      </c>
      <c r="N44" s="1244">
        <v>94500</v>
      </c>
      <c r="O44" s="1140" t="s">
        <v>28</v>
      </c>
      <c r="P44" s="1140" t="s">
        <v>28</v>
      </c>
      <c r="Q44" s="1500">
        <v>1</v>
      </c>
      <c r="R44" s="1270" t="s">
        <v>3710</v>
      </c>
      <c r="S44" s="1282">
        <v>45794</v>
      </c>
      <c r="T44" s="1042">
        <v>94500</v>
      </c>
      <c r="U44" s="1042" t="s">
        <v>30</v>
      </c>
      <c r="V44" s="1260">
        <f>Table626893456791011347[[#This Row],[Offer Value]]-Table626893456791011347[[#This Row],[PO Value]]</f>
        <v>0</v>
      </c>
      <c r="W44" s="1042"/>
      <c r="X44" s="1042"/>
      <c r="Y44" s="1134"/>
      <c r="Z44" s="1128"/>
      <c r="AA44" s="1141"/>
    </row>
    <row r="45" spans="1:27" s="259" customFormat="1" ht="18">
      <c r="A45" s="1053">
        <f>ROW() - ROW(Table626893456791011347[[#Headers],[SL]])</f>
        <v>39</v>
      </c>
      <c r="B45" s="1251">
        <v>45838</v>
      </c>
      <c r="C45" s="1247" t="s">
        <v>3711</v>
      </c>
      <c r="D45" s="1246" t="s">
        <v>3612</v>
      </c>
      <c r="E45" s="1247" t="s">
        <v>954</v>
      </c>
      <c r="F45" s="1247" t="s">
        <v>3712</v>
      </c>
      <c r="G45" s="2209">
        <v>7823945177</v>
      </c>
      <c r="H45" s="1142" t="s">
        <v>3713</v>
      </c>
      <c r="I45" s="1247">
        <v>102009750</v>
      </c>
      <c r="J45" s="1041" t="s">
        <v>73</v>
      </c>
      <c r="K45" s="1041" t="s">
        <v>157</v>
      </c>
      <c r="L45" s="1247" t="s">
        <v>3714</v>
      </c>
      <c r="M45" s="2018">
        <v>45838</v>
      </c>
      <c r="N45" s="2019">
        <v>94500</v>
      </c>
      <c r="O45" s="1248" t="s">
        <v>34</v>
      </c>
      <c r="P45" s="1140" t="s">
        <v>44</v>
      </c>
      <c r="Q45" s="1500">
        <v>1</v>
      </c>
      <c r="R45" s="2446">
        <v>5600003069</v>
      </c>
      <c r="S45" s="1295">
        <v>45890</v>
      </c>
      <c r="T45" s="1248">
        <v>94500</v>
      </c>
      <c r="U45" s="1248" t="s">
        <v>3715</v>
      </c>
      <c r="V45" s="1260">
        <f>Table626893456791011347[[#This Row],[Offer Value]]-Table626893456791011347[[#This Row],[PO Value]]</f>
        <v>0</v>
      </c>
      <c r="W45" s="1248"/>
      <c r="X45" s="1248"/>
      <c r="Y45" s="1946"/>
      <c r="Z45" s="1128"/>
      <c r="AA45" s="1141"/>
    </row>
    <row r="46" spans="1:27" s="259" customFormat="1" ht="18">
      <c r="A46" s="1053">
        <f>ROW() - ROW(Table626893456791011347[[#Headers],[SL]])</f>
        <v>40</v>
      </c>
      <c r="B46" s="1490">
        <v>45673</v>
      </c>
      <c r="C46" s="1120" t="s">
        <v>3716</v>
      </c>
      <c r="D46" s="1120" t="s">
        <v>3612</v>
      </c>
      <c r="E46" s="1120" t="s">
        <v>3601</v>
      </c>
      <c r="F46" s="1120" t="s">
        <v>3717</v>
      </c>
      <c r="G46" s="1245">
        <v>9677772293</v>
      </c>
      <c r="H46" s="1142" t="s">
        <v>3718</v>
      </c>
      <c r="I46" s="1267" t="s">
        <v>3719</v>
      </c>
      <c r="J46" s="1041" t="s">
        <v>73</v>
      </c>
      <c r="K46" s="1041" t="s">
        <v>138</v>
      </c>
      <c r="L46" s="1278" t="s">
        <v>3720</v>
      </c>
      <c r="M46" s="1302">
        <v>45307</v>
      </c>
      <c r="N46" s="1259">
        <v>95200</v>
      </c>
      <c r="O46" s="1042" t="s">
        <v>7</v>
      </c>
      <c r="P46" s="1042" t="s">
        <v>18</v>
      </c>
      <c r="Q46" s="1294">
        <v>1</v>
      </c>
      <c r="R46" s="1270">
        <v>24008608</v>
      </c>
      <c r="S46" s="1282">
        <v>45698</v>
      </c>
      <c r="T46" s="1259">
        <v>90000</v>
      </c>
      <c r="U46" s="1042" t="s">
        <v>18</v>
      </c>
      <c r="V46" s="1260">
        <f>Table626893456791011347[[#This Row],[Offer Value]]-Table626893456791011347[[#This Row],[PO Value]]</f>
        <v>5200</v>
      </c>
      <c r="W46" s="1261" t="s">
        <v>3721</v>
      </c>
      <c r="X46" s="1042"/>
      <c r="Y46" s="1127"/>
      <c r="Z46" s="1128"/>
      <c r="AA46" s="1141"/>
    </row>
    <row r="47" spans="1:27" s="259" customFormat="1" ht="18">
      <c r="A47" s="1517">
        <f>ROW() - ROW(Table626893456791011347[[#Headers],[SL]])</f>
        <v>41</v>
      </c>
      <c r="B47" s="1527">
        <v>45673</v>
      </c>
      <c r="C47" s="1518" t="s">
        <v>3722</v>
      </c>
      <c r="D47" s="1518" t="s">
        <v>3612</v>
      </c>
      <c r="E47" s="1518" t="s">
        <v>3601</v>
      </c>
      <c r="F47" s="1518" t="s">
        <v>3723</v>
      </c>
      <c r="G47" s="1530"/>
      <c r="H47" s="1922" t="s">
        <v>3724</v>
      </c>
      <c r="I47" s="2407" t="s">
        <v>3719</v>
      </c>
      <c r="J47" s="1519" t="s">
        <v>73</v>
      </c>
      <c r="K47" s="1519" t="s">
        <v>138</v>
      </c>
      <c r="L47" s="1521" t="s">
        <v>3725</v>
      </c>
      <c r="M47" s="1923">
        <v>45307</v>
      </c>
      <c r="N47" s="1924">
        <v>95300</v>
      </c>
      <c r="O47" s="1518" t="s">
        <v>7</v>
      </c>
      <c r="P47" s="1518" t="s">
        <v>30</v>
      </c>
      <c r="Q47" s="1925">
        <v>0.3</v>
      </c>
      <c r="R47" s="1524"/>
      <c r="S47" s="1522"/>
      <c r="T47" s="1525"/>
      <c r="U47" s="1518"/>
      <c r="V47" s="1526">
        <f>Table626893456791011347[[#This Row],[Offer Value]]-Table626893456791011347[[#This Row],[PO Value]]</f>
        <v>95300</v>
      </c>
      <c r="W47" s="1926" t="s">
        <v>3606</v>
      </c>
      <c r="X47" s="1518"/>
      <c r="Y47" s="1520"/>
      <c r="Z47" s="1128"/>
      <c r="AA47" s="1141"/>
    </row>
    <row r="48" spans="1:27" s="259" customFormat="1" ht="18">
      <c r="A48" s="118">
        <f>ROW() - ROW(Table626893456791011347[[#Headers],[SL]])</f>
        <v>42</v>
      </c>
      <c r="B48" s="301">
        <v>45923</v>
      </c>
      <c r="C48" s="120" t="s">
        <v>3669</v>
      </c>
      <c r="D48" s="120" t="s">
        <v>3670</v>
      </c>
      <c r="E48" s="105" t="s">
        <v>3601</v>
      </c>
      <c r="F48" s="319" t="s">
        <v>3671</v>
      </c>
      <c r="G48" s="614">
        <v>6300493996</v>
      </c>
      <c r="H48" s="318" t="s">
        <v>3672</v>
      </c>
      <c r="I48" s="178" t="s">
        <v>3673</v>
      </c>
      <c r="J48" s="115" t="s">
        <v>73</v>
      </c>
      <c r="K48" s="115" t="s">
        <v>138</v>
      </c>
      <c r="L48" s="178" t="s">
        <v>3726</v>
      </c>
      <c r="M48" s="301">
        <v>45923</v>
      </c>
      <c r="N48" s="2428">
        <v>95580</v>
      </c>
      <c r="O48" s="2207" t="str">
        <f>TEXT(Table626893456791011347[[#This Row],[Offer Reference Date]], "mmmm")</f>
        <v>September</v>
      </c>
      <c r="P48" s="300" t="s">
        <v>2354</v>
      </c>
      <c r="Q48" s="842">
        <v>0.7</v>
      </c>
      <c r="R48" s="2455"/>
      <c r="S48" s="125"/>
      <c r="T48" s="206"/>
      <c r="U48" s="1406" t="str">
        <f>TEXT(Table626893456791011347[[#This Row],[PO Date]], "mmmm")</f>
        <v>January</v>
      </c>
      <c r="V48" s="979">
        <f>Table626893456791011347[[#This Row],[PO Value]]-Table626893456791011347[[#This Row],[Offer Value]]</f>
        <v>-95580</v>
      </c>
      <c r="W48" s="120"/>
      <c r="X48" s="123"/>
      <c r="Y48" s="2342"/>
      <c r="Z48" s="1912"/>
      <c r="AA48" s="1913"/>
    </row>
    <row r="49" spans="1:27" s="259" customFormat="1" ht="28.8">
      <c r="A49" s="1053">
        <f>ROW() - ROW(Table626893456791011347[[#Headers],[SL]])</f>
        <v>43</v>
      </c>
      <c r="B49" s="1251">
        <v>45856</v>
      </c>
      <c r="C49" s="1140" t="s">
        <v>2558</v>
      </c>
      <c r="D49" s="1140" t="s">
        <v>3612</v>
      </c>
      <c r="E49" s="1140" t="s">
        <v>3601</v>
      </c>
      <c r="F49" s="1247" t="s">
        <v>3727</v>
      </c>
      <c r="G49" s="2340">
        <v>8610510100</v>
      </c>
      <c r="H49" s="2341" t="s">
        <v>3728</v>
      </c>
      <c r="I49" s="1247" t="s">
        <v>3729</v>
      </c>
      <c r="J49" s="1268" t="s">
        <v>73</v>
      </c>
      <c r="K49" s="1268" t="s">
        <v>138</v>
      </c>
      <c r="L49" s="1247" t="s">
        <v>3730</v>
      </c>
      <c r="M49" s="1251">
        <v>45856</v>
      </c>
      <c r="N49" s="2019">
        <v>97350</v>
      </c>
      <c r="O49" s="1953" t="str">
        <f>TEXT(Table626893456791011347[[#This Row],[Offer Reference Date]], "mmmm")</f>
        <v>July</v>
      </c>
      <c r="P49" s="1248" t="s">
        <v>39</v>
      </c>
      <c r="Q49" s="1294">
        <v>1</v>
      </c>
      <c r="R49" s="2462" t="s">
        <v>3731</v>
      </c>
      <c r="S49" s="1295">
        <v>45924</v>
      </c>
      <c r="T49" s="1278">
        <v>90000</v>
      </c>
      <c r="U49" s="1953" t="str">
        <f>TEXT(Table626893456791011347[[#This Row],[PO Date]], "mmmm")</f>
        <v>September</v>
      </c>
      <c r="V49" s="1951">
        <f>Table626893456791011347[[#This Row],[Offer Value]]-Table626893456791011347[[#This Row],[PO Value]]</f>
        <v>7350</v>
      </c>
      <c r="W49" s="300"/>
      <c r="X49" s="300"/>
      <c r="Y49" s="610"/>
      <c r="Z49" s="257"/>
      <c r="AA49" s="593"/>
    </row>
    <row r="50" spans="1:27" s="259" customFormat="1" ht="18">
      <c r="A50" s="1053">
        <f>ROW() - ROW(Table626893456791011347[[#Headers],[SL]])</f>
        <v>44</v>
      </c>
      <c r="B50" s="1490">
        <v>45685</v>
      </c>
      <c r="C50" s="1120" t="s">
        <v>3622</v>
      </c>
      <c r="D50" s="1120" t="s">
        <v>3612</v>
      </c>
      <c r="E50" s="1120" t="s">
        <v>3601</v>
      </c>
      <c r="F50" s="1041" t="s">
        <v>3350</v>
      </c>
      <c r="G50" s="1277">
        <v>9941068710</v>
      </c>
      <c r="H50" s="1536" t="s">
        <v>3623</v>
      </c>
      <c r="I50" s="2405" t="s">
        <v>3732</v>
      </c>
      <c r="J50" s="1122" t="s">
        <v>73</v>
      </c>
      <c r="K50" s="1041" t="s">
        <v>138</v>
      </c>
      <c r="L50" s="1487" t="s">
        <v>3625</v>
      </c>
      <c r="M50" s="1312">
        <v>45685</v>
      </c>
      <c r="N50" s="2429">
        <v>98500</v>
      </c>
      <c r="O50" s="1042" t="s">
        <v>7</v>
      </c>
      <c r="P50" s="1042" t="s">
        <v>28</v>
      </c>
      <c r="Q50" s="1306">
        <v>1</v>
      </c>
      <c r="R50" s="2458">
        <v>4500022079</v>
      </c>
      <c r="S50" s="1282">
        <v>45758</v>
      </c>
      <c r="T50" s="1259">
        <v>95545</v>
      </c>
      <c r="U50" s="1042" t="s">
        <v>28</v>
      </c>
      <c r="V50" s="1260">
        <f>Table626893456791011347[[#This Row],[Offer Value]]-Table626893456791011347[[#This Row],[PO Value]]</f>
        <v>2955</v>
      </c>
      <c r="W50" s="1312"/>
      <c r="X50" s="1042"/>
      <c r="Y50" s="1127"/>
      <c r="Z50" s="1128"/>
      <c r="AA50" s="1141"/>
    </row>
    <row r="51" spans="1:27" s="259" customFormat="1" ht="18">
      <c r="A51" s="1053">
        <f>ROW() - ROW(Table626893456791011347[[#Headers],[SL]])</f>
        <v>45</v>
      </c>
      <c r="B51" s="1490">
        <v>45703</v>
      </c>
      <c r="C51" s="1120" t="s">
        <v>3733</v>
      </c>
      <c r="D51" s="1041" t="s">
        <v>3600</v>
      </c>
      <c r="E51" s="1120" t="s">
        <v>3601</v>
      </c>
      <c r="F51" s="1041" t="s">
        <v>3734</v>
      </c>
      <c r="G51" s="1277">
        <v>9486290995</v>
      </c>
      <c r="H51" s="1139" t="s">
        <v>3735</v>
      </c>
      <c r="I51" s="1534" t="s">
        <v>3736</v>
      </c>
      <c r="J51" s="1122" t="s">
        <v>73</v>
      </c>
      <c r="K51" s="1122" t="s">
        <v>138</v>
      </c>
      <c r="L51" s="1310" t="s">
        <v>3737</v>
      </c>
      <c r="M51" s="1312">
        <v>45703</v>
      </c>
      <c r="N51" s="1535">
        <v>98500</v>
      </c>
      <c r="O51" s="1042" t="s">
        <v>18</v>
      </c>
      <c r="P51" s="1042" t="s">
        <v>28</v>
      </c>
      <c r="Q51" s="1306">
        <v>1</v>
      </c>
      <c r="R51" s="1276">
        <v>4500008676</v>
      </c>
      <c r="S51" s="1282">
        <v>45734</v>
      </c>
      <c r="T51" s="1259">
        <v>95500</v>
      </c>
      <c r="U51" s="1042" t="s">
        <v>28</v>
      </c>
      <c r="V51" s="1260">
        <f>Table626893456791011347[[#This Row],[Offer Value]]-Table626893456791011347[[#This Row],[PO Value]]</f>
        <v>3000</v>
      </c>
      <c r="W51" s="1042"/>
      <c r="X51" s="1042"/>
      <c r="Y51" s="1127"/>
      <c r="Z51" s="1531"/>
      <c r="AA51" s="593"/>
    </row>
    <row r="52" spans="1:27" s="259" customFormat="1" ht="18">
      <c r="A52" s="1053">
        <f>ROW() - ROW(Table626893456791011347[[#Headers],[SL]])</f>
        <v>46</v>
      </c>
      <c r="B52" s="1490"/>
      <c r="C52" s="1120" t="s">
        <v>3733</v>
      </c>
      <c r="D52" s="1041" t="s">
        <v>3600</v>
      </c>
      <c r="E52" s="1120" t="s">
        <v>3601</v>
      </c>
      <c r="F52" s="1041" t="s">
        <v>3734</v>
      </c>
      <c r="G52" s="1277">
        <v>9486290995</v>
      </c>
      <c r="H52" s="1139" t="s">
        <v>3735</v>
      </c>
      <c r="I52" s="2408" t="s">
        <v>3738</v>
      </c>
      <c r="J52" s="1122" t="s">
        <v>73</v>
      </c>
      <c r="K52" s="1122" t="s">
        <v>138</v>
      </c>
      <c r="L52" s="1310" t="s">
        <v>3737</v>
      </c>
      <c r="M52" s="1312">
        <v>45703</v>
      </c>
      <c r="N52" s="1535">
        <v>98500</v>
      </c>
      <c r="O52" s="1042" t="s">
        <v>18</v>
      </c>
      <c r="P52" s="1042" t="s">
        <v>28</v>
      </c>
      <c r="Q52" s="1306">
        <v>1</v>
      </c>
      <c r="R52" s="1276">
        <v>4500008676</v>
      </c>
      <c r="S52" s="1282">
        <v>45734</v>
      </c>
      <c r="T52" s="1259">
        <v>95500</v>
      </c>
      <c r="U52" s="1042" t="s">
        <v>28</v>
      </c>
      <c r="V52" s="1260">
        <f>Table626893456791011347[[#This Row],[Offer Value]]-Table626893456791011347[[#This Row],[PO Value]]</f>
        <v>3000</v>
      </c>
      <c r="W52" s="1042"/>
      <c r="X52" s="1042"/>
      <c r="Y52" s="1134"/>
      <c r="Z52" s="257"/>
      <c r="AA52" s="593"/>
    </row>
    <row r="53" spans="1:27" s="259" customFormat="1" ht="31.2">
      <c r="A53" s="1053">
        <f>ROW() - ROW(Table626893456791011347[[#Headers],[SL]])</f>
        <v>47</v>
      </c>
      <c r="B53" s="1490">
        <v>45770</v>
      </c>
      <c r="C53" s="1041" t="s">
        <v>3627</v>
      </c>
      <c r="D53" s="1140" t="s">
        <v>3612</v>
      </c>
      <c r="E53" s="1120" t="s">
        <v>3601</v>
      </c>
      <c r="F53" s="1140" t="s">
        <v>3628</v>
      </c>
      <c r="G53" s="1244">
        <v>9790743230</v>
      </c>
      <c r="H53" s="1132" t="s">
        <v>3629</v>
      </c>
      <c r="I53" s="1278" t="s">
        <v>3630</v>
      </c>
      <c r="J53" s="1041" t="s">
        <v>73</v>
      </c>
      <c r="K53" s="1041" t="s">
        <v>138</v>
      </c>
      <c r="L53" s="1140" t="s">
        <v>3739</v>
      </c>
      <c r="M53" s="1492">
        <v>45770</v>
      </c>
      <c r="N53" s="2381">
        <v>98500</v>
      </c>
      <c r="O53" s="1140" t="s">
        <v>28</v>
      </c>
      <c r="P53" s="1140" t="s">
        <v>28</v>
      </c>
      <c r="Q53" s="1500">
        <v>1</v>
      </c>
      <c r="R53" s="2465">
        <v>85397065</v>
      </c>
      <c r="S53" s="1282">
        <v>45772</v>
      </c>
      <c r="T53" s="1042">
        <v>98500</v>
      </c>
      <c r="U53" s="1042" t="s">
        <v>28</v>
      </c>
      <c r="V53" s="1260">
        <f>Table626893456791011347[[#This Row],[Offer Value]]-Table626893456791011347[[#This Row],[PO Value]]</f>
        <v>0</v>
      </c>
      <c r="W53" s="1042"/>
      <c r="X53" s="1042"/>
      <c r="Y53" s="1134"/>
      <c r="Z53" s="257"/>
      <c r="AA53" s="593"/>
    </row>
    <row r="54" spans="1:27" s="259" customFormat="1" ht="18">
      <c r="A54" s="1053">
        <f>ROW() - ROW(Table626893456791011347[[#Headers],[SL]])</f>
        <v>48</v>
      </c>
      <c r="B54" s="1955">
        <v>45856</v>
      </c>
      <c r="C54" s="1140" t="s">
        <v>3722</v>
      </c>
      <c r="D54" s="1140" t="s">
        <v>3612</v>
      </c>
      <c r="E54" s="1140" t="s">
        <v>3601</v>
      </c>
      <c r="F54" s="1140" t="s">
        <v>3723</v>
      </c>
      <c r="G54" s="1244"/>
      <c r="H54" s="1952" t="s">
        <v>3724</v>
      </c>
      <c r="I54" s="1477" t="s">
        <v>3719</v>
      </c>
      <c r="J54" s="1041" t="s">
        <v>73</v>
      </c>
      <c r="K54" s="1041" t="s">
        <v>138</v>
      </c>
      <c r="L54" s="1475" t="s">
        <v>3740</v>
      </c>
      <c r="M54" s="1478">
        <v>45856</v>
      </c>
      <c r="N54" s="2432">
        <v>98900</v>
      </c>
      <c r="O54" s="1953" t="str">
        <f>TEXT(Table626893456791011347[[#This Row],[Offer Reference Date]], "mmmm")</f>
        <v>July</v>
      </c>
      <c r="P54" s="1953" t="str">
        <f>TEXT(Table626893456791011347[[#This Row],[Offer Reference Date]], "mmmm")</f>
        <v>July</v>
      </c>
      <c r="Q54" s="1500">
        <v>1</v>
      </c>
      <c r="R54" s="2461">
        <v>1500003169</v>
      </c>
      <c r="S54" s="1955">
        <v>45860</v>
      </c>
      <c r="T54" s="2209">
        <v>98900</v>
      </c>
      <c r="U54" s="1953" t="str">
        <f>TEXT(Table626893456791011347[[#This Row],[PO Date]], "mmmm")</f>
        <v>July</v>
      </c>
      <c r="V54" s="1956">
        <f>Table626893456791011347[[#This Row],[PO Value]]-Table626893456791011347[[#This Row],[Offer Value]]</f>
        <v>0</v>
      </c>
      <c r="W54" s="1956"/>
      <c r="X54" s="300"/>
      <c r="Y54" s="609"/>
      <c r="Z54" s="1128"/>
      <c r="AA54" s="1129"/>
    </row>
    <row r="55" spans="1:27" s="259" customFormat="1" ht="28.8">
      <c r="A55" s="289">
        <f>ROW() - ROW(Table626893456791011347[[#Headers],[SL]])</f>
        <v>49</v>
      </c>
      <c r="B55" s="301">
        <v>45880</v>
      </c>
      <c r="C55" s="178" t="s">
        <v>3741</v>
      </c>
      <c r="D55" s="178" t="s">
        <v>3612</v>
      </c>
      <c r="E55" s="113" t="s">
        <v>3601</v>
      </c>
      <c r="F55" s="303" t="s">
        <v>3742</v>
      </c>
      <c r="G55" s="832">
        <v>7824898802</v>
      </c>
      <c r="H55" s="316" t="s">
        <v>3743</v>
      </c>
      <c r="I55" s="2020" t="s">
        <v>3744</v>
      </c>
      <c r="J55" s="178" t="s">
        <v>75</v>
      </c>
      <c r="K55" s="108" t="s">
        <v>157</v>
      </c>
      <c r="L55" s="2404" t="s">
        <v>3745</v>
      </c>
      <c r="M55" s="301">
        <v>45880</v>
      </c>
      <c r="N55" s="2021">
        <v>99260</v>
      </c>
      <c r="O55" s="1957" t="str">
        <f>TEXT(Table626893456791011347[[#This Row],[Offer Reference Date]], "mmmm")</f>
        <v>August</v>
      </c>
      <c r="P55" s="113" t="s">
        <v>49</v>
      </c>
      <c r="Q55" s="841">
        <v>0.7</v>
      </c>
      <c r="R55" s="1795"/>
      <c r="S55" s="320"/>
      <c r="T55" s="300"/>
      <c r="U55" s="315"/>
      <c r="V55" s="1260">
        <f>Table626893456791011347[[#This Row],[Offer Value]]-Table626893456791011347[[#This Row],[PO Value]]</f>
        <v>99260</v>
      </c>
      <c r="W55" s="300"/>
      <c r="X55" s="300"/>
      <c r="Y55" s="610"/>
      <c r="Z55" s="1128"/>
      <c r="AA55" s="1141"/>
    </row>
    <row r="56" spans="1:27" s="259" customFormat="1" ht="31.2">
      <c r="A56" s="1053">
        <f>ROW() - ROW(Table626893456791011347[[#Headers],[SL]])</f>
        <v>50</v>
      </c>
      <c r="B56" s="1490">
        <v>45538</v>
      </c>
      <c r="C56" s="1122" t="s">
        <v>3746</v>
      </c>
      <c r="D56" s="1120" t="s">
        <v>3747</v>
      </c>
      <c r="E56" s="1120" t="s">
        <v>3601</v>
      </c>
      <c r="F56" s="1120" t="s">
        <v>3748</v>
      </c>
      <c r="G56" s="1278">
        <v>8056222137</v>
      </c>
      <c r="H56" s="1142" t="s">
        <v>3749</v>
      </c>
      <c r="I56" s="1278" t="s">
        <v>3750</v>
      </c>
      <c r="J56" s="1041" t="s">
        <v>73</v>
      </c>
      <c r="K56" s="1041" t="s">
        <v>138</v>
      </c>
      <c r="L56" s="1278" t="s">
        <v>3751</v>
      </c>
      <c r="M56" s="1279">
        <v>45538</v>
      </c>
      <c r="N56" s="2433">
        <v>111000</v>
      </c>
      <c r="O56" s="1023" t="s">
        <v>7</v>
      </c>
      <c r="P56" s="1248" t="s">
        <v>7</v>
      </c>
      <c r="Q56" s="1294">
        <v>1</v>
      </c>
      <c r="R56" s="1276">
        <v>6024000241</v>
      </c>
      <c r="S56" s="1302">
        <v>45615</v>
      </c>
      <c r="T56" s="1259">
        <v>111000</v>
      </c>
      <c r="U56" s="1249" t="s">
        <v>7</v>
      </c>
      <c r="V56" s="1260">
        <f>Table626893456791011347[[#This Row],[Offer Value]]-Table626893456791011347[[#This Row],[PO Value]]</f>
        <v>0</v>
      </c>
      <c r="W56" s="1261" t="s">
        <v>3606</v>
      </c>
      <c r="X56" s="1042"/>
      <c r="Y56" s="1127" t="s">
        <v>2276</v>
      </c>
      <c r="Z56" s="257"/>
      <c r="AA56" s="594"/>
    </row>
    <row r="57" spans="1:27" s="259" customFormat="1" ht="18">
      <c r="A57" s="1053">
        <f>ROW() - ROW(Table626893456791011347[[#Headers],[SL]])</f>
        <v>51</v>
      </c>
      <c r="B57" s="1251">
        <v>45481</v>
      </c>
      <c r="C57" s="1252" t="s">
        <v>3644</v>
      </c>
      <c r="D57" s="1252" t="s">
        <v>3600</v>
      </c>
      <c r="E57" s="1252" t="s">
        <v>954</v>
      </c>
      <c r="F57" s="1252" t="s">
        <v>2263</v>
      </c>
      <c r="G57" s="1252">
        <v>9500963296</v>
      </c>
      <c r="H57" s="2395" t="s">
        <v>3645</v>
      </c>
      <c r="I57" s="1535" t="s">
        <v>3646</v>
      </c>
      <c r="J57" s="1247" t="s">
        <v>75</v>
      </c>
      <c r="K57" s="1247" t="s">
        <v>157</v>
      </c>
      <c r="L57" s="2415" t="s">
        <v>3752</v>
      </c>
      <c r="M57" s="1251">
        <v>45481</v>
      </c>
      <c r="N57" s="1305">
        <v>112663</v>
      </c>
      <c r="O57" s="1042" t="s">
        <v>7</v>
      </c>
      <c r="P57" s="1042" t="s">
        <v>7</v>
      </c>
      <c r="Q57" s="1294">
        <v>1</v>
      </c>
      <c r="R57" s="1276" t="s">
        <v>3753</v>
      </c>
      <c r="S57" s="1282">
        <v>45663</v>
      </c>
      <c r="T57" s="1259">
        <v>45314</v>
      </c>
      <c r="U57" s="1042" t="s">
        <v>7</v>
      </c>
      <c r="V57" s="1260">
        <f>Table626893456791011347[[#This Row],[Offer Value]]-Table626893456791011347[[#This Row],[PO Value]]</f>
        <v>67349</v>
      </c>
      <c r="W57" s="1261" t="s">
        <v>3606</v>
      </c>
      <c r="X57" s="1042"/>
      <c r="Y57" s="1127" t="s">
        <v>1349</v>
      </c>
      <c r="Z57" s="1128"/>
      <c r="AA57" s="1129"/>
    </row>
    <row r="58" spans="1:27" s="259" customFormat="1" ht="18">
      <c r="A58" s="1053">
        <f>ROW() - ROW(Table626893456791011347[[#Headers],[SL]])</f>
        <v>52</v>
      </c>
      <c r="B58" s="1490">
        <v>45808</v>
      </c>
      <c r="C58" s="1041" t="s">
        <v>3644</v>
      </c>
      <c r="D58" s="1041" t="s">
        <v>3600</v>
      </c>
      <c r="E58" s="1252" t="s">
        <v>954</v>
      </c>
      <c r="F58" s="1252" t="s">
        <v>2263</v>
      </c>
      <c r="G58" s="1252">
        <v>9500963296</v>
      </c>
      <c r="H58" s="2395" t="s">
        <v>3645</v>
      </c>
      <c r="I58" s="1535" t="s">
        <v>3646</v>
      </c>
      <c r="J58" s="1247" t="s">
        <v>75</v>
      </c>
      <c r="K58" s="1041" t="s">
        <v>157</v>
      </c>
      <c r="L58" s="2375" t="s">
        <v>3754</v>
      </c>
      <c r="M58" s="1279">
        <v>45808</v>
      </c>
      <c r="N58" s="1910">
        <v>115347</v>
      </c>
      <c r="O58" s="1042" t="s">
        <v>30</v>
      </c>
      <c r="P58" s="1042" t="s">
        <v>34</v>
      </c>
      <c r="Q58" s="1500">
        <v>1</v>
      </c>
      <c r="R58" s="2457" t="s">
        <v>3755</v>
      </c>
      <c r="S58" s="1490">
        <v>45821</v>
      </c>
      <c r="T58" s="1910">
        <v>115347</v>
      </c>
      <c r="U58" s="1042" t="s">
        <v>34</v>
      </c>
      <c r="V58" s="1260">
        <f>Table626893456791011347[[#This Row],[Offer Value]]-Table626893456791011347[[#This Row],[PO Value]]</f>
        <v>0</v>
      </c>
      <c r="W58" s="1042"/>
      <c r="X58" s="1042"/>
      <c r="Y58" s="1134"/>
      <c r="Z58" s="1502"/>
      <c r="AA58" s="1503"/>
    </row>
    <row r="59" spans="1:27" s="259" customFormat="1" ht="31.2">
      <c r="A59" s="289">
        <f>ROW() - ROW(Table626893456791011347[[#Headers],[SL]])</f>
        <v>53</v>
      </c>
      <c r="B59" s="301">
        <v>45911</v>
      </c>
      <c r="C59" s="115" t="s">
        <v>3746</v>
      </c>
      <c r="D59" s="105" t="s">
        <v>3747</v>
      </c>
      <c r="E59" s="105" t="s">
        <v>3601</v>
      </c>
      <c r="F59" s="105" t="s">
        <v>3748</v>
      </c>
      <c r="G59" s="7">
        <v>8056222137</v>
      </c>
      <c r="H59" s="2392" t="s">
        <v>3749</v>
      </c>
      <c r="I59" t="s">
        <v>3750</v>
      </c>
      <c r="J59" s="108" t="s">
        <v>73</v>
      </c>
      <c r="K59" s="178" t="s">
        <v>138</v>
      </c>
      <c r="L59" s="2413" t="s">
        <v>3756</v>
      </c>
      <c r="M59" s="301">
        <v>45911</v>
      </c>
      <c r="N59" s="611">
        <v>115500</v>
      </c>
      <c r="O59" s="113" t="s">
        <v>44</v>
      </c>
      <c r="P59" s="300" t="s">
        <v>2354</v>
      </c>
      <c r="Q59" s="841">
        <v>1</v>
      </c>
      <c r="R59" s="2449"/>
      <c r="S59" s="320"/>
      <c r="T59" s="300"/>
      <c r="U59" s="315"/>
      <c r="V59" s="1260">
        <f>Table626893456791011347[[#This Row],[Offer Value]]-Table626893456791011347[[#This Row],[PO Value]]</f>
        <v>115500</v>
      </c>
      <c r="W59" s="300"/>
      <c r="X59" s="300"/>
      <c r="Y59" s="610"/>
      <c r="Z59" s="1502"/>
      <c r="AA59" s="1503"/>
    </row>
    <row r="60" spans="1:27" s="259" customFormat="1" ht="31.2">
      <c r="A60" s="1473">
        <f>ROW() - ROW(Table626893456791011347[[#Headers],[SL]])</f>
        <v>54</v>
      </c>
      <c r="B60" s="1955">
        <v>45663</v>
      </c>
      <c r="C60" s="1041" t="s">
        <v>3676</v>
      </c>
      <c r="D60" s="1247" t="s">
        <v>3612</v>
      </c>
      <c r="E60" s="1475" t="s">
        <v>3677</v>
      </c>
      <c r="F60" s="1475" t="s">
        <v>3678</v>
      </c>
      <c r="G60" s="1476">
        <v>9445204702</v>
      </c>
      <c r="H60" s="2397" t="s">
        <v>3679</v>
      </c>
      <c r="I60" s="1477" t="s">
        <v>3680</v>
      </c>
      <c r="J60" s="1268" t="s">
        <v>75</v>
      </c>
      <c r="K60" s="1247" t="s">
        <v>157</v>
      </c>
      <c r="L60" s="1477" t="s">
        <v>3757</v>
      </c>
      <c r="M60" s="1478">
        <v>45663</v>
      </c>
      <c r="N60" s="2430">
        <v>121500</v>
      </c>
      <c r="O60" s="1246" t="s">
        <v>28</v>
      </c>
      <c r="P60" s="1246" t="s">
        <v>28</v>
      </c>
      <c r="Q60" s="1540">
        <v>1</v>
      </c>
      <c r="R60" s="1516">
        <v>6100021125</v>
      </c>
      <c r="S60" s="1479">
        <v>45605</v>
      </c>
      <c r="T60" s="2430">
        <v>121500</v>
      </c>
      <c r="U60" s="1480" t="s">
        <v>28</v>
      </c>
      <c r="V60" s="1481">
        <f>Table626893456791011347[[#This Row],[Offer Value]]-Table626893456791011347[[#This Row],[PO Value]]</f>
        <v>0</v>
      </c>
      <c r="W60" s="1482" t="s">
        <v>3758</v>
      </c>
      <c r="X60" s="1483"/>
      <c r="Y60" s="1484"/>
      <c r="Z60" s="1128"/>
      <c r="AA60" s="1141"/>
    </row>
    <row r="61" spans="1:27" s="259" customFormat="1" ht="18">
      <c r="A61" s="1053">
        <f>ROW() - ROW(Table626893456791011347[[#Headers],[SL]])</f>
        <v>55</v>
      </c>
      <c r="B61" s="1490">
        <v>45686</v>
      </c>
      <c r="C61" s="1120" t="s">
        <v>3759</v>
      </c>
      <c r="D61" s="1041" t="s">
        <v>3747</v>
      </c>
      <c r="E61" s="1041" t="s">
        <v>3677</v>
      </c>
      <c r="F61" s="1041" t="s">
        <v>3760</v>
      </c>
      <c r="G61" s="1277">
        <v>9003127767</v>
      </c>
      <c r="H61" s="1139" t="s">
        <v>3761</v>
      </c>
      <c r="I61" s="1267" t="s">
        <v>3762</v>
      </c>
      <c r="J61" s="1122" t="s">
        <v>73</v>
      </c>
      <c r="K61" s="1041" t="s">
        <v>138</v>
      </c>
      <c r="L61" s="2418" t="s">
        <v>3763</v>
      </c>
      <c r="M61" s="1312">
        <v>45686</v>
      </c>
      <c r="N61" s="1243">
        <v>123750</v>
      </c>
      <c r="O61" s="1042" t="s">
        <v>7</v>
      </c>
      <c r="P61" s="1042" t="s">
        <v>28</v>
      </c>
      <c r="Q61" s="1306">
        <v>1</v>
      </c>
      <c r="R61" s="1270">
        <v>450087563</v>
      </c>
      <c r="S61" s="1282">
        <v>45728</v>
      </c>
      <c r="T61" s="1259">
        <v>110000</v>
      </c>
      <c r="U61" s="1042" t="s">
        <v>25</v>
      </c>
      <c r="V61" s="1260">
        <f>Table626893456791011347[[#This Row],[Offer Value]]-Table626893456791011347[[#This Row],[PO Value]]</f>
        <v>13750</v>
      </c>
      <c r="W61" s="1126"/>
      <c r="X61" s="1042"/>
      <c r="Y61" s="1134"/>
      <c r="Z61" s="1128"/>
      <c r="AA61" s="1141"/>
    </row>
    <row r="62" spans="1:27" s="259" customFormat="1" ht="18">
      <c r="A62" s="1053">
        <f>ROW() - ROW(Table626893456791011347[[#Headers],[SL]])</f>
        <v>56</v>
      </c>
      <c r="B62" s="1490"/>
      <c r="C62" s="1120" t="s">
        <v>3759</v>
      </c>
      <c r="D62" s="1041" t="s">
        <v>3747</v>
      </c>
      <c r="E62" s="1041" t="s">
        <v>3677</v>
      </c>
      <c r="F62" s="2375" t="s">
        <v>3760</v>
      </c>
      <c r="G62" s="2386">
        <v>9003127767</v>
      </c>
      <c r="H62" s="2398" t="s">
        <v>3761</v>
      </c>
      <c r="I62" s="1267" t="s">
        <v>3764</v>
      </c>
      <c r="J62" s="1122" t="s">
        <v>73</v>
      </c>
      <c r="K62" s="1041" t="s">
        <v>138</v>
      </c>
      <c r="L62" s="2418" t="s">
        <v>3763</v>
      </c>
      <c r="M62" s="1312">
        <v>45686</v>
      </c>
      <c r="N62" s="2429">
        <v>123750</v>
      </c>
      <c r="O62" s="1042" t="s">
        <v>7</v>
      </c>
      <c r="P62" s="1042" t="s">
        <v>28</v>
      </c>
      <c r="Q62" s="1306">
        <v>1</v>
      </c>
      <c r="R62" s="1270">
        <v>450087563</v>
      </c>
      <c r="S62" s="1282">
        <v>45728</v>
      </c>
      <c r="T62" s="1259">
        <v>110000</v>
      </c>
      <c r="U62" s="1042" t="s">
        <v>25</v>
      </c>
      <c r="V62" s="1260">
        <f>Table626893456791011347[[#This Row],[Offer Value]]-Table626893456791011347[[#This Row],[PO Value]]</f>
        <v>13750</v>
      </c>
      <c r="W62" s="1126"/>
      <c r="X62" s="1042"/>
      <c r="Y62" s="1134"/>
      <c r="Z62" s="1128"/>
      <c r="AA62" s="1141"/>
    </row>
    <row r="63" spans="1:27" s="259" customFormat="1" ht="33.6">
      <c r="A63" s="1053">
        <f>ROW() - ROW(Table626893456791011347[[#Headers],[SL]])</f>
        <v>57</v>
      </c>
      <c r="B63" s="1490">
        <v>45459</v>
      </c>
      <c r="C63" s="1303" t="s">
        <v>3765</v>
      </c>
      <c r="D63" s="1120" t="s">
        <v>3766</v>
      </c>
      <c r="E63" s="1278" t="s">
        <v>3767</v>
      </c>
      <c r="F63" s="1278" t="s">
        <v>3768</v>
      </c>
      <c r="G63" s="1244"/>
      <c r="H63" s="1304" t="s">
        <v>3769</v>
      </c>
      <c r="I63" s="1278" t="s">
        <v>2610</v>
      </c>
      <c r="J63" s="1041" t="s">
        <v>73</v>
      </c>
      <c r="K63" s="1041" t="s">
        <v>157</v>
      </c>
      <c r="L63" s="1303" t="s">
        <v>1864</v>
      </c>
      <c r="M63" s="1279">
        <v>45459</v>
      </c>
      <c r="N63" s="1259">
        <v>142000</v>
      </c>
      <c r="O63" s="1023" t="s">
        <v>7</v>
      </c>
      <c r="P63" s="1042" t="s">
        <v>7</v>
      </c>
      <c r="Q63" s="1294">
        <v>1</v>
      </c>
      <c r="R63" s="1276">
        <v>16882528</v>
      </c>
      <c r="S63" s="2469">
        <v>45670</v>
      </c>
      <c r="T63" s="1259">
        <v>142000</v>
      </c>
      <c r="U63" s="1042" t="s">
        <v>7</v>
      </c>
      <c r="V63" s="1260">
        <f>Table626893456791011347[[#This Row],[Offer Value]]-Table626893456791011347[[#This Row],[PO Value]]</f>
        <v>0</v>
      </c>
      <c r="W63" s="1261" t="s">
        <v>3606</v>
      </c>
      <c r="X63" s="1042"/>
      <c r="Y63" s="1127"/>
      <c r="Z63" s="1128"/>
      <c r="AA63" s="1129"/>
    </row>
    <row r="64" spans="1:27" s="259" customFormat="1" ht="33.6">
      <c r="A64" s="1053">
        <f>ROW() - ROW(Table626893456791011347[[#Headers],[SL]])</f>
        <v>58</v>
      </c>
      <c r="B64" s="1490">
        <v>45459</v>
      </c>
      <c r="C64" s="1303" t="s">
        <v>3765</v>
      </c>
      <c r="D64" s="1120" t="s">
        <v>3612</v>
      </c>
      <c r="E64" s="1278" t="s">
        <v>3767</v>
      </c>
      <c r="F64" s="1278" t="s">
        <v>3768</v>
      </c>
      <c r="G64" s="1277"/>
      <c r="H64" s="1304" t="s">
        <v>3769</v>
      </c>
      <c r="I64" s="1267" t="s">
        <v>3770</v>
      </c>
      <c r="J64" s="1041" t="s">
        <v>73</v>
      </c>
      <c r="K64" s="1041" t="s">
        <v>157</v>
      </c>
      <c r="L64" s="1303" t="s">
        <v>1864</v>
      </c>
      <c r="M64" s="1279">
        <v>45459</v>
      </c>
      <c r="N64" s="1259">
        <v>142000</v>
      </c>
      <c r="O64" s="1023" t="s">
        <v>7</v>
      </c>
      <c r="P64" s="1042" t="s">
        <v>7</v>
      </c>
      <c r="Q64" s="1294">
        <v>1</v>
      </c>
      <c r="R64" s="1276">
        <v>16882528</v>
      </c>
      <c r="S64" s="1282">
        <v>45670</v>
      </c>
      <c r="T64" s="1491">
        <v>142000</v>
      </c>
      <c r="U64" s="1042" t="s">
        <v>7</v>
      </c>
      <c r="V64" s="1260">
        <f>Table626893456791011347[[#This Row],[Offer Value]]-Table626893456791011347[[#This Row],[PO Value]]</f>
        <v>0</v>
      </c>
      <c r="W64" s="1261" t="s">
        <v>3606</v>
      </c>
      <c r="X64" s="1042"/>
      <c r="Y64" s="1134"/>
      <c r="Z64" s="1128"/>
      <c r="AA64" s="1141"/>
    </row>
    <row r="65" spans="1:27" s="259" customFormat="1" ht="31.2">
      <c r="A65" s="1053">
        <f>ROW() - ROW(Table626893456791011347[[#Headers],[SL]])</f>
        <v>59</v>
      </c>
      <c r="B65" s="2503">
        <v>45695</v>
      </c>
      <c r="C65" s="1122" t="s">
        <v>3771</v>
      </c>
      <c r="D65" s="1120" t="s">
        <v>3612</v>
      </c>
      <c r="E65" s="1120" t="s">
        <v>3601</v>
      </c>
      <c r="F65" s="1120" t="s">
        <v>3772</v>
      </c>
      <c r="G65" s="1245">
        <v>9884067133</v>
      </c>
      <c r="H65" s="1132" t="s">
        <v>3773</v>
      </c>
      <c r="I65" s="1307">
        <v>105000222</v>
      </c>
      <c r="J65" s="1041" t="s">
        <v>73</v>
      </c>
      <c r="K65" s="1041" t="s">
        <v>157</v>
      </c>
      <c r="L65" s="1308" t="s">
        <v>3774</v>
      </c>
      <c r="M65" s="1279">
        <v>45695</v>
      </c>
      <c r="N65" s="1243">
        <v>142080</v>
      </c>
      <c r="O65" s="1042" t="s">
        <v>7</v>
      </c>
      <c r="P65" s="1042" t="s">
        <v>25</v>
      </c>
      <c r="Q65" s="1306">
        <v>0.6</v>
      </c>
      <c r="R65" s="1276" t="s">
        <v>3775</v>
      </c>
      <c r="S65" s="1282">
        <v>45699</v>
      </c>
      <c r="T65" s="1259">
        <v>142080</v>
      </c>
      <c r="U65" s="1042" t="s">
        <v>18</v>
      </c>
      <c r="V65" s="1260">
        <f>Table626893456791011347[[#This Row],[Offer Value]]-Table626893456791011347[[#This Row],[PO Value]]</f>
        <v>0</v>
      </c>
      <c r="W65" s="1279"/>
      <c r="X65" s="1042"/>
      <c r="Y65" s="1127"/>
      <c r="Z65" s="1128"/>
      <c r="AA65" s="1141"/>
    </row>
    <row r="66" spans="1:27" s="259" customFormat="1" ht="18">
      <c r="A66" s="1053">
        <f>ROW() - ROW(Table626893456791011347[[#Headers],[SL]])</f>
        <v>60</v>
      </c>
      <c r="B66" s="1490">
        <v>45719</v>
      </c>
      <c r="C66" s="1140" t="s">
        <v>3776</v>
      </c>
      <c r="D66" s="1120" t="s">
        <v>3612</v>
      </c>
      <c r="E66" s="1120" t="s">
        <v>3601</v>
      </c>
      <c r="F66" s="2377" t="s">
        <v>3777</v>
      </c>
      <c r="G66" s="2387">
        <v>9176017044</v>
      </c>
      <c r="H66" s="1142" t="s">
        <v>3778</v>
      </c>
      <c r="I66" s="1278" t="s">
        <v>3779</v>
      </c>
      <c r="J66" s="1041" t="s">
        <v>75</v>
      </c>
      <c r="K66" s="1041" t="s">
        <v>157</v>
      </c>
      <c r="L66" s="1267" t="s">
        <v>3780</v>
      </c>
      <c r="M66" s="1492">
        <v>45719</v>
      </c>
      <c r="N66" s="1491">
        <v>167978.88</v>
      </c>
      <c r="O66" s="1042" t="s">
        <v>25</v>
      </c>
      <c r="P66" s="1042" t="s">
        <v>25</v>
      </c>
      <c r="Q66" s="1306">
        <v>1</v>
      </c>
      <c r="R66" s="1276">
        <v>4500105714</v>
      </c>
      <c r="S66" s="1490">
        <v>45636</v>
      </c>
      <c r="T66" s="2429">
        <v>167978.88</v>
      </c>
      <c r="U66" s="1042" t="s">
        <v>25</v>
      </c>
      <c r="V66" s="1260">
        <f>Table626893456791011347[[#This Row],[Offer Value]]-Table626893456791011347[[#This Row],[PO Value]]</f>
        <v>0</v>
      </c>
      <c r="W66" s="1042"/>
      <c r="X66" s="1042"/>
      <c r="Y66" s="1127"/>
      <c r="Z66" s="1128"/>
      <c r="AA66" s="1141"/>
    </row>
    <row r="67" spans="1:27" s="259" customFormat="1" ht="31.2">
      <c r="A67" s="1053">
        <f>ROW() - ROW(Table626893456791011347[[#Headers],[SL]])</f>
        <v>61</v>
      </c>
      <c r="B67" s="1279">
        <v>45574</v>
      </c>
      <c r="C67" s="1122" t="s">
        <v>3599</v>
      </c>
      <c r="D67" s="1120" t="s">
        <v>3600</v>
      </c>
      <c r="E67" s="1120" t="s">
        <v>3601</v>
      </c>
      <c r="F67" s="1120" t="s">
        <v>3602</v>
      </c>
      <c r="G67" s="1278">
        <v>8754033997</v>
      </c>
      <c r="H67" s="1142" t="s">
        <v>3603</v>
      </c>
      <c r="I67" s="1267" t="s">
        <v>3604</v>
      </c>
      <c r="J67" s="1041" t="s">
        <v>75</v>
      </c>
      <c r="K67" s="1041" t="s">
        <v>157</v>
      </c>
      <c r="L67" s="1278" t="s">
        <v>3781</v>
      </c>
      <c r="M67" s="1279">
        <v>45574</v>
      </c>
      <c r="N67" s="1259">
        <v>178693.44</v>
      </c>
      <c r="O67" s="1042" t="s">
        <v>7</v>
      </c>
      <c r="P67" s="1042" t="s">
        <v>7</v>
      </c>
      <c r="Q67" s="1294">
        <v>1</v>
      </c>
      <c r="R67" s="1276">
        <v>4504639529</v>
      </c>
      <c r="S67" s="1282">
        <v>45586</v>
      </c>
      <c r="T67" s="1259">
        <v>178693.44</v>
      </c>
      <c r="U67" s="1042" t="s">
        <v>7</v>
      </c>
      <c r="V67" s="1260">
        <f>Table626893456791011347[[#This Row],[Offer Value]]-Table626893456791011347[[#This Row],[PO Value]]</f>
        <v>0</v>
      </c>
      <c r="W67" s="1261" t="s">
        <v>3606</v>
      </c>
      <c r="X67" s="1042"/>
      <c r="Y67" s="1127" t="s">
        <v>202</v>
      </c>
      <c r="Z67" s="257"/>
      <c r="AA67" s="594"/>
    </row>
    <row r="68" spans="1:27" s="259" customFormat="1" ht="18">
      <c r="A68" s="1053">
        <f>ROW() - ROW(Table626893456791011347[[#Headers],[SL]])</f>
        <v>62</v>
      </c>
      <c r="B68" s="1490">
        <v>45808</v>
      </c>
      <c r="C68" s="1041" t="s">
        <v>1736</v>
      </c>
      <c r="D68" s="1041" t="s">
        <v>3612</v>
      </c>
      <c r="E68" s="1140" t="s">
        <v>3601</v>
      </c>
      <c r="F68" s="1041" t="s">
        <v>3617</v>
      </c>
      <c r="G68" s="1277">
        <v>9994975187</v>
      </c>
      <c r="H68" s="1142" t="s">
        <v>3618</v>
      </c>
      <c r="I68" s="1920" t="s">
        <v>3619</v>
      </c>
      <c r="J68" s="1041" t="s">
        <v>81</v>
      </c>
      <c r="K68" s="1041" t="s">
        <v>157</v>
      </c>
      <c r="L68" s="1041" t="s">
        <v>3782</v>
      </c>
      <c r="M68" s="1279">
        <v>45808</v>
      </c>
      <c r="N68" s="1921">
        <v>184605</v>
      </c>
      <c r="O68" s="1042" t="s">
        <v>30</v>
      </c>
      <c r="P68" s="1042" t="s">
        <v>34</v>
      </c>
      <c r="Q68" s="1306">
        <v>1</v>
      </c>
      <c r="R68" s="2456">
        <v>6800047475</v>
      </c>
      <c r="S68" s="1490">
        <v>45820</v>
      </c>
      <c r="T68" s="1910">
        <v>184605</v>
      </c>
      <c r="U68" s="1042"/>
      <c r="V68" s="1260">
        <f>Table626893456791011347[[#This Row],[Offer Value]]-Table626893456791011347[[#This Row],[PO Value]]</f>
        <v>0</v>
      </c>
      <c r="W68" s="2454"/>
      <c r="X68" s="1042"/>
      <c r="Y68" s="1134"/>
      <c r="Z68" s="257"/>
      <c r="AA68" s="593"/>
    </row>
    <row r="69" spans="1:27" s="259" customFormat="1" ht="31.2">
      <c r="A69" s="1053">
        <f>ROW() - ROW(Table626893456791011347[[#Headers],[SL]])</f>
        <v>63</v>
      </c>
      <c r="B69" s="1490">
        <v>45713</v>
      </c>
      <c r="C69" s="1041" t="s">
        <v>3783</v>
      </c>
      <c r="D69" s="1120" t="s">
        <v>3612</v>
      </c>
      <c r="E69" s="1120" t="s">
        <v>3601</v>
      </c>
      <c r="F69" s="1140" t="s">
        <v>3784</v>
      </c>
      <c r="G69" s="1244">
        <v>9176995301</v>
      </c>
      <c r="H69" s="1132" t="s">
        <v>3785</v>
      </c>
      <c r="I69" s="1267" t="s">
        <v>3786</v>
      </c>
      <c r="J69" s="1041" t="s">
        <v>75</v>
      </c>
      <c r="K69" s="1041" t="s">
        <v>157</v>
      </c>
      <c r="L69" s="1278" t="s">
        <v>3787</v>
      </c>
      <c r="M69" s="1312">
        <v>45713</v>
      </c>
      <c r="N69" s="1243">
        <v>188360</v>
      </c>
      <c r="O69" s="1042" t="s">
        <v>18</v>
      </c>
      <c r="P69" s="1042" t="s">
        <v>25</v>
      </c>
      <c r="Q69" s="1306">
        <v>0.8</v>
      </c>
      <c r="R69" s="1276">
        <v>350831</v>
      </c>
      <c r="S69" s="1490">
        <v>45757</v>
      </c>
      <c r="T69" s="1243">
        <v>68600</v>
      </c>
      <c r="U69" s="1042" t="s">
        <v>28</v>
      </c>
      <c r="V69" s="1260">
        <f>Table626893456791011347[[#This Row],[Offer Value]]-Table626893456791011347[[#This Row],[PO Value]]</f>
        <v>119760</v>
      </c>
      <c r="W69" s="1042"/>
      <c r="X69" s="1042"/>
      <c r="Y69" s="1127"/>
      <c r="Z69" s="257"/>
      <c r="AA69" s="594"/>
    </row>
    <row r="70" spans="1:27" s="259" customFormat="1" ht="18">
      <c r="A70" s="1053">
        <f>ROW() - ROW(Table626893456791011347[[#Headers],[SL]])</f>
        <v>64</v>
      </c>
      <c r="B70" s="1490">
        <v>45695</v>
      </c>
      <c r="C70" s="1120" t="s">
        <v>755</v>
      </c>
      <c r="D70" s="1120" t="s">
        <v>3600</v>
      </c>
      <c r="E70" s="1120" t="s">
        <v>3601</v>
      </c>
      <c r="F70" s="1041" t="s">
        <v>3698</v>
      </c>
      <c r="G70" s="1245">
        <v>9443675970</v>
      </c>
      <c r="H70" s="1132" t="s">
        <v>3699</v>
      </c>
      <c r="I70" s="1909" t="s">
        <v>3700</v>
      </c>
      <c r="J70" s="1122" t="s">
        <v>75</v>
      </c>
      <c r="K70" s="1122" t="s">
        <v>157</v>
      </c>
      <c r="L70" s="1310" t="s">
        <v>3788</v>
      </c>
      <c r="M70" s="1312">
        <v>45695</v>
      </c>
      <c r="N70" s="1278">
        <v>196912</v>
      </c>
      <c r="O70" s="1042" t="s">
        <v>18</v>
      </c>
      <c r="P70" s="1042" t="s">
        <v>18</v>
      </c>
      <c r="Q70" s="1306">
        <v>1</v>
      </c>
      <c r="R70" s="1276">
        <v>4507289214</v>
      </c>
      <c r="S70" s="1282">
        <v>45630</v>
      </c>
      <c r="T70" s="1259">
        <v>196912</v>
      </c>
      <c r="U70" s="1042" t="s">
        <v>18</v>
      </c>
      <c r="V70" s="1260">
        <f>Table626893456791011347[[#This Row],[Offer Value]]-Table626893456791011347[[#This Row],[PO Value]]</f>
        <v>0</v>
      </c>
      <c r="W70" s="1126"/>
      <c r="X70" s="1042"/>
      <c r="Y70" s="1134"/>
      <c r="Z70" s="257"/>
      <c r="AA70" s="594"/>
    </row>
    <row r="71" spans="1:27" s="259" customFormat="1" ht="18">
      <c r="A71" s="1053">
        <f>ROW() - ROW(Table626893456791011347[[#Headers],[SL]])</f>
        <v>65</v>
      </c>
      <c r="B71" s="1490">
        <v>45798</v>
      </c>
      <c r="C71" s="1041" t="s">
        <v>3733</v>
      </c>
      <c r="D71" s="1120" t="s">
        <v>3600</v>
      </c>
      <c r="E71" s="1120" t="s">
        <v>3601</v>
      </c>
      <c r="F71" s="1120" t="s">
        <v>3734</v>
      </c>
      <c r="G71" s="2374">
        <v>4259259254</v>
      </c>
      <c r="H71" s="2374" t="s">
        <v>3735</v>
      </c>
      <c r="I71" s="2374" t="s">
        <v>3789</v>
      </c>
      <c r="J71" s="1041" t="s">
        <v>75</v>
      </c>
      <c r="K71" s="1041" t="s">
        <v>157</v>
      </c>
      <c r="L71" s="1930" t="s">
        <v>3790</v>
      </c>
      <c r="M71" s="1279">
        <v>45798</v>
      </c>
      <c r="N71" s="1910">
        <v>203390</v>
      </c>
      <c r="O71" s="1042" t="s">
        <v>30</v>
      </c>
      <c r="P71" s="1042" t="s">
        <v>30</v>
      </c>
      <c r="Q71" s="1306">
        <v>1</v>
      </c>
      <c r="R71" s="2456">
        <v>4500014060</v>
      </c>
      <c r="S71" s="1490">
        <v>45798</v>
      </c>
      <c r="T71" s="1910">
        <v>203390</v>
      </c>
      <c r="U71" s="1042" t="s">
        <v>30</v>
      </c>
      <c r="V71" s="1260">
        <f>Table626893456791011347[[#This Row],[Offer Value]]-Table626893456791011347[[#This Row],[PO Value]]</f>
        <v>0</v>
      </c>
      <c r="W71" s="1042"/>
      <c r="X71" s="1042"/>
      <c r="Y71" s="1134"/>
      <c r="Z71" s="257"/>
      <c r="AA71" s="593"/>
    </row>
    <row r="72" spans="1:27" s="259" customFormat="1" ht="18">
      <c r="A72" s="289">
        <f>ROW() - ROW(Table626893456791011347[[#Headers],[SL]])</f>
        <v>66</v>
      </c>
      <c r="B72" s="852">
        <v>45754</v>
      </c>
      <c r="C72" s="105" t="s">
        <v>3733</v>
      </c>
      <c r="D72" s="108" t="s">
        <v>3600</v>
      </c>
      <c r="E72" s="105" t="s">
        <v>3601</v>
      </c>
      <c r="F72" s="108" t="s">
        <v>3734</v>
      </c>
      <c r="G72" s="828">
        <v>9486290995</v>
      </c>
      <c r="H72" s="251" t="s">
        <v>3735</v>
      </c>
      <c r="I72" s="1793" t="s">
        <v>3738</v>
      </c>
      <c r="J72" s="108" t="s">
        <v>75</v>
      </c>
      <c r="K72" s="108" t="s">
        <v>157</v>
      </c>
      <c r="L72" s="108" t="s">
        <v>3791</v>
      </c>
      <c r="M72" s="850">
        <v>45751</v>
      </c>
      <c r="N72" s="217">
        <v>212980</v>
      </c>
      <c r="O72" s="106" t="s">
        <v>28</v>
      </c>
      <c r="P72" s="106" t="s">
        <v>39</v>
      </c>
      <c r="Q72" s="840">
        <v>0.5</v>
      </c>
      <c r="R72" s="44"/>
      <c r="S72" s="852"/>
      <c r="T72" s="106"/>
      <c r="U72" s="106"/>
      <c r="V72" s="1541">
        <f>Table626893456791011347[[#This Row],[Offer Value]]-Table626893456791011347[[#This Row],[PO Value]]</f>
        <v>212980</v>
      </c>
      <c r="W72" s="106" t="s">
        <v>3792</v>
      </c>
      <c r="X72" s="106"/>
      <c r="Y72" s="604"/>
      <c r="Z72" s="1128"/>
      <c r="AA72" s="1129"/>
    </row>
    <row r="73" spans="1:27" s="259" customFormat="1" ht="18">
      <c r="A73" s="289">
        <f>ROW() - ROW(Table626893456791011347[[#Headers],[SL]])</f>
        <v>67</v>
      </c>
      <c r="B73" s="852">
        <v>45783</v>
      </c>
      <c r="C73" s="108" t="s">
        <v>3793</v>
      </c>
      <c r="D73" s="113" t="s">
        <v>3612</v>
      </c>
      <c r="E73" s="105" t="s">
        <v>3601</v>
      </c>
      <c r="F73" s="108" t="s">
        <v>3794</v>
      </c>
      <c r="G73" s="828">
        <v>9626824824</v>
      </c>
      <c r="H73" s="606" t="s">
        <v>3795</v>
      </c>
      <c r="I73" s="1916"/>
      <c r="J73" s="108" t="s">
        <v>75</v>
      </c>
      <c r="K73" s="108" t="s">
        <v>157</v>
      </c>
      <c r="L73" s="108" t="s">
        <v>3796</v>
      </c>
      <c r="M73" s="847">
        <v>45783</v>
      </c>
      <c r="N73" s="217">
        <v>221000</v>
      </c>
      <c r="O73" s="106" t="s">
        <v>30</v>
      </c>
      <c r="P73" s="106" t="s">
        <v>34</v>
      </c>
      <c r="Q73" s="1562">
        <v>1</v>
      </c>
      <c r="R73" s="107"/>
      <c r="S73" s="852"/>
      <c r="T73" s="106"/>
      <c r="U73" s="106"/>
      <c r="V73" s="1260">
        <f>Table626893456791011347[[#This Row],[Offer Value]]-Table626893456791011347[[#This Row],[PO Value]]</f>
        <v>221000</v>
      </c>
      <c r="W73" s="106" t="s">
        <v>3797</v>
      </c>
      <c r="X73" s="106"/>
      <c r="Y73" s="604"/>
      <c r="Z73" s="1128"/>
      <c r="AA73" s="1129"/>
    </row>
    <row r="74" spans="1:27" s="259" customFormat="1" ht="18">
      <c r="A74" s="1053">
        <f>ROW() - ROW(Table626893456791011347[[#Headers],[SL]])</f>
        <v>68</v>
      </c>
      <c r="B74" s="1490">
        <v>45713</v>
      </c>
      <c r="C74" s="1120" t="s">
        <v>1736</v>
      </c>
      <c r="D74" s="1120" t="s">
        <v>3612</v>
      </c>
      <c r="E74" s="1120" t="s">
        <v>3601</v>
      </c>
      <c r="F74" s="1041" t="s">
        <v>3617</v>
      </c>
      <c r="G74" s="1277">
        <v>9994975187</v>
      </c>
      <c r="H74" s="2394" t="s">
        <v>3618</v>
      </c>
      <c r="I74" s="1278" t="s">
        <v>3619</v>
      </c>
      <c r="J74" s="1041" t="s">
        <v>75</v>
      </c>
      <c r="K74" s="1041" t="s">
        <v>157</v>
      </c>
      <c r="L74" s="1278" t="s">
        <v>3798</v>
      </c>
      <c r="M74" s="1312">
        <v>45713</v>
      </c>
      <c r="N74" s="1243">
        <v>223700</v>
      </c>
      <c r="O74" s="1042" t="s">
        <v>18</v>
      </c>
      <c r="P74" s="1042" t="s">
        <v>25</v>
      </c>
      <c r="Q74" s="1306">
        <v>1</v>
      </c>
      <c r="R74" s="1309">
        <v>6600145112</v>
      </c>
      <c r="S74" s="1490">
        <v>45734</v>
      </c>
      <c r="T74" s="1243">
        <v>189700</v>
      </c>
      <c r="U74" s="1042" t="s">
        <v>25</v>
      </c>
      <c r="V74" s="1260">
        <f>Table626893456791011347[[#This Row],[Offer Value]]-Table626893456791011347[[#This Row],[PO Value]]</f>
        <v>34000</v>
      </c>
      <c r="W74" s="1042"/>
      <c r="X74" s="1042"/>
      <c r="Y74" s="1127"/>
      <c r="Z74" s="1531"/>
      <c r="AA74" s="1532"/>
    </row>
    <row r="75" spans="1:27" s="259" customFormat="1" ht="18">
      <c r="A75" s="1053">
        <f>ROW() - ROW(Table626893456791011347[[#Headers],[SL]])</f>
        <v>69</v>
      </c>
      <c r="B75" s="1251">
        <v>45833</v>
      </c>
      <c r="C75" s="1140" t="s">
        <v>3776</v>
      </c>
      <c r="D75" s="1140" t="s">
        <v>3612</v>
      </c>
      <c r="E75" s="1140" t="s">
        <v>2673</v>
      </c>
      <c r="F75" s="1041" t="s">
        <v>3799</v>
      </c>
      <c r="G75" s="2382">
        <v>9500009840</v>
      </c>
      <c r="H75" s="1142" t="s">
        <v>3800</v>
      </c>
      <c r="I75" s="1477" t="s">
        <v>3619</v>
      </c>
      <c r="J75" s="1041" t="s">
        <v>75</v>
      </c>
      <c r="K75" s="1041" t="s">
        <v>157</v>
      </c>
      <c r="L75" s="1920" t="s">
        <v>3801</v>
      </c>
      <c r="M75" s="2018">
        <v>45833</v>
      </c>
      <c r="N75" s="2019">
        <v>238900</v>
      </c>
      <c r="O75" s="1140" t="s">
        <v>34</v>
      </c>
      <c r="P75" s="1140" t="s">
        <v>39</v>
      </c>
      <c r="Q75" s="1500">
        <v>1</v>
      </c>
      <c r="R75" s="2446">
        <v>4500117878</v>
      </c>
      <c r="S75" s="1295">
        <v>45873</v>
      </c>
      <c r="T75" s="2017">
        <v>232927.5</v>
      </c>
      <c r="U75" s="1248" t="s">
        <v>39</v>
      </c>
      <c r="V75" s="1260">
        <f>Table626893456791011347[[#This Row],[Offer Value]]-Table626893456791011347[[#This Row],[PO Value]]</f>
        <v>5972.5</v>
      </c>
      <c r="W75" s="1248"/>
      <c r="X75" s="1248"/>
      <c r="Y75" s="1946"/>
      <c r="Z75" s="1128"/>
      <c r="AA75" s="1129"/>
    </row>
    <row r="76" spans="1:27" s="259" customFormat="1" ht="31.2">
      <c r="A76" s="1053">
        <f>ROW() - ROW(Table626893456791011347[[#Headers],[SL]])</f>
        <v>70</v>
      </c>
      <c r="B76" s="1490">
        <v>45673</v>
      </c>
      <c r="C76" s="1122" t="s">
        <v>3599</v>
      </c>
      <c r="D76" s="1120" t="s">
        <v>3600</v>
      </c>
      <c r="E76" s="1120" t="s">
        <v>3601</v>
      </c>
      <c r="F76" s="2379" t="s">
        <v>3602</v>
      </c>
      <c r="G76" s="1278">
        <v>8754033997</v>
      </c>
      <c r="H76" s="1142" t="s">
        <v>3603</v>
      </c>
      <c r="I76" s="1267" t="s">
        <v>3604</v>
      </c>
      <c r="J76" s="1041" t="s">
        <v>75</v>
      </c>
      <c r="K76" s="1041" t="s">
        <v>157</v>
      </c>
      <c r="L76" s="1278" t="s">
        <v>3605</v>
      </c>
      <c r="M76" s="1279">
        <v>45307</v>
      </c>
      <c r="N76" s="1259">
        <v>246355</v>
      </c>
      <c r="O76" s="1042" t="s">
        <v>7</v>
      </c>
      <c r="P76" s="1042" t="s">
        <v>7</v>
      </c>
      <c r="Q76" s="1294">
        <v>1</v>
      </c>
      <c r="R76" s="1270">
        <v>4504696660</v>
      </c>
      <c r="S76" s="1302">
        <v>45677</v>
      </c>
      <c r="T76" s="1259">
        <v>236500.8</v>
      </c>
      <c r="U76" s="1042" t="s">
        <v>7</v>
      </c>
      <c r="V76" s="1260">
        <f>Table626893456791011347[[#This Row],[Offer Value]]-Table626893456791011347[[#This Row],[PO Value]]</f>
        <v>9854.2000000000116</v>
      </c>
      <c r="W76" s="1261"/>
      <c r="X76" s="1042"/>
      <c r="Y76" s="1134">
        <v>45993</v>
      </c>
      <c r="Z76" s="1128"/>
      <c r="AA76" s="1129"/>
    </row>
    <row r="77" spans="1:27" s="259" customFormat="1" ht="31.2">
      <c r="A77" s="1053">
        <f>ROW() - ROW(Table626893456791011347[[#Headers],[SL]])</f>
        <v>71</v>
      </c>
      <c r="B77" s="1490">
        <v>45768</v>
      </c>
      <c r="C77" s="1122" t="s">
        <v>3599</v>
      </c>
      <c r="D77" s="1120" t="s">
        <v>3600</v>
      </c>
      <c r="E77" s="1120" t="s">
        <v>3601</v>
      </c>
      <c r="F77" s="1120" t="s">
        <v>3602</v>
      </c>
      <c r="G77" s="1278">
        <v>8754033997</v>
      </c>
      <c r="H77" s="1142" t="s">
        <v>3603</v>
      </c>
      <c r="I77" s="1278" t="s">
        <v>3604</v>
      </c>
      <c r="J77" s="1041" t="s">
        <v>75</v>
      </c>
      <c r="K77" s="1041" t="s">
        <v>157</v>
      </c>
      <c r="L77" s="1278" t="s">
        <v>3605</v>
      </c>
      <c r="M77" s="1279">
        <v>45307</v>
      </c>
      <c r="N77" s="1259">
        <v>246355</v>
      </c>
      <c r="O77" s="1042" t="s">
        <v>28</v>
      </c>
      <c r="P77" s="1042" t="s">
        <v>28</v>
      </c>
      <c r="Q77" s="1294">
        <v>1</v>
      </c>
      <c r="R77" s="1270">
        <v>4504743055</v>
      </c>
      <c r="S77" s="1302">
        <v>45731</v>
      </c>
      <c r="T77" s="1259">
        <v>236500.8</v>
      </c>
      <c r="U77" s="1042" t="s">
        <v>28</v>
      </c>
      <c r="V77" s="1260">
        <f>Table626893456791011347[[#This Row],[Offer Value]]-Table626893456791011347[[#This Row],[PO Value]]</f>
        <v>9854.2000000000116</v>
      </c>
      <c r="W77" s="1261"/>
      <c r="X77" s="1042"/>
      <c r="Y77" s="1134"/>
      <c r="Z77" s="1128"/>
      <c r="AA77" s="1141"/>
    </row>
    <row r="78" spans="1:27" s="259" customFormat="1" ht="18">
      <c r="A78" s="1053">
        <f>ROW() - ROW(Table626893456791011347[[#Headers],[SL]])</f>
        <v>72</v>
      </c>
      <c r="B78" s="1490">
        <v>45703</v>
      </c>
      <c r="C78" s="1120" t="s">
        <v>755</v>
      </c>
      <c r="D78" s="1120" t="s">
        <v>3600</v>
      </c>
      <c r="E78" s="1120" t="s">
        <v>3601</v>
      </c>
      <c r="F78" s="1041" t="s">
        <v>3698</v>
      </c>
      <c r="G78" s="1245">
        <v>9443675970</v>
      </c>
      <c r="H78" s="1132" t="s">
        <v>3699</v>
      </c>
      <c r="I78" s="1311" t="s">
        <v>3700</v>
      </c>
      <c r="J78" s="1122" t="s">
        <v>75</v>
      </c>
      <c r="K78" s="1122" t="s">
        <v>157</v>
      </c>
      <c r="L78" s="1488" t="s">
        <v>3802</v>
      </c>
      <c r="M78" s="1312">
        <v>45703</v>
      </c>
      <c r="N78" s="1243">
        <v>257586</v>
      </c>
      <c r="O78" s="1042" t="s">
        <v>18</v>
      </c>
      <c r="P78" s="1042" t="s">
        <v>28</v>
      </c>
      <c r="Q78" s="1306">
        <v>1</v>
      </c>
      <c r="R78" s="1309">
        <v>4507412829</v>
      </c>
      <c r="S78" s="1282">
        <v>45719</v>
      </c>
      <c r="T78" s="1259">
        <v>257586</v>
      </c>
      <c r="U78" s="1042" t="s">
        <v>25</v>
      </c>
      <c r="V78" s="1260">
        <f>Table626893456791011347[[#This Row],[Offer Value]]-Table626893456791011347[[#This Row],[PO Value]]</f>
        <v>0</v>
      </c>
      <c r="W78" s="1126"/>
      <c r="X78" s="1042"/>
      <c r="Y78" s="1134"/>
      <c r="Z78" s="1128"/>
      <c r="AA78" s="1141"/>
    </row>
    <row r="79" spans="1:27" s="259" customFormat="1" ht="18">
      <c r="A79" s="1498">
        <f>ROW() - ROW(Table626893456791011347[[#Headers],[SL]])</f>
        <v>73</v>
      </c>
      <c r="B79" s="1492">
        <v>45713</v>
      </c>
      <c r="C79" s="1140" t="s">
        <v>3716</v>
      </c>
      <c r="D79" s="1140" t="s">
        <v>3612</v>
      </c>
      <c r="E79" s="1140" t="s">
        <v>3601</v>
      </c>
      <c r="F79" s="2376" t="s">
        <v>3803</v>
      </c>
      <c r="G79" s="1277">
        <v>9994975187</v>
      </c>
      <c r="H79" s="2390" t="s">
        <v>3804</v>
      </c>
      <c r="I79" s="1477" t="s">
        <v>3719</v>
      </c>
      <c r="J79" s="1041" t="s">
        <v>75</v>
      </c>
      <c r="K79" s="1041" t="s">
        <v>157</v>
      </c>
      <c r="L79" s="1920" t="s">
        <v>3805</v>
      </c>
      <c r="M79" s="1492">
        <v>45713</v>
      </c>
      <c r="N79" s="1244">
        <v>259846</v>
      </c>
      <c r="O79" s="1140" t="s">
        <v>18</v>
      </c>
      <c r="P79" s="1140" t="s">
        <v>25</v>
      </c>
      <c r="Q79" s="1500">
        <v>1</v>
      </c>
      <c r="R79" s="2447">
        <v>24009694</v>
      </c>
      <c r="S79" s="1492">
        <v>45729</v>
      </c>
      <c r="T79" s="1244">
        <v>250306</v>
      </c>
      <c r="U79" s="1140" t="s">
        <v>25</v>
      </c>
      <c r="V79" s="1481">
        <f>Table626893456791011347[[#This Row],[Offer Value]]-Table626893456791011347[[#This Row],[PO Value]]</f>
        <v>9540</v>
      </c>
      <c r="W79" s="1140"/>
      <c r="X79" s="1501"/>
      <c r="Y79" s="1277"/>
      <c r="Z79" s="1128"/>
      <c r="AA79" s="1141"/>
    </row>
    <row r="80" spans="1:27" s="259" customFormat="1" ht="18">
      <c r="A80" s="1498">
        <f>ROW() - ROW(Table626893456791011347[[#Headers],[SL]])</f>
        <v>74</v>
      </c>
      <c r="B80" s="1492">
        <v>45708</v>
      </c>
      <c r="C80" s="1140" t="s">
        <v>3716</v>
      </c>
      <c r="D80" s="1140" t="s">
        <v>3612</v>
      </c>
      <c r="E80" s="1140" t="s">
        <v>3601</v>
      </c>
      <c r="F80" s="1140" t="s">
        <v>3803</v>
      </c>
      <c r="G80" s="2386">
        <v>9994975187</v>
      </c>
      <c r="H80" s="1499" t="s">
        <v>3804</v>
      </c>
      <c r="I80" s="1477" t="s">
        <v>3719</v>
      </c>
      <c r="J80" s="1041" t="s">
        <v>75</v>
      </c>
      <c r="K80" s="1041" t="s">
        <v>157</v>
      </c>
      <c r="L80" s="1920" t="s">
        <v>3806</v>
      </c>
      <c r="M80" s="1492">
        <v>45708</v>
      </c>
      <c r="N80" s="1244">
        <v>280490</v>
      </c>
      <c r="O80" s="1140" t="s">
        <v>18</v>
      </c>
      <c r="P80" s="1140" t="s">
        <v>25</v>
      </c>
      <c r="Q80" s="1500">
        <v>1</v>
      </c>
      <c r="R80" s="2447">
        <v>24009694</v>
      </c>
      <c r="S80" s="1492">
        <v>45729</v>
      </c>
      <c r="T80" s="1244">
        <v>280490</v>
      </c>
      <c r="U80" s="1140" t="s">
        <v>25</v>
      </c>
      <c r="V80" s="1481">
        <f>Table626893456791011347[[#This Row],[Offer Value]]-Table626893456791011347[[#This Row],[PO Value]]</f>
        <v>0</v>
      </c>
      <c r="W80" s="1140"/>
      <c r="X80" s="1501"/>
      <c r="Y80" s="1277"/>
      <c r="Z80" s="1128"/>
      <c r="AA80" s="1129"/>
    </row>
    <row r="81" spans="1:33" s="259" customFormat="1" ht="18">
      <c r="A81" s="1938">
        <f>ROW() - ROW(Table626893456791011347[[#Headers],[SL]])</f>
        <v>75</v>
      </c>
      <c r="B81" s="305">
        <v>45825</v>
      </c>
      <c r="C81" s="113" t="s">
        <v>3716</v>
      </c>
      <c r="D81" s="304" t="s">
        <v>3612</v>
      </c>
      <c r="E81" s="113" t="s">
        <v>3601</v>
      </c>
      <c r="F81" s="113" t="s">
        <v>3803</v>
      </c>
      <c r="G81" s="828">
        <v>9994975187</v>
      </c>
      <c r="H81" s="2393" t="s">
        <v>3804</v>
      </c>
      <c r="I81" s="2404" t="s">
        <v>3719</v>
      </c>
      <c r="J81" s="108" t="s">
        <v>75</v>
      </c>
      <c r="K81" s="108" t="s">
        <v>157</v>
      </c>
      <c r="L81" s="178" t="s">
        <v>3807</v>
      </c>
      <c r="M81" s="317">
        <v>45825</v>
      </c>
      <c r="N81" s="833">
        <v>283524</v>
      </c>
      <c r="O81" s="113" t="s">
        <v>34</v>
      </c>
      <c r="P81" s="304" t="s">
        <v>44</v>
      </c>
      <c r="Q81" s="1939">
        <v>0.5</v>
      </c>
      <c r="R81" s="1940"/>
      <c r="S81" s="317"/>
      <c r="T81" s="304"/>
      <c r="U81" s="304"/>
      <c r="V81" s="1481">
        <f>Table626893456791011347[[#This Row],[Offer Value]]-Table626893456791011347[[#This Row],[PO Value]]</f>
        <v>283524</v>
      </c>
      <c r="W81" s="304" t="s">
        <v>3626</v>
      </c>
      <c r="X81" s="304"/>
      <c r="Y81" s="832"/>
      <c r="Z81" s="1128"/>
      <c r="AA81" s="1141"/>
    </row>
    <row r="82" spans="1:33" s="259" customFormat="1" ht="18">
      <c r="A82" s="2372">
        <v>88</v>
      </c>
      <c r="B82" s="2507">
        <v>45841</v>
      </c>
      <c r="C82" s="1140" t="s">
        <v>1736</v>
      </c>
      <c r="D82" s="1140" t="s">
        <v>3612</v>
      </c>
      <c r="E82" s="1140" t="s">
        <v>3601</v>
      </c>
      <c r="F82" s="1041" t="s">
        <v>3617</v>
      </c>
      <c r="G82" s="1277">
        <v>9994975187</v>
      </c>
      <c r="H82" s="2390" t="s">
        <v>3618</v>
      </c>
      <c r="I82" s="1920" t="s">
        <v>3619</v>
      </c>
      <c r="J82" s="1041" t="s">
        <v>74</v>
      </c>
      <c r="K82" s="1041" t="s">
        <v>157</v>
      </c>
      <c r="L82" s="1920" t="s">
        <v>3808</v>
      </c>
      <c r="M82" s="2018">
        <v>45841</v>
      </c>
      <c r="N82" s="2372">
        <v>296800</v>
      </c>
      <c r="O82" s="2372" t="s">
        <v>37</v>
      </c>
      <c r="P82" s="2372" t="s">
        <v>37</v>
      </c>
      <c r="Q82" s="1500">
        <v>1</v>
      </c>
      <c r="R82" s="2464">
        <v>6600149005</v>
      </c>
      <c r="S82" s="1492">
        <v>45841</v>
      </c>
      <c r="T82" s="2372">
        <v>296800</v>
      </c>
      <c r="U82" s="2372" t="s">
        <v>37</v>
      </c>
      <c r="V82" s="1951">
        <f>Table626893456791011347[[#This Row],[Offer Value]]-Table626893456791011347[[#This Row],[PO Value]]</f>
        <v>0</v>
      </c>
      <c r="W82" s="2372"/>
      <c r="X82" s="2372"/>
      <c r="Y82" s="2372"/>
      <c r="Z82" s="1128"/>
      <c r="AA82" s="1141"/>
    </row>
    <row r="83" spans="1:33" s="259" customFormat="1" ht="31.2">
      <c r="A83" s="1053">
        <f>ROW() - ROW(Table626893456791011347[[#Headers],[SL]])</f>
        <v>77</v>
      </c>
      <c r="B83" s="1251">
        <v>45873</v>
      </c>
      <c r="C83" s="1041" t="s">
        <v>3599</v>
      </c>
      <c r="D83" s="1041" t="s">
        <v>3600</v>
      </c>
      <c r="E83" s="1252" t="s">
        <v>1730</v>
      </c>
      <c r="F83" s="1252" t="s">
        <v>3809</v>
      </c>
      <c r="G83" s="2380" t="s">
        <v>3810</v>
      </c>
      <c r="H83" s="1142" t="s">
        <v>3811</v>
      </c>
      <c r="I83" s="1535" t="s">
        <v>3604</v>
      </c>
      <c r="J83" s="1247" t="s">
        <v>75</v>
      </c>
      <c r="K83" s="1041" t="s">
        <v>157</v>
      </c>
      <c r="L83" s="1247" t="s">
        <v>3812</v>
      </c>
      <c r="M83" s="1251">
        <v>45873</v>
      </c>
      <c r="N83" s="2419">
        <v>310243</v>
      </c>
      <c r="O83" s="1953" t="str">
        <f>TEXT(Table626893456791011347[[#This Row],[Offer Reference Date]], "mmmm")</f>
        <v>August</v>
      </c>
      <c r="P83" s="1248" t="s">
        <v>44</v>
      </c>
      <c r="Q83" s="1500">
        <v>1</v>
      </c>
      <c r="R83" s="2016">
        <v>4504853605</v>
      </c>
      <c r="S83" s="1295">
        <v>45875</v>
      </c>
      <c r="T83" s="2017">
        <v>314388.8</v>
      </c>
      <c r="U83" s="1248" t="s">
        <v>39</v>
      </c>
      <c r="V83" s="1260">
        <f>Table626893456791011347[[#This Row],[Offer Value]]-Table626893456791011347[[#This Row],[PO Value]]</f>
        <v>-4145.7999999999884</v>
      </c>
      <c r="W83" s="1248"/>
      <c r="X83" s="300"/>
      <c r="Y83" s="609"/>
      <c r="Z83" s="1128"/>
      <c r="AA83" s="1141"/>
    </row>
    <row r="84" spans="1:33" s="259" customFormat="1" ht="18">
      <c r="A84" s="1053">
        <f>ROW() - ROW(Table626893456791011347[[#Headers],[SL]])</f>
        <v>78</v>
      </c>
      <c r="B84" s="1251">
        <v>45873</v>
      </c>
      <c r="C84" s="1041" t="s">
        <v>3644</v>
      </c>
      <c r="D84" s="1041" t="s">
        <v>3600</v>
      </c>
      <c r="E84" s="1252" t="s">
        <v>954</v>
      </c>
      <c r="F84" s="1252" t="s">
        <v>2263</v>
      </c>
      <c r="G84" s="1252">
        <v>9500963296</v>
      </c>
      <c r="H84" s="1142" t="s">
        <v>3645</v>
      </c>
      <c r="I84" s="1535" t="s">
        <v>3646</v>
      </c>
      <c r="J84" s="1247" t="s">
        <v>75</v>
      </c>
      <c r="K84" s="1041" t="s">
        <v>157</v>
      </c>
      <c r="L84" s="1247" t="s">
        <v>3813</v>
      </c>
      <c r="M84" s="1251">
        <v>45873</v>
      </c>
      <c r="N84" s="2426">
        <v>312265</v>
      </c>
      <c r="O84" s="1953" t="str">
        <f>TEXT(Table626893456791011347[[#This Row],[Offer Reference Date]], "mmmm")</f>
        <v>August</v>
      </c>
      <c r="P84" s="1248" t="s">
        <v>44</v>
      </c>
      <c r="Q84" s="1500">
        <v>0.4</v>
      </c>
      <c r="R84" s="2016" t="s">
        <v>3814</v>
      </c>
      <c r="S84" s="1295">
        <v>45666</v>
      </c>
      <c r="T84" s="1248">
        <v>312265</v>
      </c>
      <c r="U84" s="1249" t="s">
        <v>1480</v>
      </c>
      <c r="V84" s="1260">
        <f>Table626893456791011347[[#This Row],[Offer Value]]-Table626893456791011347[[#This Row],[PO Value]]</f>
        <v>0</v>
      </c>
      <c r="W84" s="300"/>
      <c r="X84" s="300"/>
      <c r="Y84" s="609"/>
      <c r="Z84" s="1250"/>
      <c r="AA84" s="1929"/>
    </row>
    <row r="85" spans="1:33" s="259" customFormat="1" ht="18">
      <c r="A85" s="289">
        <f>ROW() - ROW(Table626893456791011347[[#Headers],[SL]])</f>
        <v>79</v>
      </c>
      <c r="B85" s="852">
        <v>45676</v>
      </c>
      <c r="C85" s="105" t="s">
        <v>3652</v>
      </c>
      <c r="D85" s="105" t="s">
        <v>3612</v>
      </c>
      <c r="E85" s="105" t="s">
        <v>3601</v>
      </c>
      <c r="F85" s="910" t="s">
        <v>3815</v>
      </c>
      <c r="G85" s="829"/>
      <c r="H85" s="884" t="s">
        <v>3654</v>
      </c>
      <c r="I85" s="861" t="s">
        <v>3655</v>
      </c>
      <c r="J85" s="108" t="s">
        <v>75</v>
      </c>
      <c r="K85" s="108" t="s">
        <v>157</v>
      </c>
      <c r="L85" s="911" t="s">
        <v>3816</v>
      </c>
      <c r="M85" s="847">
        <v>45676</v>
      </c>
      <c r="N85" s="2422">
        <v>345422</v>
      </c>
      <c r="O85" s="106" t="s">
        <v>7</v>
      </c>
      <c r="P85" s="106" t="s">
        <v>39</v>
      </c>
      <c r="Q85" s="840">
        <v>0.7</v>
      </c>
      <c r="R85" s="44"/>
      <c r="S85" s="1017"/>
      <c r="T85" s="907"/>
      <c r="U85" s="106"/>
      <c r="V85" s="1260">
        <f>Table626893456791011347[[#This Row],[Offer Value]]-Table626893456791011347[[#This Row],[PO Value]]</f>
        <v>345422</v>
      </c>
      <c r="W85" s="847">
        <v>45676</v>
      </c>
      <c r="X85" s="106"/>
      <c r="Y85" s="604"/>
      <c r="Z85" s="319"/>
      <c r="AA85" s="596"/>
    </row>
    <row r="86" spans="1:33" s="259" customFormat="1" ht="18">
      <c r="A86" s="289">
        <f>ROW() - ROW(Table626893456791011347[[#Headers],[SL]])</f>
        <v>80</v>
      </c>
      <c r="B86" s="301">
        <v>45929</v>
      </c>
      <c r="C86" s="108" t="s">
        <v>3644</v>
      </c>
      <c r="D86" s="108" t="s">
        <v>3600</v>
      </c>
      <c r="E86" s="303" t="s">
        <v>954</v>
      </c>
      <c r="F86" s="303" t="s">
        <v>2263</v>
      </c>
      <c r="G86" s="303">
        <v>9500963296</v>
      </c>
      <c r="H86" s="884" t="s">
        <v>3645</v>
      </c>
      <c r="I86" s="861" t="s">
        <v>3646</v>
      </c>
      <c r="J86" s="178" t="s">
        <v>75</v>
      </c>
      <c r="K86" s="108" t="s">
        <v>157</v>
      </c>
      <c r="L86" s="178" t="s">
        <v>3817</v>
      </c>
      <c r="M86" s="301">
        <v>45929</v>
      </c>
      <c r="N86" s="824">
        <v>345700</v>
      </c>
      <c r="O86" s="1957" t="str">
        <f>TEXT(Table626893456791011347[[#This Row],[Offer Reference Date]], "mmmm")</f>
        <v>September</v>
      </c>
      <c r="P86" s="300" t="s">
        <v>2354</v>
      </c>
      <c r="Q86" s="1562">
        <v>1</v>
      </c>
      <c r="R86" s="323"/>
      <c r="S86" s="301"/>
      <c r="T86" s="300"/>
      <c r="U86" s="300"/>
      <c r="V86" s="1260">
        <f>Table626893456791011347[[#This Row],[Offer Value]]-Table626893456791011347[[#This Row],[PO Value]]</f>
        <v>345700</v>
      </c>
      <c r="W86" s="300"/>
      <c r="X86" s="300"/>
      <c r="Y86" s="610"/>
      <c r="Z86" s="319"/>
      <c r="AA86" s="595"/>
    </row>
    <row r="87" spans="1:33" s="259" customFormat="1" ht="18">
      <c r="A87" s="1053">
        <f>ROW() - ROW(Table626893456791011347[[#Headers],[SL]])</f>
        <v>81</v>
      </c>
      <c r="B87" s="1490">
        <v>45703</v>
      </c>
      <c r="C87" s="1120" t="s">
        <v>755</v>
      </c>
      <c r="D87" s="1120" t="s">
        <v>3600</v>
      </c>
      <c r="E87" s="1120" t="s">
        <v>3601</v>
      </c>
      <c r="F87" s="1041" t="s">
        <v>3698</v>
      </c>
      <c r="G87" s="1245">
        <v>9443675970</v>
      </c>
      <c r="H87" s="2396" t="s">
        <v>3699</v>
      </c>
      <c r="I87" s="1311" t="s">
        <v>3700</v>
      </c>
      <c r="J87" s="1122" t="s">
        <v>75</v>
      </c>
      <c r="K87" s="1122" t="s">
        <v>157</v>
      </c>
      <c r="L87" s="1488" t="s">
        <v>3802</v>
      </c>
      <c r="M87" s="1312">
        <v>45703</v>
      </c>
      <c r="N87" s="1259">
        <v>356561</v>
      </c>
      <c r="O87" s="1042" t="s">
        <v>18</v>
      </c>
      <c r="P87" s="1042" t="s">
        <v>28</v>
      </c>
      <c r="Q87" s="1306">
        <v>1</v>
      </c>
      <c r="R87" s="1309">
        <v>4507432609</v>
      </c>
      <c r="S87" s="1282">
        <v>45730</v>
      </c>
      <c r="T87" s="1259">
        <v>356561</v>
      </c>
      <c r="U87" s="1042" t="s">
        <v>25</v>
      </c>
      <c r="V87" s="1260">
        <f>Table626893456791011347[[#This Row],[Offer Value]]-Table626893456791011347[[#This Row],[PO Value]]</f>
        <v>0</v>
      </c>
      <c r="W87" s="1126"/>
      <c r="X87" s="1042"/>
      <c r="Y87" s="1134"/>
      <c r="Z87" s="1941"/>
      <c r="AA87" s="1942"/>
      <c r="AB87" s="1472"/>
      <c r="AC87" s="1472"/>
      <c r="AD87" s="1472"/>
      <c r="AE87" s="1472"/>
      <c r="AF87" s="1472"/>
      <c r="AG87" s="1472"/>
    </row>
    <row r="88" spans="1:33" s="259" customFormat="1" ht="18">
      <c r="A88" s="1053">
        <f>ROW() - ROW(Table626893456791011347[[#Headers],[SL]])</f>
        <v>82</v>
      </c>
      <c r="B88" s="1251">
        <v>45855</v>
      </c>
      <c r="C88" s="1120" t="s">
        <v>3607</v>
      </c>
      <c r="D88" s="1041" t="s">
        <v>3600</v>
      </c>
      <c r="E88" s="1120" t="s">
        <v>3601</v>
      </c>
      <c r="F88" s="1041" t="s">
        <v>3693</v>
      </c>
      <c r="G88" s="1277">
        <v>9994975187</v>
      </c>
      <c r="H88" s="1139" t="s">
        <v>3609</v>
      </c>
      <c r="I88" s="1927" t="s">
        <v>3694</v>
      </c>
      <c r="J88" s="1122" t="s">
        <v>75</v>
      </c>
      <c r="K88" s="1122" t="s">
        <v>157</v>
      </c>
      <c r="L88" s="1488" t="s">
        <v>3818</v>
      </c>
      <c r="M88" s="1312">
        <v>45855</v>
      </c>
      <c r="N88" s="1299">
        <v>417438.71999999997</v>
      </c>
      <c r="O88" s="1042" t="s">
        <v>37</v>
      </c>
      <c r="P88" s="1042" t="s">
        <v>39</v>
      </c>
      <c r="Q88" s="1306">
        <v>1</v>
      </c>
      <c r="R88" s="2016" t="s">
        <v>3819</v>
      </c>
      <c r="S88" s="1295">
        <v>45874</v>
      </c>
      <c r="T88" s="1248">
        <v>417438.71999999997</v>
      </c>
      <c r="U88" s="1248" t="s">
        <v>39</v>
      </c>
      <c r="V88" s="1260">
        <f>Table626893456791011347[[#This Row],[Offer Value]]-Table626893456791011347[[#This Row],[PO Value]]</f>
        <v>0</v>
      </c>
      <c r="W88" s="106"/>
      <c r="X88" s="300"/>
      <c r="Y88" s="610"/>
      <c r="Z88" s="319"/>
      <c r="AA88" s="596"/>
    </row>
    <row r="89" spans="1:33" s="1472" customFormat="1" ht="18">
      <c r="A89" s="2371">
        <f>ROW() - ROW(Table626893456791011347[[#Headers],[SL]])</f>
        <v>83</v>
      </c>
      <c r="B89" s="2508">
        <v>45607</v>
      </c>
      <c r="C89" s="1201" t="s">
        <v>3820</v>
      </c>
      <c r="D89" s="1041" t="s">
        <v>3612</v>
      </c>
      <c r="E89" s="1041" t="s">
        <v>3601</v>
      </c>
      <c r="F89" s="1284" t="s">
        <v>3821</v>
      </c>
      <c r="G89" s="1254">
        <v>4254306253</v>
      </c>
      <c r="H89" s="2400" t="s">
        <v>3822</v>
      </c>
      <c r="I89" s="2410" t="s">
        <v>3823</v>
      </c>
      <c r="J89" s="1285" t="s">
        <v>73</v>
      </c>
      <c r="K89" s="1285" t="s">
        <v>138</v>
      </c>
      <c r="L89" s="2410" t="s">
        <v>3824</v>
      </c>
      <c r="M89" s="1286">
        <v>45532</v>
      </c>
      <c r="N89" s="1287">
        <v>440035</v>
      </c>
      <c r="O89" s="1023" t="s">
        <v>7</v>
      </c>
      <c r="P89" s="1288" t="s">
        <v>7</v>
      </c>
      <c r="Q89" s="1258">
        <v>1</v>
      </c>
      <c r="R89" s="1270" t="s">
        <v>3825</v>
      </c>
      <c r="S89" s="2471">
        <v>45555</v>
      </c>
      <c r="T89" s="1259">
        <v>440035</v>
      </c>
      <c r="U89" s="1159" t="s">
        <v>7</v>
      </c>
      <c r="V89" s="1260">
        <f>Table626893456791011347[[#This Row],[Offer Value]]-Table626893456791011347[[#This Row],[PO Value]]</f>
        <v>0</v>
      </c>
      <c r="W89" s="2486" t="s">
        <v>3606</v>
      </c>
      <c r="X89" s="2454"/>
      <c r="Y89" s="2490">
        <v>45901</v>
      </c>
    </row>
    <row r="90" spans="1:33" s="259" customFormat="1" ht="18">
      <c r="A90" s="289">
        <f>ROW() - ROW(Table626893456791011347[[#Headers],[SL]])</f>
        <v>84</v>
      </c>
      <c r="B90" s="2509">
        <v>45856</v>
      </c>
      <c r="C90" s="113" t="s">
        <v>782</v>
      </c>
      <c r="D90" s="113" t="s">
        <v>3612</v>
      </c>
      <c r="E90" s="113" t="s">
        <v>3601</v>
      </c>
      <c r="F90" s="178" t="s">
        <v>3826</v>
      </c>
      <c r="G90" s="832"/>
      <c r="H90" s="2399" t="s">
        <v>3827</v>
      </c>
      <c r="I90" s="2403" t="s">
        <v>3823</v>
      </c>
      <c r="J90" s="1404" t="s">
        <v>73</v>
      </c>
      <c r="K90" s="1404" t="s">
        <v>138</v>
      </c>
      <c r="L90" s="2403" t="s">
        <v>3828</v>
      </c>
      <c r="M90" s="301">
        <v>45856</v>
      </c>
      <c r="N90" s="611">
        <v>462500</v>
      </c>
      <c r="O90" s="1957" t="str">
        <f>TEXT(Table626893456791011347[[#This Row],[Offer Reference Date]], "mmmm")</f>
        <v>July</v>
      </c>
      <c r="P90" s="300" t="s">
        <v>44</v>
      </c>
      <c r="Q90" s="841">
        <v>1</v>
      </c>
      <c r="R90" s="2449"/>
      <c r="S90" s="320"/>
      <c r="T90" s="300"/>
      <c r="U90" s="315"/>
      <c r="V90" s="1951">
        <f>Table626893456791011347[[#This Row],[Offer Value]]-Table626893456791011347[[#This Row],[PO Value]]</f>
        <v>462500</v>
      </c>
      <c r="W90" s="300"/>
      <c r="X90" s="300"/>
      <c r="Y90" s="610"/>
      <c r="Z90" s="1250"/>
      <c r="AA90" s="1929"/>
    </row>
    <row r="91" spans="1:33" s="259" customFormat="1" ht="18">
      <c r="A91" s="1053">
        <v>93</v>
      </c>
      <c r="B91" s="2510">
        <v>45856</v>
      </c>
      <c r="C91" s="1140" t="s">
        <v>3829</v>
      </c>
      <c r="D91" s="1140" t="s">
        <v>3612</v>
      </c>
      <c r="E91" s="1140" t="s">
        <v>3601</v>
      </c>
      <c r="F91" s="2209" t="s">
        <v>3830</v>
      </c>
      <c r="G91" s="1266">
        <v>8754966925</v>
      </c>
      <c r="H91" s="2391" t="s">
        <v>3831</v>
      </c>
      <c r="I91" s="2309" t="s">
        <v>3635</v>
      </c>
      <c r="J91" s="1268" t="s">
        <v>73</v>
      </c>
      <c r="K91" s="1268" t="s">
        <v>138</v>
      </c>
      <c r="L91" s="2412" t="s">
        <v>3832</v>
      </c>
      <c r="M91" s="1251">
        <v>45856</v>
      </c>
      <c r="N91" s="2015">
        <v>463375</v>
      </c>
      <c r="O91" s="1953" t="str">
        <f>TEXT(Table626893456791011347[[#This Row],[Offer Reference Date]], "mmmm")</f>
        <v>July</v>
      </c>
      <c r="P91" s="1248" t="s">
        <v>39</v>
      </c>
      <c r="Q91" s="1294">
        <v>1</v>
      </c>
      <c r="R91" s="1267">
        <v>1365722343</v>
      </c>
      <c r="S91" s="1295">
        <v>45909</v>
      </c>
      <c r="T91" s="1259">
        <v>438100</v>
      </c>
      <c r="U91" s="1953" t="str">
        <f>TEXT(Table626893456791011347[[#This Row],[PO Date]], "mmmm")</f>
        <v>September</v>
      </c>
      <c r="V91" s="1951">
        <f>Table626893456791011347[[#This Row],[Offer Value]]-Table626893456791011347[[#This Row],[PO Value]]</f>
        <v>25275</v>
      </c>
      <c r="W91" s="300"/>
      <c r="X91" s="300"/>
      <c r="Y91" s="610"/>
      <c r="Z91" s="1250"/>
      <c r="AA91" s="1947"/>
    </row>
    <row r="92" spans="1:33" s="259" customFormat="1" ht="18">
      <c r="A92" s="289">
        <v>91</v>
      </c>
      <c r="B92" s="301">
        <v>45842</v>
      </c>
      <c r="C92" s="178" t="s">
        <v>3833</v>
      </c>
      <c r="D92" s="304" t="s">
        <v>3747</v>
      </c>
      <c r="E92" s="178" t="s">
        <v>3677</v>
      </c>
      <c r="F92" s="178" t="s">
        <v>3760</v>
      </c>
      <c r="G92" s="2383">
        <v>9003127767</v>
      </c>
      <c r="H92" s="2389" t="s">
        <v>3761</v>
      </c>
      <c r="I92" s="2403" t="s">
        <v>3762</v>
      </c>
      <c r="J92" s="108" t="s">
        <v>75</v>
      </c>
      <c r="K92" s="108" t="s">
        <v>157</v>
      </c>
      <c r="L92" s="1943" t="s">
        <v>3834</v>
      </c>
      <c r="M92" s="317">
        <v>45842</v>
      </c>
      <c r="N92" s="611">
        <v>483722</v>
      </c>
      <c r="O92" s="113" t="s">
        <v>37</v>
      </c>
      <c r="P92" s="113" t="s">
        <v>44</v>
      </c>
      <c r="Q92" s="1562">
        <v>0.1</v>
      </c>
      <c r="R92" s="916"/>
      <c r="S92" s="320"/>
      <c r="T92" s="300"/>
      <c r="U92" s="300"/>
      <c r="V92" s="1951">
        <f>Table626893456791011347[[#This Row],[Offer Value]]-Table626893456791011347[[#This Row],[PO Value]]</f>
        <v>483722</v>
      </c>
      <c r="W92" s="300"/>
      <c r="X92" s="300"/>
      <c r="Y92" s="610"/>
      <c r="Z92" s="1250"/>
      <c r="AA92" s="1947"/>
    </row>
    <row r="93" spans="1:33" s="1949" customFormat="1" ht="18">
      <c r="A93" s="289">
        <f>ROW() - ROW(Table626893456791011347[[#Headers],[SL]])</f>
        <v>87</v>
      </c>
      <c r="B93" s="301">
        <v>45923</v>
      </c>
      <c r="C93" s="113" t="s">
        <v>782</v>
      </c>
      <c r="D93" s="113" t="s">
        <v>3612</v>
      </c>
      <c r="E93" s="113" t="s">
        <v>3601</v>
      </c>
      <c r="F93" s="178" t="s">
        <v>3826</v>
      </c>
      <c r="G93" s="832"/>
      <c r="H93" s="316" t="s">
        <v>3827</v>
      </c>
      <c r="I93" s="178" t="s">
        <v>3823</v>
      </c>
      <c r="J93" s="1404" t="s">
        <v>73</v>
      </c>
      <c r="K93" s="1404" t="s">
        <v>138</v>
      </c>
      <c r="L93" s="457" t="s">
        <v>3835</v>
      </c>
      <c r="M93" s="301">
        <v>45923</v>
      </c>
      <c r="N93" s="2420">
        <v>485625</v>
      </c>
      <c r="O93" s="113" t="s">
        <v>44</v>
      </c>
      <c r="P93" s="300" t="s">
        <v>2354</v>
      </c>
      <c r="Q93" s="841">
        <v>0.5</v>
      </c>
      <c r="R93" s="916"/>
      <c r="S93" s="320"/>
      <c r="T93" s="300"/>
      <c r="U93" s="315"/>
      <c r="V93" s="1260">
        <f>Table626893456791011347[[#This Row],[Offer Value]]-Table626893456791011347[[#This Row],[PO Value]]</f>
        <v>485625</v>
      </c>
      <c r="W93" s="300"/>
      <c r="X93" s="300"/>
      <c r="Y93" s="610"/>
      <c r="Z93" s="1250"/>
      <c r="AA93" s="1947"/>
    </row>
    <row r="94" spans="1:33" s="259" customFormat="1" ht="18">
      <c r="A94" s="2373">
        <f>ROW() - ROW(Table626893456791011347[[#Headers],[SL]])</f>
        <v>88</v>
      </c>
      <c r="B94" s="2509">
        <v>45812</v>
      </c>
      <c r="C94" s="303" t="s">
        <v>3669</v>
      </c>
      <c r="D94" s="318" t="s">
        <v>3670</v>
      </c>
      <c r="E94" s="318" t="s">
        <v>1730</v>
      </c>
      <c r="F94" s="319" t="s">
        <v>3671</v>
      </c>
      <c r="G94" s="614">
        <v>6300493996</v>
      </c>
      <c r="H94" s="2401" t="s">
        <v>3672</v>
      </c>
      <c r="I94" s="2403" t="s">
        <v>3673</v>
      </c>
      <c r="J94" s="115" t="s">
        <v>75</v>
      </c>
      <c r="K94" s="115" t="s">
        <v>157</v>
      </c>
      <c r="L94" s="2403" t="s">
        <v>3807</v>
      </c>
      <c r="M94" s="317">
        <v>45812</v>
      </c>
      <c r="N94" s="1794">
        <v>488346</v>
      </c>
      <c r="O94" s="2434" t="s">
        <v>34</v>
      </c>
      <c r="P94" s="2434" t="s">
        <v>39</v>
      </c>
      <c r="Q94" s="1765">
        <v>1</v>
      </c>
      <c r="R94" s="2449"/>
      <c r="S94" s="320"/>
      <c r="T94" s="2477"/>
      <c r="U94" s="2477"/>
      <c r="V94" s="1260">
        <f>Table626893456791011347[[#This Row],[Offer Value]]-Table626893456791011347[[#This Row],[PO Value]]</f>
        <v>488346</v>
      </c>
      <c r="W94" s="2477" t="s">
        <v>3836</v>
      </c>
      <c r="X94" s="2477"/>
      <c r="Y94" s="2491"/>
      <c r="Z94" s="1949"/>
      <c r="AA94" s="1949"/>
    </row>
    <row r="95" spans="1:33" s="259" customFormat="1" ht="31.2">
      <c r="A95" s="289">
        <f>ROW() - ROW(Table626893456791011347[[#Headers],[SL]])</f>
        <v>89</v>
      </c>
      <c r="B95" s="301">
        <v>45876</v>
      </c>
      <c r="C95" s="113" t="s">
        <v>1736</v>
      </c>
      <c r="D95" s="113" t="s">
        <v>3612</v>
      </c>
      <c r="E95" s="113" t="s">
        <v>3601</v>
      </c>
      <c r="F95" s="108" t="s">
        <v>3617</v>
      </c>
      <c r="G95" s="828">
        <v>9994975187</v>
      </c>
      <c r="H95" s="2393" t="s">
        <v>3618</v>
      </c>
      <c r="I95" s="2404" t="s">
        <v>3619</v>
      </c>
      <c r="J95" s="108" t="s">
        <v>83</v>
      </c>
      <c r="K95" s="108" t="s">
        <v>157</v>
      </c>
      <c r="L95" s="2404" t="s">
        <v>3837</v>
      </c>
      <c r="M95" s="850">
        <v>45876</v>
      </c>
      <c r="N95" s="830">
        <v>491804</v>
      </c>
      <c r="O95" s="1957" t="str">
        <f>TEXT(Table626893456791011347[[#This Row],[Offer Reference Date]], "mmmm")</f>
        <v>August</v>
      </c>
      <c r="P95" s="113" t="s">
        <v>49</v>
      </c>
      <c r="Q95" s="1944">
        <v>0.4</v>
      </c>
      <c r="R95" s="2451"/>
      <c r="S95" s="850"/>
      <c r="T95" s="830"/>
      <c r="U95" s="315"/>
      <c r="V95" s="1260">
        <f>Table626893456791011347[[#This Row],[Offer Value]]-Table626893456791011347[[#This Row],[PO Value]]</f>
        <v>491804</v>
      </c>
      <c r="W95" s="300"/>
      <c r="X95" s="300"/>
      <c r="Y95" s="610"/>
      <c r="Z95" s="1949"/>
      <c r="AA95" s="1949"/>
    </row>
    <row r="96" spans="1:33" s="259" customFormat="1" ht="31.2">
      <c r="A96" s="1053">
        <f>ROW() - ROW(Table626893456791011347[[#Headers],[SL]])</f>
        <v>90</v>
      </c>
      <c r="B96" s="1490">
        <v>45628</v>
      </c>
      <c r="C96" s="1122" t="s">
        <v>3632</v>
      </c>
      <c r="D96" s="1120" t="s">
        <v>3600</v>
      </c>
      <c r="E96" s="1120" t="s">
        <v>3601</v>
      </c>
      <c r="F96" s="1278" t="s">
        <v>3633</v>
      </c>
      <c r="G96" s="1245">
        <v>9994624042</v>
      </c>
      <c r="H96" s="1278" t="s">
        <v>3634</v>
      </c>
      <c r="I96" s="1278" t="s">
        <v>3635</v>
      </c>
      <c r="J96" s="1041" t="s">
        <v>77</v>
      </c>
      <c r="K96" s="1041" t="s">
        <v>138</v>
      </c>
      <c r="L96" s="1267" t="s">
        <v>3636</v>
      </c>
      <c r="M96" s="1302">
        <v>45628</v>
      </c>
      <c r="N96" s="1259">
        <v>500595</v>
      </c>
      <c r="O96" s="1023" t="s">
        <v>7</v>
      </c>
      <c r="P96" s="1042" t="s">
        <v>7</v>
      </c>
      <c r="Q96" s="1294">
        <v>1</v>
      </c>
      <c r="R96" s="1309" t="s">
        <v>3637</v>
      </c>
      <c r="S96" s="1282">
        <v>45667</v>
      </c>
      <c r="T96" s="1259">
        <v>480571.2</v>
      </c>
      <c r="U96" s="1042" t="s">
        <v>7</v>
      </c>
      <c r="V96" s="1260">
        <f>Table626893456791011347[[#This Row],[Offer Value]]-Table626893456791011347[[#This Row],[PO Value]]</f>
        <v>20023.799999999988</v>
      </c>
      <c r="W96" s="1261" t="s">
        <v>3838</v>
      </c>
      <c r="X96" s="1042"/>
      <c r="Y96" s="1134"/>
      <c r="Z96" s="319"/>
      <c r="AA96" s="597"/>
    </row>
    <row r="97" spans="1:27" s="259" customFormat="1" ht="18">
      <c r="A97" s="1053">
        <f>ROW() - ROW(Table626893456791011347[[#Headers],[SL]])</f>
        <v>91</v>
      </c>
      <c r="B97" s="2511">
        <v>45826</v>
      </c>
      <c r="C97" s="1140" t="s">
        <v>1736</v>
      </c>
      <c r="D97" s="1140" t="s">
        <v>3612</v>
      </c>
      <c r="E97" s="1140" t="s">
        <v>3601</v>
      </c>
      <c r="F97" s="1041" t="s">
        <v>3617</v>
      </c>
      <c r="G97" s="1277">
        <v>9994975187</v>
      </c>
      <c r="H97" s="2390" t="s">
        <v>3618</v>
      </c>
      <c r="I97" s="1920" t="s">
        <v>3619</v>
      </c>
      <c r="J97" s="1041" t="s">
        <v>74</v>
      </c>
      <c r="K97" s="1041" t="s">
        <v>138</v>
      </c>
      <c r="L97" s="1477" t="s">
        <v>3839</v>
      </c>
      <c r="M97" s="1492">
        <v>45831</v>
      </c>
      <c r="N97" s="1244">
        <v>509200</v>
      </c>
      <c r="O97" s="1140" t="s">
        <v>34</v>
      </c>
      <c r="P97" s="1140" t="s">
        <v>34</v>
      </c>
      <c r="Q97" s="1500">
        <v>1</v>
      </c>
      <c r="R97" s="2447">
        <v>6600148721</v>
      </c>
      <c r="S97" s="1492">
        <v>45834</v>
      </c>
      <c r="T97" s="1244">
        <v>509200</v>
      </c>
      <c r="U97" s="1140" t="s">
        <v>34</v>
      </c>
      <c r="V97" s="1260">
        <f>Table626893456791011347[[#This Row],[Offer Value]]-Table626893456791011347[[#This Row],[PO Value]]</f>
        <v>0</v>
      </c>
      <c r="W97" s="1248"/>
      <c r="X97" s="1248"/>
      <c r="Y97" s="1946"/>
      <c r="Z97" s="319"/>
      <c r="AA97" s="597"/>
    </row>
    <row r="98" spans="1:27" s="259" customFormat="1" ht="31.2">
      <c r="A98" s="1053">
        <f>ROW() - ROW(Table626893456791011347[[#Headers],[SL]])</f>
        <v>92</v>
      </c>
      <c r="B98" s="1490">
        <v>45675</v>
      </c>
      <c r="C98" s="1122" t="s">
        <v>1832</v>
      </c>
      <c r="D98" s="1120" t="s">
        <v>3612</v>
      </c>
      <c r="E98" s="1120" t="s">
        <v>954</v>
      </c>
      <c r="F98" s="1120" t="s">
        <v>3840</v>
      </c>
      <c r="G98" s="1245"/>
      <c r="H98" s="1278" t="s">
        <v>3841</v>
      </c>
      <c r="I98" s="1278" t="s">
        <v>3842</v>
      </c>
      <c r="J98" s="1247" t="s">
        <v>75</v>
      </c>
      <c r="K98" s="1041" t="s">
        <v>157</v>
      </c>
      <c r="L98" s="1278" t="s">
        <v>3843</v>
      </c>
      <c r="M98" s="1279">
        <v>45675</v>
      </c>
      <c r="N98" s="1243">
        <v>513164</v>
      </c>
      <c r="O98" s="1042" t="s">
        <v>7</v>
      </c>
      <c r="P98" s="1042" t="s">
        <v>28</v>
      </c>
      <c r="Q98" s="1306">
        <v>1</v>
      </c>
      <c r="R98" s="1270">
        <v>4517015737</v>
      </c>
      <c r="S98" s="1282">
        <v>45685</v>
      </c>
      <c r="T98" s="1259">
        <v>247744</v>
      </c>
      <c r="U98" s="1042" t="s">
        <v>7</v>
      </c>
      <c r="V98" s="1260">
        <f>Table626893456791011347[[#This Row],[Offer Value]]-Table626893456791011347[[#This Row],[PO Value]]</f>
        <v>265420</v>
      </c>
      <c r="W98" s="1279" t="s">
        <v>3844</v>
      </c>
      <c r="X98" s="1042"/>
      <c r="Y98" s="1134" t="s">
        <v>704</v>
      </c>
      <c r="Z98" s="1954"/>
      <c r="AA98" s="1954"/>
    </row>
    <row r="99" spans="1:27" s="259" customFormat="1" ht="18">
      <c r="A99" s="1053">
        <f>ROW() - ROW(Table626893456791011347[[#Headers],[SL]])</f>
        <v>93</v>
      </c>
      <c r="B99" s="1490">
        <v>45681</v>
      </c>
      <c r="C99" s="1041" t="s">
        <v>1736</v>
      </c>
      <c r="D99" s="1120" t="s">
        <v>3612</v>
      </c>
      <c r="E99" s="1120" t="s">
        <v>3601</v>
      </c>
      <c r="F99" s="1041" t="s">
        <v>3613</v>
      </c>
      <c r="G99" s="1245">
        <v>9047900045</v>
      </c>
      <c r="H99" s="1132" t="s">
        <v>3614</v>
      </c>
      <c r="I99" s="1278" t="s">
        <v>3615</v>
      </c>
      <c r="J99" s="1041" t="s">
        <v>77</v>
      </c>
      <c r="K99" s="1041" t="s">
        <v>138</v>
      </c>
      <c r="L99" s="1278" t="s">
        <v>3845</v>
      </c>
      <c r="M99" s="1279">
        <v>45681</v>
      </c>
      <c r="N99" s="1243">
        <v>520000</v>
      </c>
      <c r="O99" s="1042" t="s">
        <v>7</v>
      </c>
      <c r="P99" s="1042" t="s">
        <v>18</v>
      </c>
      <c r="Q99" s="1306">
        <v>1</v>
      </c>
      <c r="R99" s="1270">
        <v>6800045579</v>
      </c>
      <c r="S99" s="1282">
        <v>45703</v>
      </c>
      <c r="T99" s="1491">
        <v>460000</v>
      </c>
      <c r="U99" s="1042" t="s">
        <v>18</v>
      </c>
      <c r="V99" s="1260">
        <f>Table626893456791011347[[#This Row],[Offer Value]]-Table626893456791011347[[#This Row],[PO Value]]</f>
        <v>60000</v>
      </c>
      <c r="W99" s="1260" t="s">
        <v>3846</v>
      </c>
      <c r="X99" s="1042"/>
      <c r="Y99" s="1127"/>
      <c r="Z99" s="319"/>
      <c r="AA99" s="597"/>
    </row>
    <row r="100" spans="1:27" s="259" customFormat="1" ht="31.2">
      <c r="A100" s="289">
        <f>ROW() - ROW(Table626893456791011347[[#Headers],[SL]])</f>
        <v>94</v>
      </c>
      <c r="B100" s="301">
        <v>45892</v>
      </c>
      <c r="C100" s="108" t="s">
        <v>3676</v>
      </c>
      <c r="D100" s="178" t="s">
        <v>3612</v>
      </c>
      <c r="E100" s="120" t="s">
        <v>3677</v>
      </c>
      <c r="F100" s="120" t="s">
        <v>3678</v>
      </c>
      <c r="G100" s="835">
        <v>9445204702</v>
      </c>
      <c r="H100" s="1950" t="s">
        <v>3679</v>
      </c>
      <c r="I100" s="7" t="s">
        <v>3683</v>
      </c>
      <c r="J100" s="108" t="s">
        <v>75</v>
      </c>
      <c r="K100" s="108" t="s">
        <v>157</v>
      </c>
      <c r="L100" s="457" t="s">
        <v>3847</v>
      </c>
      <c r="M100" s="301">
        <v>45892</v>
      </c>
      <c r="N100" s="2420">
        <v>523406</v>
      </c>
      <c r="O100" s="1957" t="str">
        <f>TEXT(Table626893456791011347[[#This Row],[Offer Reference Date]], "mmmm")</f>
        <v>August</v>
      </c>
      <c r="P100" s="113" t="s">
        <v>44</v>
      </c>
      <c r="Q100" s="841">
        <v>1</v>
      </c>
      <c r="R100" s="2449"/>
      <c r="S100" s="320"/>
      <c r="T100" s="2477"/>
      <c r="U100" s="315"/>
      <c r="V100" s="1260">
        <f>Table626893456791011347[[#This Row],[Offer Value]]-Table626893456791011347[[#This Row],[PO Value]]</f>
        <v>523406</v>
      </c>
      <c r="W100" s="300"/>
      <c r="X100" s="300"/>
      <c r="Y100" s="610"/>
      <c r="Z100" s="319"/>
      <c r="AA100" s="596"/>
    </row>
    <row r="101" spans="1:27" s="259" customFormat="1" ht="18">
      <c r="A101" s="1517">
        <f>ROW() - ROW(Table626893456791011347[[#Headers],[SL]])</f>
        <v>95</v>
      </c>
      <c r="B101" s="1527">
        <v>45768</v>
      </c>
      <c r="C101" s="1518" t="s">
        <v>3607</v>
      </c>
      <c r="D101" s="1519" t="s">
        <v>3600</v>
      </c>
      <c r="E101" s="1518" t="s">
        <v>3601</v>
      </c>
      <c r="F101" s="1519" t="s">
        <v>3693</v>
      </c>
      <c r="G101" s="1520">
        <v>9994975187</v>
      </c>
      <c r="H101" s="1918" t="s">
        <v>3609</v>
      </c>
      <c r="I101" s="2409" t="s">
        <v>3694</v>
      </c>
      <c r="J101" s="1519" t="s">
        <v>75</v>
      </c>
      <c r="K101" s="1519" t="s">
        <v>157</v>
      </c>
      <c r="L101" s="1919" t="s">
        <v>3848</v>
      </c>
      <c r="M101" s="1527">
        <v>45768</v>
      </c>
      <c r="N101" s="2431">
        <v>537946</v>
      </c>
      <c r="O101" s="1518" t="s">
        <v>28</v>
      </c>
      <c r="P101" s="1518"/>
      <c r="Q101" s="1523">
        <v>0.1</v>
      </c>
      <c r="R101" s="1792"/>
      <c r="S101" s="1522"/>
      <c r="T101" s="1530"/>
      <c r="U101" s="1518"/>
      <c r="V101" s="1526">
        <f>Table626893456791011347[[#This Row],[Offer Value]]-Table626893456791011347[[#This Row],[PO Value]]</f>
        <v>537946</v>
      </c>
      <c r="W101" s="1518" t="s">
        <v>3849</v>
      </c>
      <c r="X101" s="1518"/>
      <c r="Y101" s="1520"/>
      <c r="Z101" s="319"/>
      <c r="AA101" s="595"/>
    </row>
    <row r="102" spans="1:27" s="259" customFormat="1" ht="31.2">
      <c r="A102" s="2370">
        <v>83</v>
      </c>
      <c r="B102" s="2512">
        <v>45826</v>
      </c>
      <c r="C102" s="113" t="s">
        <v>1736</v>
      </c>
      <c r="D102" s="113" t="s">
        <v>3612</v>
      </c>
      <c r="E102" s="113" t="s">
        <v>3601</v>
      </c>
      <c r="F102" s="108" t="s">
        <v>3617</v>
      </c>
      <c r="G102" s="828">
        <v>9994975187</v>
      </c>
      <c r="H102" s="2393" t="s">
        <v>3618</v>
      </c>
      <c r="I102" s="2404" t="s">
        <v>3619</v>
      </c>
      <c r="J102" s="108" t="s">
        <v>83</v>
      </c>
      <c r="K102" s="108" t="s">
        <v>157</v>
      </c>
      <c r="L102" s="2404" t="s">
        <v>3850</v>
      </c>
      <c r="M102" s="850">
        <v>45826</v>
      </c>
      <c r="N102" s="830">
        <v>575180</v>
      </c>
      <c r="O102" s="113" t="s">
        <v>34</v>
      </c>
      <c r="P102" s="113" t="s">
        <v>44</v>
      </c>
      <c r="Q102" s="1944">
        <v>0.4</v>
      </c>
      <c r="R102" s="1945"/>
      <c r="S102" s="850"/>
      <c r="T102" s="830"/>
      <c r="U102" s="113"/>
      <c r="V102" s="1260">
        <f>Table626893456791011347[[#This Row],[Offer Value]]-Table626893456791011347[[#This Row],[PO Value]]</f>
        <v>575180</v>
      </c>
      <c r="W102" s="2370"/>
      <c r="X102" s="2370"/>
      <c r="Y102" s="2370"/>
      <c r="Z102" s="319"/>
      <c r="AA102" s="596"/>
    </row>
    <row r="103" spans="1:27" s="259" customFormat="1" ht="31.2">
      <c r="A103" s="289">
        <f>ROW() - ROW(Table626893456791011347[[#Headers],[SL]])</f>
        <v>97</v>
      </c>
      <c r="B103" s="852">
        <v>45806</v>
      </c>
      <c r="C103" s="108" t="s">
        <v>3851</v>
      </c>
      <c r="D103" s="108" t="s">
        <v>3612</v>
      </c>
      <c r="E103" s="108" t="s">
        <v>3852</v>
      </c>
      <c r="F103" s="108" t="s">
        <v>3853</v>
      </c>
      <c r="G103" s="829" t="s">
        <v>3854</v>
      </c>
      <c r="H103" s="248" t="s">
        <v>3855</v>
      </c>
      <c r="I103" s="849" t="s">
        <v>3854</v>
      </c>
      <c r="J103" s="108" t="s">
        <v>77</v>
      </c>
      <c r="K103" s="108" t="s">
        <v>157</v>
      </c>
      <c r="L103" s="108" t="s">
        <v>3856</v>
      </c>
      <c r="M103" s="847">
        <v>45806</v>
      </c>
      <c r="N103" s="217">
        <v>600000</v>
      </c>
      <c r="O103" s="106" t="s">
        <v>30</v>
      </c>
      <c r="P103" s="106" t="s">
        <v>44</v>
      </c>
      <c r="Q103" s="840">
        <v>0.5</v>
      </c>
      <c r="R103" s="107"/>
      <c r="S103" s="852"/>
      <c r="T103" s="607"/>
      <c r="U103" s="106"/>
      <c r="V103" s="1260">
        <f>Table626893456791011347[[#This Row],[Offer Value]]-Table626893456791011347[[#This Row],[PO Value]]</f>
        <v>600000</v>
      </c>
      <c r="W103" s="106" t="s">
        <v>3857</v>
      </c>
      <c r="X103" s="106"/>
      <c r="Y103" s="605"/>
      <c r="Z103" s="319"/>
      <c r="AA103" s="596"/>
    </row>
    <row r="104" spans="1:27" s="259" customFormat="1" ht="18">
      <c r="A104" s="1053">
        <v>107</v>
      </c>
      <c r="B104" s="1251">
        <v>45918</v>
      </c>
      <c r="C104" s="1247" t="s">
        <v>3833</v>
      </c>
      <c r="D104" s="1246" t="s">
        <v>3747</v>
      </c>
      <c r="E104" s="1247" t="s">
        <v>3677</v>
      </c>
      <c r="F104" s="1247" t="s">
        <v>3760</v>
      </c>
      <c r="G104" s="2209">
        <v>9003127767</v>
      </c>
      <c r="H104" s="1952" t="s">
        <v>3761</v>
      </c>
      <c r="I104" s="1247" t="s">
        <v>3762</v>
      </c>
      <c r="J104" s="1041" t="s">
        <v>75</v>
      </c>
      <c r="K104" s="1041" t="s">
        <v>157</v>
      </c>
      <c r="L104" s="1920" t="s">
        <v>3858</v>
      </c>
      <c r="M104" s="1251">
        <v>45918</v>
      </c>
      <c r="N104" s="1278">
        <v>631441</v>
      </c>
      <c r="O104" s="1140" t="s">
        <v>44</v>
      </c>
      <c r="P104" s="1248" t="s">
        <v>2354</v>
      </c>
      <c r="Q104" s="1294">
        <v>1</v>
      </c>
      <c r="R104" s="2016">
        <v>430115662</v>
      </c>
      <c r="S104" s="1295">
        <v>45919</v>
      </c>
      <c r="T104" s="2017">
        <v>631441</v>
      </c>
      <c r="U104" s="1248" t="s">
        <v>1480</v>
      </c>
      <c r="V104" s="1951">
        <f>Table626893456791011347[[#This Row],[Offer Value]]-Table626893456791011347[[#This Row],[PO Value]]</f>
        <v>0</v>
      </c>
      <c r="W104" s="1248"/>
      <c r="X104" s="1248"/>
      <c r="Y104" s="610"/>
      <c r="Z104" s="319"/>
      <c r="AA104" s="598"/>
    </row>
    <row r="105" spans="1:27" s="259" customFormat="1" ht="18">
      <c r="A105" s="1473">
        <f>ROW() - ROW(Table626893456791011347[[#Headers],[SL]])</f>
        <v>99</v>
      </c>
      <c r="B105" s="1955">
        <v>45856</v>
      </c>
      <c r="C105" s="1140" t="s">
        <v>3722</v>
      </c>
      <c r="D105" s="1140" t="s">
        <v>3612</v>
      </c>
      <c r="E105" s="1140" t="s">
        <v>3601</v>
      </c>
      <c r="F105" s="1140" t="s">
        <v>3723</v>
      </c>
      <c r="G105" s="2381"/>
      <c r="H105" s="1952" t="s">
        <v>3724</v>
      </c>
      <c r="I105" s="1920" t="s">
        <v>3719</v>
      </c>
      <c r="J105" s="1041" t="s">
        <v>77</v>
      </c>
      <c r="K105" s="1041" t="s">
        <v>138</v>
      </c>
      <c r="L105" s="1475" t="s">
        <v>3859</v>
      </c>
      <c r="M105" s="1474">
        <v>45856</v>
      </c>
      <c r="N105" s="2209">
        <v>695600</v>
      </c>
      <c r="O105" s="1953" t="str">
        <f>TEXT(Table626893456791011347[[#This Row],[Offer Reference Date]], "mmmm")</f>
        <v>July</v>
      </c>
      <c r="P105" s="1953" t="str">
        <f>TEXT(Table626893456791011347[[#This Row],[Offer Reference Date]], "mmmm")</f>
        <v>July</v>
      </c>
      <c r="Q105" s="1500">
        <v>1</v>
      </c>
      <c r="R105" s="2444">
        <v>1500003170</v>
      </c>
      <c r="S105" s="1955">
        <v>45861</v>
      </c>
      <c r="T105" s="2209">
        <v>695600</v>
      </c>
      <c r="U105" s="1953" t="str">
        <f>TEXT(Table626893456791011347[[#This Row],[PO Date]], "mmmm")</f>
        <v>July</v>
      </c>
      <c r="V105" s="1956">
        <f>Table626893456791011347[[#This Row],[PO Value]]-Table626893456791011347[[#This Row],[Offer Value]]</f>
        <v>0</v>
      </c>
      <c r="W105" s="1956"/>
      <c r="X105" s="2210"/>
      <c r="Y105" s="1474"/>
      <c r="Z105" s="319"/>
      <c r="AA105" s="597"/>
    </row>
    <row r="106" spans="1:27" s="259" customFormat="1" ht="31.2">
      <c r="A106" s="289">
        <f>ROW() - ROW(Table626893456791011347[[#Headers],[SL]])</f>
        <v>100</v>
      </c>
      <c r="B106" s="301">
        <v>45911</v>
      </c>
      <c r="C106" s="115" t="s">
        <v>1832</v>
      </c>
      <c r="D106" s="105" t="s">
        <v>3612</v>
      </c>
      <c r="E106" s="105" t="s">
        <v>954</v>
      </c>
      <c r="F106" s="105" t="s">
        <v>3840</v>
      </c>
      <c r="G106" s="829"/>
      <c r="H106" t="s">
        <v>3841</v>
      </c>
      <c r="I106" t="s">
        <v>3842</v>
      </c>
      <c r="J106" s="108" t="s">
        <v>77</v>
      </c>
      <c r="K106" s="178" t="s">
        <v>639</v>
      </c>
      <c r="L106" s="2413" t="s">
        <v>3860</v>
      </c>
      <c r="M106" s="301">
        <v>45911</v>
      </c>
      <c r="N106" s="2423">
        <v>695600</v>
      </c>
      <c r="O106" s="113" t="s">
        <v>44</v>
      </c>
      <c r="P106" s="300" t="s">
        <v>2354</v>
      </c>
      <c r="Q106" s="841">
        <v>0.5</v>
      </c>
      <c r="R106" s="2449"/>
      <c r="S106" s="320"/>
      <c r="T106" s="300"/>
      <c r="U106" s="315"/>
      <c r="V106" s="1260">
        <f>Table626893456791011347[[#This Row],[Offer Value]]-Table626893456791011347[[#This Row],[PO Value]]</f>
        <v>695600</v>
      </c>
      <c r="W106" s="300"/>
      <c r="X106" s="300"/>
      <c r="Y106" s="610"/>
      <c r="Z106" s="319"/>
      <c r="AA106" s="598"/>
    </row>
    <row r="107" spans="1:27" s="259" customFormat="1" ht="18">
      <c r="A107" s="1053">
        <f>ROW() - ROW(Table626893456791011347[[#Headers],[SL]])</f>
        <v>101</v>
      </c>
      <c r="B107" s="2511">
        <v>45826</v>
      </c>
      <c r="C107" s="1140" t="s">
        <v>1736</v>
      </c>
      <c r="D107" s="1140" t="s">
        <v>3612</v>
      </c>
      <c r="E107" s="1140" t="s">
        <v>3601</v>
      </c>
      <c r="F107" s="1041" t="s">
        <v>3617</v>
      </c>
      <c r="G107" s="1277">
        <v>9994975187</v>
      </c>
      <c r="H107" s="2390" t="s">
        <v>3618</v>
      </c>
      <c r="I107" s="1477" t="s">
        <v>3619</v>
      </c>
      <c r="J107" s="1041" t="s">
        <v>74</v>
      </c>
      <c r="K107" s="1041" t="s">
        <v>138</v>
      </c>
      <c r="L107" s="1477" t="s">
        <v>3861</v>
      </c>
      <c r="M107" s="1492">
        <v>45826</v>
      </c>
      <c r="N107" s="2381">
        <v>734206</v>
      </c>
      <c r="O107" s="1140" t="s">
        <v>34</v>
      </c>
      <c r="P107" s="1140" t="s">
        <v>34</v>
      </c>
      <c r="Q107" s="1500">
        <v>1</v>
      </c>
      <c r="R107" s="2447">
        <v>6600148518</v>
      </c>
      <c r="S107" s="1492">
        <v>45827</v>
      </c>
      <c r="T107" s="1244">
        <v>235902</v>
      </c>
      <c r="U107" s="1140" t="s">
        <v>34</v>
      </c>
      <c r="V107" s="1260">
        <f>Table626893456791011347[[#This Row],[Offer Value]]-Table626893456791011347[[#This Row],[PO Value]]</f>
        <v>498304</v>
      </c>
      <c r="W107" s="1248"/>
      <c r="X107" s="1248"/>
      <c r="Y107" s="1946"/>
      <c r="Z107" s="319"/>
      <c r="AA107" s="597"/>
    </row>
    <row r="108" spans="1:27" s="259" customFormat="1" ht="31.2">
      <c r="A108" s="1053">
        <f>ROW() - ROW(Table626893456791011347[[#Headers],[SL]])</f>
        <v>102</v>
      </c>
      <c r="B108" s="1490">
        <v>45785</v>
      </c>
      <c r="C108" s="2375" t="s">
        <v>3676</v>
      </c>
      <c r="D108" s="1247" t="s">
        <v>3612</v>
      </c>
      <c r="E108" s="1264" t="s">
        <v>3677</v>
      </c>
      <c r="F108" s="1264" t="s">
        <v>3678</v>
      </c>
      <c r="G108" s="2385">
        <v>9445204702</v>
      </c>
      <c r="H108" s="1266" t="s">
        <v>3679</v>
      </c>
      <c r="I108" s="1278" t="s">
        <v>3683</v>
      </c>
      <c r="J108" s="1041" t="s">
        <v>75</v>
      </c>
      <c r="K108" s="1041" t="s">
        <v>157</v>
      </c>
      <c r="L108" s="1041" t="s">
        <v>3862</v>
      </c>
      <c r="M108" s="1279">
        <v>45785</v>
      </c>
      <c r="N108" s="1243">
        <v>735786</v>
      </c>
      <c r="O108" s="1042" t="s">
        <v>30</v>
      </c>
      <c r="P108" s="1042" t="s">
        <v>34</v>
      </c>
      <c r="Q108" s="1500">
        <v>1</v>
      </c>
      <c r="R108" s="2454">
        <v>6100064045</v>
      </c>
      <c r="S108" s="1490">
        <v>45809</v>
      </c>
      <c r="T108" s="2476">
        <v>706353</v>
      </c>
      <c r="U108" s="1042" t="s">
        <v>34</v>
      </c>
      <c r="V108" s="1260">
        <f>Table626893456791011347[[#This Row],[Offer Value]]-Table626893456791011347[[#This Row],[PO Value]]</f>
        <v>29433</v>
      </c>
      <c r="W108" s="1042"/>
      <c r="X108" s="1042"/>
      <c r="Y108" s="1127"/>
      <c r="Z108" s="319"/>
      <c r="AA108" s="598"/>
    </row>
    <row r="109" spans="1:27" s="259" customFormat="1" ht="18">
      <c r="A109" s="1053">
        <f>ROW() - ROW(Table626893456791011347[[#Headers],[SL]])</f>
        <v>103</v>
      </c>
      <c r="B109" s="2506">
        <v>45962</v>
      </c>
      <c r="C109" s="1153" t="s">
        <v>3863</v>
      </c>
      <c r="D109" s="1153" t="s">
        <v>3612</v>
      </c>
      <c r="E109" s="1153" t="s">
        <v>3601</v>
      </c>
      <c r="F109" s="1153" t="s">
        <v>3131</v>
      </c>
      <c r="G109" s="1254" t="s">
        <v>3864</v>
      </c>
      <c r="H109" s="1296" t="s">
        <v>3132</v>
      </c>
      <c r="I109" s="1253" t="s">
        <v>3133</v>
      </c>
      <c r="J109" s="1253" t="s">
        <v>77</v>
      </c>
      <c r="K109" s="1253" t="s">
        <v>157</v>
      </c>
      <c r="L109" s="1201" t="s">
        <v>3865</v>
      </c>
      <c r="M109" s="1251">
        <v>45426</v>
      </c>
      <c r="N109" s="2424">
        <v>758415</v>
      </c>
      <c r="O109" s="1023" t="s">
        <v>7</v>
      </c>
      <c r="P109" s="1257" t="s">
        <v>7</v>
      </c>
      <c r="Q109" s="1258">
        <v>1</v>
      </c>
      <c r="R109" s="2463" t="s">
        <v>3866</v>
      </c>
      <c r="S109" s="1402">
        <v>45560</v>
      </c>
      <c r="T109" s="1259">
        <v>758415</v>
      </c>
      <c r="U109" s="1257" t="s">
        <v>7</v>
      </c>
      <c r="V109" s="1260">
        <f>Table626893456791011347[[#This Row],[Offer Value]]-Table626893456791011347[[#This Row],[PO Value]]</f>
        <v>0</v>
      </c>
      <c r="W109" s="1261" t="s">
        <v>3606</v>
      </c>
      <c r="X109" s="1042"/>
      <c r="Y109" s="1127"/>
      <c r="Z109" s="319"/>
      <c r="AA109" s="597"/>
    </row>
    <row r="110" spans="1:27" s="259" customFormat="1" ht="18">
      <c r="A110" s="1053">
        <f>ROW() - ROW(Table626893456791011347[[#Headers],[SL]])</f>
        <v>104</v>
      </c>
      <c r="B110" s="1490"/>
      <c r="C110" s="1252" t="s">
        <v>3863</v>
      </c>
      <c r="D110" s="1252" t="s">
        <v>3612</v>
      </c>
      <c r="E110" s="1153" t="s">
        <v>3601</v>
      </c>
      <c r="F110" s="1252" t="s">
        <v>3131</v>
      </c>
      <c r="G110" s="1297" t="s">
        <v>3864</v>
      </c>
      <c r="H110" s="1142" t="s">
        <v>3132</v>
      </c>
      <c r="I110" s="1247" t="s">
        <v>3137</v>
      </c>
      <c r="J110" s="1247" t="s">
        <v>77</v>
      </c>
      <c r="K110" s="1247" t="s">
        <v>157</v>
      </c>
      <c r="L110" s="1289" t="s">
        <v>3865</v>
      </c>
      <c r="M110" s="1251">
        <v>45426</v>
      </c>
      <c r="N110" s="1287">
        <v>758415</v>
      </c>
      <c r="O110" s="1023" t="s">
        <v>7</v>
      </c>
      <c r="P110" s="1248" t="s">
        <v>7</v>
      </c>
      <c r="Q110" s="1258">
        <v>1</v>
      </c>
      <c r="R110" s="1309" t="s">
        <v>3866</v>
      </c>
      <c r="S110" s="1402">
        <v>45560</v>
      </c>
      <c r="T110" s="1259">
        <v>758415</v>
      </c>
      <c r="U110" s="1257" t="s">
        <v>7</v>
      </c>
      <c r="V110" s="1260">
        <f>Table626893456791011347[[#This Row],[Offer Value]]-Table626893456791011347[[#This Row],[PO Value]]</f>
        <v>0</v>
      </c>
      <c r="W110" s="1261" t="s">
        <v>3606</v>
      </c>
      <c r="X110" s="1042"/>
      <c r="Y110" s="1127"/>
      <c r="Z110" s="319"/>
      <c r="AA110" s="598"/>
    </row>
    <row r="111" spans="1:27" s="259" customFormat="1" ht="30.75" customHeight="1">
      <c r="A111" s="1053">
        <f>ROW() - ROW(Table626893456791011347[[#Headers],[SL]])</f>
        <v>105</v>
      </c>
      <c r="B111" s="1490"/>
      <c r="C111" s="1153" t="s">
        <v>3863</v>
      </c>
      <c r="D111" s="1153" t="s">
        <v>3612</v>
      </c>
      <c r="E111" s="1153" t="s">
        <v>3601</v>
      </c>
      <c r="F111" s="1153" t="s">
        <v>3131</v>
      </c>
      <c r="G111" s="1254" t="s">
        <v>3864</v>
      </c>
      <c r="H111" s="1296" t="s">
        <v>3132</v>
      </c>
      <c r="I111" s="1253" t="s">
        <v>3138</v>
      </c>
      <c r="J111" s="1253" t="s">
        <v>77</v>
      </c>
      <c r="K111" s="1253" t="s">
        <v>157</v>
      </c>
      <c r="L111" s="1201" t="s">
        <v>3865</v>
      </c>
      <c r="M111" s="1251">
        <v>45426</v>
      </c>
      <c r="N111" s="2424">
        <v>758415</v>
      </c>
      <c r="O111" s="1023" t="s">
        <v>7</v>
      </c>
      <c r="P111" s="1248" t="s">
        <v>7</v>
      </c>
      <c r="Q111" s="1258">
        <v>1</v>
      </c>
      <c r="R111" s="1309" t="s">
        <v>3866</v>
      </c>
      <c r="S111" s="1402">
        <v>45560</v>
      </c>
      <c r="T111" s="1259">
        <v>758415</v>
      </c>
      <c r="U111" s="1257" t="s">
        <v>7</v>
      </c>
      <c r="V111" s="1260">
        <f>Table626893456791011347[[#This Row],[Offer Value]]-Table626893456791011347[[#This Row],[PO Value]]</f>
        <v>0</v>
      </c>
      <c r="W111" s="1261" t="s">
        <v>3606</v>
      </c>
      <c r="X111" s="1042"/>
      <c r="Y111" s="1127"/>
      <c r="Z111" s="319"/>
      <c r="AA111" s="597"/>
    </row>
    <row r="112" spans="1:27" s="259" customFormat="1" ht="18">
      <c r="A112" s="1517">
        <f>ROW() - ROW(Table626893456791011347[[#Headers],[SL]])</f>
        <v>106</v>
      </c>
      <c r="B112" s="2513">
        <v>45825</v>
      </c>
      <c r="C112" s="1931" t="s">
        <v>3639</v>
      </c>
      <c r="D112" s="1932" t="s">
        <v>3612</v>
      </c>
      <c r="E112" s="1931" t="s">
        <v>954</v>
      </c>
      <c r="F112" s="1931" t="s">
        <v>3640</v>
      </c>
      <c r="G112" s="1933">
        <v>7823945177</v>
      </c>
      <c r="H112" s="1934" t="s">
        <v>3641</v>
      </c>
      <c r="I112" s="1931" t="s">
        <v>3642</v>
      </c>
      <c r="J112" s="1519" t="s">
        <v>81</v>
      </c>
      <c r="K112" s="1519" t="s">
        <v>157</v>
      </c>
      <c r="L112" s="1931" t="s">
        <v>3867</v>
      </c>
      <c r="M112" s="1935">
        <v>45825</v>
      </c>
      <c r="N112" s="1933">
        <v>832980</v>
      </c>
      <c r="O112" s="1518" t="s">
        <v>34</v>
      </c>
      <c r="P112" s="1932"/>
      <c r="Q112" s="1936">
        <v>0.1</v>
      </c>
      <c r="R112" s="1937"/>
      <c r="S112" s="1935"/>
      <c r="T112" s="1932"/>
      <c r="U112" s="1932"/>
      <c r="V112" s="1526">
        <f>Table626893456791011347[[#This Row],[Offer Value]]-Table626893456791011347[[#This Row],[PO Value]]</f>
        <v>832980</v>
      </c>
      <c r="W112" s="1932" t="s">
        <v>3626</v>
      </c>
      <c r="X112" s="300"/>
      <c r="Y112" s="610"/>
      <c r="Z112" s="319"/>
      <c r="AA112" s="598"/>
    </row>
    <row r="113" spans="1:27" s="259" customFormat="1" ht="156">
      <c r="A113" s="1053">
        <f>ROW() - ROW(Table626893456791011347[[#Headers],[SL]])</f>
        <v>107</v>
      </c>
      <c r="B113" s="1251">
        <v>45892</v>
      </c>
      <c r="C113" s="2374" t="s">
        <v>3599</v>
      </c>
      <c r="D113" s="1247" t="s">
        <v>3612</v>
      </c>
      <c r="E113" s="1247" t="s">
        <v>3868</v>
      </c>
      <c r="F113" s="1252" t="s">
        <v>3869</v>
      </c>
      <c r="G113" s="2384" t="s">
        <v>3810</v>
      </c>
      <c r="H113" s="2341" t="s">
        <v>3811</v>
      </c>
      <c r="I113" s="1247" t="s">
        <v>3870</v>
      </c>
      <c r="J113" s="1247" t="s">
        <v>73</v>
      </c>
      <c r="K113" s="1247" t="s">
        <v>138</v>
      </c>
      <c r="L113" s="2416" t="s">
        <v>3871</v>
      </c>
      <c r="M113" s="1251">
        <v>45892</v>
      </c>
      <c r="N113" s="2427">
        <v>926000</v>
      </c>
      <c r="O113" s="1953" t="str">
        <f>TEXT(Table626893456791011347[[#This Row],[Offer Reference Date]], "mmmm")</f>
        <v>August</v>
      </c>
      <c r="P113" s="1140" t="s">
        <v>44</v>
      </c>
      <c r="Q113" s="1294">
        <v>1</v>
      </c>
      <c r="R113" s="1278">
        <v>4504881247</v>
      </c>
      <c r="S113" s="1955">
        <v>45917</v>
      </c>
      <c r="T113" s="2475">
        <v>850000</v>
      </c>
      <c r="U113" s="1249" t="s">
        <v>44</v>
      </c>
      <c r="V113" s="1260">
        <f>Table626893456791011347[[#This Row],[Offer Value]]-Table626893456791011347[[#This Row],[PO Value]]</f>
        <v>76000</v>
      </c>
      <c r="W113" s="1248"/>
      <c r="X113" s="300"/>
      <c r="Y113" s="610"/>
      <c r="Z113" s="319"/>
      <c r="AA113" s="597"/>
    </row>
    <row r="114" spans="1:27" s="259" customFormat="1" ht="31.2">
      <c r="A114" s="289">
        <f>ROW() - ROW(Table626893456791011347[[#Headers],[SL]])</f>
        <v>108</v>
      </c>
      <c r="B114" s="301">
        <v>45918</v>
      </c>
      <c r="C114" s="115" t="s">
        <v>3746</v>
      </c>
      <c r="D114" s="105" t="s">
        <v>3747</v>
      </c>
      <c r="E114" s="105" t="s">
        <v>3601</v>
      </c>
      <c r="F114" s="105" t="s">
        <v>3748</v>
      </c>
      <c r="G114" s="7">
        <v>8056222137</v>
      </c>
      <c r="H114" s="250" t="s">
        <v>3749</v>
      </c>
      <c r="I114" s="7" t="s">
        <v>3750</v>
      </c>
      <c r="J114" s="108" t="s">
        <v>75</v>
      </c>
      <c r="K114" s="178" t="s">
        <v>157</v>
      </c>
      <c r="L114" s="457" t="s">
        <v>3872</v>
      </c>
      <c r="M114" s="301">
        <v>45918</v>
      </c>
      <c r="N114" s="1794">
        <v>1125750</v>
      </c>
      <c r="O114" s="113" t="s">
        <v>44</v>
      </c>
      <c r="P114" s="300" t="s">
        <v>2354</v>
      </c>
      <c r="Q114" s="841">
        <v>0.5</v>
      </c>
      <c r="R114" s="916"/>
      <c r="S114" s="320"/>
      <c r="T114" s="300"/>
      <c r="U114" s="315"/>
      <c r="V114" s="1260">
        <f>Table626893456791011347[[#This Row],[Offer Value]]-Table626893456791011347[[#This Row],[PO Value]]</f>
        <v>1125750</v>
      </c>
      <c r="W114" s="300"/>
      <c r="X114" s="300"/>
      <c r="Y114" s="610"/>
      <c r="Z114" s="319"/>
      <c r="AA114" s="596"/>
    </row>
    <row r="115" spans="1:27" s="259" customFormat="1" ht="31.2">
      <c r="A115" s="1517">
        <f>ROW() - ROW(Table626893456791011347[[#Headers],[SL]])</f>
        <v>109</v>
      </c>
      <c r="B115" s="1527">
        <v>45695</v>
      </c>
      <c r="C115" s="1519" t="s">
        <v>3632</v>
      </c>
      <c r="D115" s="1518" t="s">
        <v>3600</v>
      </c>
      <c r="E115" s="1518" t="s">
        <v>3601</v>
      </c>
      <c r="F115" s="1521" t="s">
        <v>3633</v>
      </c>
      <c r="G115" s="1530">
        <v>9994624042</v>
      </c>
      <c r="H115" s="1521" t="s">
        <v>3634</v>
      </c>
      <c r="I115" s="1521" t="s">
        <v>3635</v>
      </c>
      <c r="J115" s="1519" t="s">
        <v>83</v>
      </c>
      <c r="K115" s="1519" t="s">
        <v>157</v>
      </c>
      <c r="L115" s="1533" t="s">
        <v>3873</v>
      </c>
      <c r="M115" s="1527">
        <v>45695</v>
      </c>
      <c r="N115" s="2421">
        <v>1412161.7</v>
      </c>
      <c r="O115" s="1518" t="s">
        <v>18</v>
      </c>
      <c r="P115" s="1518" t="s">
        <v>28</v>
      </c>
      <c r="Q115" s="1523">
        <v>0.6</v>
      </c>
      <c r="R115" s="1792"/>
      <c r="S115" s="1522"/>
      <c r="T115" s="1525"/>
      <c r="U115" s="1518"/>
      <c r="V115" s="1526">
        <f>Table626893456791011347[[#This Row],[Offer Value]]-Table626893456791011347[[#This Row],[PO Value]]</f>
        <v>1412161.7</v>
      </c>
      <c r="W115" s="1519" t="s">
        <v>3874</v>
      </c>
      <c r="X115" s="1518"/>
      <c r="Y115" s="1520"/>
      <c r="Z115" s="319"/>
      <c r="AA115" s="599"/>
    </row>
    <row r="116" spans="1:27" s="259" customFormat="1" ht="18">
      <c r="A116" s="1053">
        <f>ROW() - ROW(Table626893456791011347[[#Headers],[SL]])</f>
        <v>110</v>
      </c>
      <c r="B116" s="1251">
        <v>45808</v>
      </c>
      <c r="C116" s="1120" t="s">
        <v>755</v>
      </c>
      <c r="D116" s="1120" t="s">
        <v>3600</v>
      </c>
      <c r="E116" s="1120" t="s">
        <v>3601</v>
      </c>
      <c r="F116" s="1041" t="s">
        <v>3698</v>
      </c>
      <c r="G116" s="1245">
        <v>9443675970</v>
      </c>
      <c r="H116" s="1132" t="s">
        <v>3699</v>
      </c>
      <c r="I116" s="1909" t="s">
        <v>3700</v>
      </c>
      <c r="J116" s="1122" t="s">
        <v>75</v>
      </c>
      <c r="K116" s="1122" t="s">
        <v>157</v>
      </c>
      <c r="L116" s="1041" t="s">
        <v>3875</v>
      </c>
      <c r="M116" s="1312">
        <v>45811</v>
      </c>
      <c r="N116" s="1267">
        <v>1471608</v>
      </c>
      <c r="O116" s="1042" t="s">
        <v>34</v>
      </c>
      <c r="P116" s="1042" t="s">
        <v>37</v>
      </c>
      <c r="Q116" s="1306">
        <v>1</v>
      </c>
      <c r="R116" s="1309">
        <v>4507569303</v>
      </c>
      <c r="S116" s="1490">
        <v>45826</v>
      </c>
      <c r="T116" s="1910">
        <v>736257.6</v>
      </c>
      <c r="U116" s="1042" t="s">
        <v>34</v>
      </c>
      <c r="V116" s="1260">
        <f>Table626893456791011347[[#This Row],[Offer Value]]-Table626893456791011347[[#This Row],[PO Value]]</f>
        <v>735350.4</v>
      </c>
      <c r="W116" s="1126"/>
      <c r="X116" s="1248"/>
      <c r="Y116" s="1911"/>
      <c r="Z116" s="319"/>
      <c r="AA116" s="599"/>
    </row>
    <row r="117" spans="1:27" s="259" customFormat="1" ht="18">
      <c r="A117" s="289">
        <f>ROW() - ROW(Table626893456791011347[[#Headers],[SL]])</f>
        <v>111</v>
      </c>
      <c r="B117" s="852">
        <v>45769</v>
      </c>
      <c r="C117" s="105" t="s">
        <v>3652</v>
      </c>
      <c r="D117" s="105" t="s">
        <v>3612</v>
      </c>
      <c r="E117" s="105" t="s">
        <v>3601</v>
      </c>
      <c r="F117" s="910" t="s">
        <v>3815</v>
      </c>
      <c r="G117" s="829"/>
      <c r="H117" s="884" t="s">
        <v>3654</v>
      </c>
      <c r="I117" s="861" t="s">
        <v>3655</v>
      </c>
      <c r="J117" s="115" t="s">
        <v>80</v>
      </c>
      <c r="K117" s="108" t="s">
        <v>157</v>
      </c>
      <c r="L117" s="108" t="s">
        <v>3876</v>
      </c>
      <c r="M117" s="848">
        <v>45769</v>
      </c>
      <c r="N117" s="2422">
        <v>3286758</v>
      </c>
      <c r="O117" s="106" t="s">
        <v>28</v>
      </c>
      <c r="P117" s="106" t="s">
        <v>39</v>
      </c>
      <c r="Q117" s="840">
        <v>0.5</v>
      </c>
      <c r="R117" s="44"/>
      <c r="S117" s="852"/>
      <c r="T117" s="106"/>
      <c r="U117" s="106"/>
      <c r="V117" s="1260">
        <f>Table626893456791011347[[#This Row],[Offer Value]]-Table626893456791011347[[#This Row],[PO Value]]</f>
        <v>3286758</v>
      </c>
      <c r="W117" s="106"/>
      <c r="X117" s="106"/>
      <c r="Y117" s="604"/>
      <c r="Z117" s="319"/>
      <c r="AA117" s="600"/>
    </row>
    <row r="118" spans="1:27" s="259" customFormat="1" ht="31.2">
      <c r="A118" s="289">
        <f>ROW() - ROW(Table626893456791011347[[#Headers],[SL]])</f>
        <v>112</v>
      </c>
      <c r="B118" s="852">
        <v>45703</v>
      </c>
      <c r="C118" s="105" t="s">
        <v>3877</v>
      </c>
      <c r="D118" s="105" t="s">
        <v>3766</v>
      </c>
      <c r="E118" s="105" t="s">
        <v>3601</v>
      </c>
      <c r="F118" s="108" t="s">
        <v>3878</v>
      </c>
      <c r="G118" s="829">
        <v>9443675970</v>
      </c>
      <c r="H118" s="248" t="s">
        <v>3879</v>
      </c>
      <c r="I118" s="7" t="s">
        <v>3880</v>
      </c>
      <c r="J118" s="115" t="s">
        <v>75</v>
      </c>
      <c r="K118" s="115" t="s">
        <v>157</v>
      </c>
      <c r="L118" s="917" t="s">
        <v>3881</v>
      </c>
      <c r="M118" s="848">
        <v>45703</v>
      </c>
      <c r="N118"/>
      <c r="O118" s="106" t="s">
        <v>18</v>
      </c>
      <c r="P118" s="106"/>
      <c r="Q118" s="840">
        <v>0.1</v>
      </c>
      <c r="R118" s="44"/>
      <c r="S118" s="1017"/>
      <c r="T118" s="907"/>
      <c r="U118" s="106"/>
      <c r="V118" s="1260">
        <f>Table626893456791011347[[#This Row],[Offer Value]]-Table626893456791011347[[#This Row],[PO Value]]</f>
        <v>0</v>
      </c>
      <c r="W118" s="110" t="s">
        <v>3882</v>
      </c>
      <c r="X118" s="106"/>
      <c r="Y118" s="605"/>
      <c r="Z118" s="319"/>
      <c r="AA118" s="601"/>
    </row>
    <row r="119" spans="1:27" s="259" customFormat="1" ht="33.6">
      <c r="A119" s="289">
        <f>ROW() - ROW(Table626893456791011347[[#Headers],[SL]])</f>
        <v>113</v>
      </c>
      <c r="B119" s="852">
        <v>45695</v>
      </c>
      <c r="C119" s="908" t="s">
        <v>3765</v>
      </c>
      <c r="D119" s="105" t="s">
        <v>3612</v>
      </c>
      <c r="E119" s="7" t="s">
        <v>3767</v>
      </c>
      <c r="F119" s="7" t="s">
        <v>3768</v>
      </c>
      <c r="G119" s="829">
        <v>9994624042</v>
      </c>
      <c r="H119" s="909" t="s">
        <v>3769</v>
      </c>
      <c r="I119" s="7" t="s">
        <v>2610</v>
      </c>
      <c r="J119" s="115" t="s">
        <v>74</v>
      </c>
      <c r="K119" s="115" t="s">
        <v>138</v>
      </c>
      <c r="L119" s="917" t="s">
        <v>3883</v>
      </c>
      <c r="M119" s="848">
        <v>45695</v>
      </c>
      <c r="N119" s="217"/>
      <c r="O119" s="106" t="s">
        <v>18</v>
      </c>
      <c r="P119" s="106"/>
      <c r="Q119" s="840">
        <v>0.1</v>
      </c>
      <c r="R119" s="44"/>
      <c r="S119" s="1017"/>
      <c r="T119" s="907"/>
      <c r="U119" s="106"/>
      <c r="V119" s="1260">
        <f>Table626893456791011347[[#This Row],[Offer Value]]-Table626893456791011347[[#This Row],[PO Value]]</f>
        <v>0</v>
      </c>
      <c r="W119" s="2485" t="s">
        <v>3884</v>
      </c>
      <c r="X119" s="106"/>
      <c r="Y119" s="604"/>
      <c r="Z119" s="319"/>
      <c r="AA119" s="601"/>
    </row>
    <row r="120" spans="1:27" s="259" customFormat="1" ht="31.2">
      <c r="A120" s="289">
        <f>ROW() - ROW(Table626893456791011347[[#Headers],[SL]])</f>
        <v>114</v>
      </c>
      <c r="B120" s="301">
        <v>45940</v>
      </c>
      <c r="C120" s="113" t="s">
        <v>1736</v>
      </c>
      <c r="D120" s="113" t="s">
        <v>3612</v>
      </c>
      <c r="E120" s="113" t="s">
        <v>3601</v>
      </c>
      <c r="F120" s="108" t="s">
        <v>3617</v>
      </c>
      <c r="G120" s="828">
        <v>9994975187</v>
      </c>
      <c r="H120" s="2393" t="s">
        <v>3618</v>
      </c>
      <c r="I120" s="861" t="s">
        <v>3885</v>
      </c>
      <c r="J120" s="108" t="s">
        <v>83</v>
      </c>
      <c r="K120" s="108" t="s">
        <v>157</v>
      </c>
      <c r="L120" s="108" t="s">
        <v>3886</v>
      </c>
      <c r="M120" s="317">
        <v>45940</v>
      </c>
      <c r="N120" s="611">
        <v>1226010</v>
      </c>
      <c r="O120" s="300" t="s">
        <v>97</v>
      </c>
      <c r="P120" s="300" t="s">
        <v>49</v>
      </c>
      <c r="Q120" s="841">
        <v>0.3</v>
      </c>
      <c r="R120" s="323"/>
      <c r="S120" s="301"/>
      <c r="T120" s="300"/>
      <c r="U120" s="300"/>
      <c r="V120" s="1260">
        <f>Table626893456791011347[[#This Row],[Offer Value]]-Table626893456791011347[[#This Row],[PO Value]]</f>
        <v>1226010</v>
      </c>
      <c r="W120" s="300"/>
      <c r="X120" s="300"/>
      <c r="Y120" s="611"/>
      <c r="Z120" s="319"/>
      <c r="AA120" s="452"/>
    </row>
    <row r="121" spans="1:27" s="259" customFormat="1" ht="33.6">
      <c r="A121" s="289">
        <f>ROW() - ROW(Table626893456791011347[[#Headers],[SL]])</f>
        <v>115</v>
      </c>
      <c r="B121" s="301">
        <v>45938</v>
      </c>
      <c r="C121" s="908" t="s">
        <v>3765</v>
      </c>
      <c r="D121" s="105" t="s">
        <v>3612</v>
      </c>
      <c r="E121" s="7" t="s">
        <v>3767</v>
      </c>
      <c r="F121" s="7" t="s">
        <v>3768</v>
      </c>
      <c r="G121" s="829">
        <v>9994624042</v>
      </c>
      <c r="H121" s="909" t="s">
        <v>3769</v>
      </c>
      <c r="I121" s="7" t="s">
        <v>2610</v>
      </c>
      <c r="J121" s="115" t="s">
        <v>74</v>
      </c>
      <c r="K121" s="178" t="s">
        <v>639</v>
      </c>
      <c r="L121" s="457" t="s">
        <v>3887</v>
      </c>
      <c r="M121" s="317">
        <v>45938</v>
      </c>
      <c r="N121" s="611">
        <v>255980</v>
      </c>
      <c r="O121" s="300" t="s">
        <v>97</v>
      </c>
      <c r="P121" s="300" t="s">
        <v>49</v>
      </c>
      <c r="Q121" s="841">
        <v>0.3</v>
      </c>
      <c r="R121" s="323"/>
      <c r="S121" s="301"/>
      <c r="T121" s="300"/>
      <c r="U121" s="300"/>
      <c r="V121" s="1260">
        <f>Table626893456791011347[[#This Row],[Offer Value]]-Table626893456791011347[[#This Row],[PO Value]]</f>
        <v>255980</v>
      </c>
      <c r="W121" s="300"/>
      <c r="X121" s="300"/>
      <c r="Y121" s="611"/>
      <c r="Z121" s="319"/>
      <c r="AA121" s="602"/>
    </row>
    <row r="122" spans="1:27" s="259" customFormat="1" ht="31.2">
      <c r="A122" s="289">
        <f>ROW() - ROW(Table626893456791011347[[#Headers],[SL]])</f>
        <v>116</v>
      </c>
      <c r="B122" s="301">
        <v>45945</v>
      </c>
      <c r="C122" s="115" t="s">
        <v>1832</v>
      </c>
      <c r="D122" s="105" t="s">
        <v>3612</v>
      </c>
      <c r="E122" s="105" t="s">
        <v>954</v>
      </c>
      <c r="F122" s="105" t="s">
        <v>3840</v>
      </c>
      <c r="G122" s="829"/>
      <c r="H122" t="s">
        <v>3841</v>
      </c>
      <c r="I122" t="s">
        <v>3842</v>
      </c>
      <c r="J122" s="108" t="s">
        <v>75</v>
      </c>
      <c r="K122" s="178" t="s">
        <v>685</v>
      </c>
      <c r="L122" s="178" t="s">
        <v>3888</v>
      </c>
      <c r="M122" s="317">
        <v>45945</v>
      </c>
      <c r="N122" s="611">
        <v>511536</v>
      </c>
      <c r="O122" s="300" t="s">
        <v>97</v>
      </c>
      <c r="P122" s="300" t="s">
        <v>49</v>
      </c>
      <c r="Q122" s="841">
        <v>0.3</v>
      </c>
      <c r="R122" s="323"/>
      <c r="S122" s="301"/>
      <c r="T122" s="300"/>
      <c r="U122" s="300"/>
      <c r="V122" s="1260">
        <f>Table626893456791011347[[#This Row],[Offer Value]]-Table626893456791011347[[#This Row],[PO Value]]</f>
        <v>511536</v>
      </c>
      <c r="W122" s="300"/>
      <c r="X122" s="300"/>
      <c r="Y122" s="611"/>
      <c r="Z122" s="319"/>
      <c r="AA122" s="452"/>
    </row>
    <row r="123" spans="1:27" s="259" customFormat="1" ht="28.8">
      <c r="A123" s="289">
        <f>ROW() - ROW(Table626893456791011347[[#Headers],[SL]])</f>
        <v>117</v>
      </c>
      <c r="B123" s="301">
        <v>45945</v>
      </c>
      <c r="C123" s="108" t="s">
        <v>3705</v>
      </c>
      <c r="D123" s="113" t="s">
        <v>3612</v>
      </c>
      <c r="E123" s="105" t="s">
        <v>3601</v>
      </c>
      <c r="F123" s="2205" t="s">
        <v>3706</v>
      </c>
      <c r="G123" s="830">
        <v>9003079016</v>
      </c>
      <c r="H123" s="800" t="s">
        <v>3707</v>
      </c>
      <c r="I123" s="861" t="s">
        <v>3708</v>
      </c>
      <c r="J123" s="108" t="s">
        <v>75</v>
      </c>
      <c r="K123" s="178" t="s">
        <v>685</v>
      </c>
      <c r="L123" s="178" t="s">
        <v>3889</v>
      </c>
      <c r="M123" s="317">
        <v>45945</v>
      </c>
      <c r="N123" s="611">
        <v>388406</v>
      </c>
      <c r="O123" s="300" t="s">
        <v>97</v>
      </c>
      <c r="P123" s="300" t="s">
        <v>49</v>
      </c>
      <c r="Q123" s="841">
        <v>0.3</v>
      </c>
      <c r="R123" s="323"/>
      <c r="S123" s="301"/>
      <c r="T123" s="300"/>
      <c r="U123" s="300"/>
      <c r="V123" s="1260">
        <f>Table626893456791011347[[#This Row],[Offer Value]]-Table626893456791011347[[#This Row],[PO Value]]</f>
        <v>388406</v>
      </c>
      <c r="W123" s="300"/>
      <c r="X123" s="300"/>
      <c r="Y123" s="611"/>
      <c r="Z123" s="319"/>
      <c r="AA123" s="602"/>
    </row>
    <row r="124" spans="1:27" s="259" customFormat="1" ht="18">
      <c r="A124" s="289">
        <f>ROW() - ROW(Table626893456791011347[[#Headers],[SL]])</f>
        <v>118</v>
      </c>
      <c r="B124" s="301">
        <v>45945</v>
      </c>
      <c r="C124" s="178" t="s">
        <v>3639</v>
      </c>
      <c r="D124" s="304" t="s">
        <v>3612</v>
      </c>
      <c r="E124" s="178" t="s">
        <v>954</v>
      </c>
      <c r="F124" s="178" t="s">
        <v>3640</v>
      </c>
      <c r="G124" s="833">
        <v>7823945177</v>
      </c>
      <c r="H124" s="1948" t="s">
        <v>3641</v>
      </c>
      <c r="I124" s="2042" t="s">
        <v>3642</v>
      </c>
      <c r="J124" s="178" t="s">
        <v>73</v>
      </c>
      <c r="K124" s="178" t="s">
        <v>138</v>
      </c>
      <c r="L124" s="178" t="s">
        <v>3890</v>
      </c>
      <c r="M124" s="317">
        <v>45945</v>
      </c>
      <c r="N124" s="611">
        <v>268500</v>
      </c>
      <c r="O124" s="300" t="s">
        <v>97</v>
      </c>
      <c r="P124" s="300" t="s">
        <v>49</v>
      </c>
      <c r="Q124" s="841">
        <v>0.3</v>
      </c>
      <c r="R124" s="323"/>
      <c r="S124" s="301"/>
      <c r="T124" s="300"/>
      <c r="U124" s="300"/>
      <c r="V124" s="1260">
        <f>Table626893456791011347[[#This Row],[Offer Value]]-Table626893456791011347[[#This Row],[PO Value]]</f>
        <v>268500</v>
      </c>
      <c r="W124" s="300"/>
      <c r="X124" s="300"/>
      <c r="Y124" s="611"/>
      <c r="Z124" s="319"/>
      <c r="AA124" s="452"/>
    </row>
    <row r="125" spans="1:27" s="259" customFormat="1" ht="18">
      <c r="A125" s="289">
        <f>ROW() - ROW(Table626893456791011347[[#Headers],[SL]])</f>
        <v>119</v>
      </c>
      <c r="B125" s="301">
        <v>45977</v>
      </c>
      <c r="C125" s="108" t="s">
        <v>3644</v>
      </c>
      <c r="D125" s="108" t="s">
        <v>3600</v>
      </c>
      <c r="E125" s="303" t="s">
        <v>954</v>
      </c>
      <c r="F125" s="303" t="s">
        <v>2263</v>
      </c>
      <c r="G125" s="303">
        <v>9500963296</v>
      </c>
      <c r="H125" s="250" t="s">
        <v>3645</v>
      </c>
      <c r="I125" s="2411" t="s">
        <v>3646</v>
      </c>
      <c r="J125" s="178" t="s">
        <v>73</v>
      </c>
      <c r="K125" s="178" t="s">
        <v>138</v>
      </c>
      <c r="L125" s="178" t="s">
        <v>3891</v>
      </c>
      <c r="M125" s="317">
        <v>45977</v>
      </c>
      <c r="N125" s="2940">
        <v>94500</v>
      </c>
      <c r="O125" s="300" t="s">
        <v>49</v>
      </c>
      <c r="P125" s="300" t="s">
        <v>49</v>
      </c>
      <c r="Q125" s="841">
        <v>1</v>
      </c>
      <c r="R125" s="323"/>
      <c r="S125" s="301"/>
      <c r="T125" s="300"/>
      <c r="U125" s="300"/>
      <c r="V125" s="1260">
        <f>Table626893456791011347[[#This Row],[Offer Value]]-Table626893456791011347[[#This Row],[PO Value]]</f>
        <v>94500</v>
      </c>
      <c r="W125" s="300"/>
      <c r="X125" s="300"/>
      <c r="Y125" s="611"/>
      <c r="Z125" s="319"/>
      <c r="AA125" s="602"/>
    </row>
    <row r="126" spans="1:27" s="259" customFormat="1" ht="18">
      <c r="A126" s="289">
        <f>ROW() - ROW(Table626893456791011347[[#Headers],[SL]])</f>
        <v>120</v>
      </c>
      <c r="B126" s="301">
        <v>45967</v>
      </c>
      <c r="C126" s="178" t="s">
        <v>3639</v>
      </c>
      <c r="D126" s="304" t="s">
        <v>3612</v>
      </c>
      <c r="E126" s="178" t="s">
        <v>954</v>
      </c>
      <c r="F126" s="178" t="s">
        <v>3640</v>
      </c>
      <c r="G126" s="833">
        <v>7823945177</v>
      </c>
      <c r="H126" s="1948" t="s">
        <v>3641</v>
      </c>
      <c r="I126" s="2042" t="s">
        <v>3642</v>
      </c>
      <c r="J126" s="108" t="s">
        <v>74</v>
      </c>
      <c r="K126" s="178" t="s">
        <v>138</v>
      </c>
      <c r="L126" s="178" t="s">
        <v>3892</v>
      </c>
      <c r="M126" s="317">
        <v>45967</v>
      </c>
      <c r="N126" s="2940">
        <v>43900</v>
      </c>
      <c r="O126" s="300" t="s">
        <v>49</v>
      </c>
      <c r="P126" s="300" t="s">
        <v>49</v>
      </c>
      <c r="Q126" s="841">
        <v>1</v>
      </c>
      <c r="R126" s="323"/>
      <c r="S126" s="301"/>
      <c r="T126" s="300"/>
      <c r="U126" s="300"/>
      <c r="V126" s="1260">
        <f>Table626893456791011347[[#This Row],[Offer Value]]-Table626893456791011347[[#This Row],[PO Value]]</f>
        <v>43900</v>
      </c>
      <c r="W126" s="300"/>
      <c r="X126" s="300"/>
      <c r="Y126" s="611"/>
      <c r="Z126" s="319"/>
      <c r="AA126" s="452"/>
    </row>
    <row r="127" spans="1:27" s="259" customFormat="1" ht="31.2">
      <c r="A127" s="289">
        <f>ROW() - ROW(Table626893456791011347[[#Headers],[SL]])</f>
        <v>121</v>
      </c>
      <c r="B127" s="301">
        <v>45979</v>
      </c>
      <c r="C127" s="115" t="s">
        <v>3746</v>
      </c>
      <c r="D127" s="105" t="s">
        <v>3747</v>
      </c>
      <c r="E127" s="105" t="s">
        <v>3601</v>
      </c>
      <c r="F127" s="105" t="s">
        <v>3748</v>
      </c>
      <c r="G127" s="7">
        <v>8056222137</v>
      </c>
      <c r="H127" s="884" t="s">
        <v>3749</v>
      </c>
      <c r="I127" s="7" t="s">
        <v>3750</v>
      </c>
      <c r="J127" s="108" t="s">
        <v>74</v>
      </c>
      <c r="K127" s="178" t="s">
        <v>138</v>
      </c>
      <c r="L127" s="178" t="s">
        <v>3893</v>
      </c>
      <c r="M127" s="317">
        <v>45979</v>
      </c>
      <c r="N127" s="611">
        <v>295700</v>
      </c>
      <c r="O127" s="300" t="s">
        <v>49</v>
      </c>
      <c r="P127" s="300" t="s">
        <v>49</v>
      </c>
      <c r="Q127" s="841">
        <v>1</v>
      </c>
      <c r="R127" s="323"/>
      <c r="S127" s="301"/>
      <c r="T127" s="300"/>
      <c r="U127" s="300"/>
      <c r="V127" s="1260">
        <f>Table626893456791011347[[#This Row],[Offer Value]]-Table626893456791011347[[#This Row],[PO Value]]</f>
        <v>295700</v>
      </c>
      <c r="W127" s="300"/>
      <c r="X127" s="300"/>
      <c r="Y127" s="612"/>
      <c r="Z127" s="319"/>
      <c r="AA127" s="602"/>
    </row>
    <row r="128" spans="1:27" s="259" customFormat="1" ht="18">
      <c r="A128" s="289">
        <f>ROW() - ROW(Table626893456791011347[[#Headers],[SL]])</f>
        <v>122</v>
      </c>
      <c r="B128" s="301">
        <v>45993</v>
      </c>
      <c r="C128" s="304" t="s">
        <v>3652</v>
      </c>
      <c r="D128" s="105" t="s">
        <v>3612</v>
      </c>
      <c r="E128" s="105" t="s">
        <v>3601</v>
      </c>
      <c r="F128" s="910" t="s">
        <v>3815</v>
      </c>
      <c r="G128" s="829"/>
      <c r="H128" s="884" t="s">
        <v>3654</v>
      </c>
      <c r="I128" s="861" t="s">
        <v>3655</v>
      </c>
      <c r="J128" s="178" t="s">
        <v>75</v>
      </c>
      <c r="K128" s="178" t="s">
        <v>157</v>
      </c>
      <c r="L128" s="178" t="s">
        <v>3894</v>
      </c>
      <c r="M128" s="317">
        <v>45993</v>
      </c>
      <c r="N128" s="611"/>
      <c r="O128" s="300" t="s">
        <v>62</v>
      </c>
      <c r="P128" s="300" t="s">
        <v>62</v>
      </c>
      <c r="Q128" s="841">
        <v>1</v>
      </c>
      <c r="R128" s="323"/>
      <c r="S128" s="301"/>
      <c r="T128" s="300"/>
      <c r="U128" s="300"/>
      <c r="V128" s="1260">
        <f>Table626893456791011347[[#This Row],[Offer Value]]-Table626893456791011347[[#This Row],[PO Value]]</f>
        <v>0</v>
      </c>
      <c r="W128" s="300"/>
      <c r="X128" s="300"/>
      <c r="Y128" s="611"/>
      <c r="Z128" s="319"/>
      <c r="AA128" s="452"/>
    </row>
    <row r="129" spans="1:27" s="259" customFormat="1" ht="18">
      <c r="A129" s="289">
        <f>ROW() - ROW(Table626893456791011347[[#Headers],[SL]])</f>
        <v>123</v>
      </c>
      <c r="B129" s="301"/>
      <c r="C129" s="304"/>
      <c r="D129" s="304"/>
      <c r="E129" s="304"/>
      <c r="F129" s="304"/>
      <c r="G129" s="833"/>
      <c r="H129" s="182"/>
      <c r="I129" s="303"/>
      <c r="J129" s="178"/>
      <c r="K129" s="178"/>
      <c r="L129" s="178"/>
      <c r="M129" s="317"/>
      <c r="N129" s="611"/>
      <c r="O129" s="300"/>
      <c r="P129" s="300"/>
      <c r="Q129" s="841"/>
      <c r="R129" s="323"/>
      <c r="S129" s="301"/>
      <c r="T129" s="300"/>
      <c r="U129" s="300"/>
      <c r="V129" s="1260">
        <f>Table626893456791011347[[#This Row],[Offer Value]]-Table626893456791011347[[#This Row],[PO Value]]</f>
        <v>0</v>
      </c>
      <c r="W129" s="300"/>
      <c r="X129" s="300"/>
      <c r="Y129" s="612"/>
      <c r="Z129" s="319"/>
      <c r="AA129" s="602"/>
    </row>
    <row r="130" spans="1:27" s="259" customFormat="1" ht="18">
      <c r="A130" s="289">
        <f>ROW() - ROW(Table626893456791011347[[#Headers],[SL]])</f>
        <v>124</v>
      </c>
      <c r="B130" s="301"/>
      <c r="C130" s="304"/>
      <c r="D130" s="303"/>
      <c r="E130" s="304"/>
      <c r="F130" s="304"/>
      <c r="G130" s="833"/>
      <c r="H130" s="182"/>
      <c r="I130" s="304"/>
      <c r="J130" s="178"/>
      <c r="K130" s="178"/>
      <c r="L130" s="457"/>
      <c r="M130" s="305"/>
      <c r="N130" s="611"/>
      <c r="O130" s="300"/>
      <c r="P130" s="300"/>
      <c r="Q130" s="841"/>
      <c r="R130" s="323"/>
      <c r="S130" s="301"/>
      <c r="T130" s="300"/>
      <c r="U130" s="300"/>
      <c r="V130" s="1260">
        <f>Table626893456791011347[[#This Row],[Offer Value]]-Table626893456791011347[[#This Row],[PO Value]]</f>
        <v>0</v>
      </c>
      <c r="W130" s="300"/>
      <c r="X130" s="300"/>
      <c r="Y130" s="611"/>
      <c r="Z130" s="319"/>
      <c r="AA130" s="601"/>
    </row>
    <row r="131" spans="1:27" s="259" customFormat="1" ht="18">
      <c r="A131" s="289">
        <f>ROW() - ROW(Table626893456791011347[[#Headers],[SL]])</f>
        <v>125</v>
      </c>
      <c r="B131" s="300"/>
      <c r="C131" s="304"/>
      <c r="D131" s="303"/>
      <c r="E131" s="304"/>
      <c r="F131" s="304"/>
      <c r="G131" s="833"/>
      <c r="H131" s="182"/>
      <c r="I131" s="304"/>
      <c r="J131" s="178"/>
      <c r="K131" s="178"/>
      <c r="L131" s="457"/>
      <c r="M131" s="305"/>
      <c r="N131" s="611"/>
      <c r="O131" s="300"/>
      <c r="P131" s="300"/>
      <c r="Q131" s="841"/>
      <c r="R131" s="323"/>
      <c r="S131" s="301"/>
      <c r="T131" s="300"/>
      <c r="U131" s="300"/>
      <c r="V131" s="1260">
        <f>Table626893456791011347[[#This Row],[Offer Value]]-Table626893456791011347[[#This Row],[PO Value]]</f>
        <v>0</v>
      </c>
      <c r="W131" s="300"/>
      <c r="X131" s="300"/>
      <c r="Y131" s="611"/>
      <c r="Z131" s="319"/>
      <c r="AA131" s="600"/>
    </row>
    <row r="132" spans="1:27" s="259" customFormat="1" ht="18">
      <c r="A132" s="289">
        <f>ROW() - ROW(Table626893456791011347[[#Headers],[SL]])</f>
        <v>126</v>
      </c>
      <c r="B132" s="300"/>
      <c r="C132" s="304"/>
      <c r="D132" s="303"/>
      <c r="E132" s="304"/>
      <c r="F132" s="304"/>
      <c r="G132" s="833"/>
      <c r="H132" s="182"/>
      <c r="I132" s="304"/>
      <c r="J132" s="178"/>
      <c r="K132" s="178"/>
      <c r="L132" s="457"/>
      <c r="M132" s="305"/>
      <c r="N132" s="611"/>
      <c r="O132" s="300"/>
      <c r="P132" s="300"/>
      <c r="Q132" s="841"/>
      <c r="R132" s="323"/>
      <c r="S132" s="301"/>
      <c r="T132" s="300"/>
      <c r="U132" s="300"/>
      <c r="V132" s="1260">
        <f>Table626893456791011347[[#This Row],[Offer Value]]-Table626893456791011347[[#This Row],[PO Value]]</f>
        <v>0</v>
      </c>
      <c r="W132" s="300"/>
      <c r="X132" s="300"/>
      <c r="Y132" s="611"/>
      <c r="Z132" s="319"/>
      <c r="AA132" s="601"/>
    </row>
    <row r="133" spans="1:27" s="259" customFormat="1" ht="18">
      <c r="A133" s="289">
        <f>ROW() - ROW(Table626893456791011347[[#Headers],[SL]])</f>
        <v>127</v>
      </c>
      <c r="B133" s="300"/>
      <c r="C133" s="304"/>
      <c r="D133" s="303"/>
      <c r="E133" s="304"/>
      <c r="F133" s="304"/>
      <c r="G133" s="833"/>
      <c r="H133" s="182"/>
      <c r="I133" s="304"/>
      <c r="J133" s="178"/>
      <c r="K133" s="178"/>
      <c r="L133" s="457"/>
      <c r="M133" s="305"/>
      <c r="N133" s="611"/>
      <c r="O133" s="300"/>
      <c r="P133" s="300"/>
      <c r="Q133" s="841"/>
      <c r="R133" s="323"/>
      <c r="S133" s="301"/>
      <c r="T133" s="300"/>
      <c r="U133" s="300"/>
      <c r="V133" s="1260">
        <f>Table626893456791011347[[#This Row],[Offer Value]]-Table626893456791011347[[#This Row],[PO Value]]</f>
        <v>0</v>
      </c>
      <c r="W133" s="300"/>
      <c r="X133" s="300"/>
      <c r="Y133" s="611"/>
      <c r="Z133" s="319"/>
      <c r="AA133" s="600"/>
    </row>
    <row r="134" spans="1:27" s="259" customFormat="1" ht="18">
      <c r="A134" s="289">
        <f>ROW() - ROW(Table626893456791011347[[#Headers],[SL]])</f>
        <v>128</v>
      </c>
      <c r="B134" s="300"/>
      <c r="C134" s="304"/>
      <c r="D134" s="303"/>
      <c r="E134" s="304"/>
      <c r="F134" s="304"/>
      <c r="G134" s="833"/>
      <c r="H134" s="182"/>
      <c r="I134" s="304"/>
      <c r="J134" s="178"/>
      <c r="K134" s="178"/>
      <c r="L134" s="457"/>
      <c r="M134" s="305"/>
      <c r="N134" s="611"/>
      <c r="O134" s="300"/>
      <c r="P134" s="300"/>
      <c r="Q134" s="841"/>
      <c r="R134" s="323"/>
      <c r="S134" s="301"/>
      <c r="T134" s="300"/>
      <c r="U134" s="300"/>
      <c r="V134" s="1260">
        <f>Table626893456791011347[[#This Row],[Offer Value]]-Table626893456791011347[[#This Row],[PO Value]]</f>
        <v>0</v>
      </c>
      <c r="W134" s="300"/>
      <c r="X134" s="300"/>
      <c r="Y134" s="611"/>
      <c r="Z134" s="319"/>
      <c r="AA134" s="601"/>
    </row>
    <row r="135" spans="1:27" s="259" customFormat="1" ht="18">
      <c r="A135" s="289">
        <f>ROW() - ROW(Table626893456791011347[[#Headers],[SL]])</f>
        <v>129</v>
      </c>
      <c r="B135" s="300"/>
      <c r="C135" s="304"/>
      <c r="D135" s="304"/>
      <c r="E135" s="304"/>
      <c r="F135" s="304"/>
      <c r="G135" s="833"/>
      <c r="H135" s="182"/>
      <c r="I135" s="304"/>
      <c r="J135" s="178"/>
      <c r="K135" s="178"/>
      <c r="L135" s="457"/>
      <c r="M135" s="305"/>
      <c r="N135" s="611"/>
      <c r="O135" s="300"/>
      <c r="P135" s="300"/>
      <c r="Q135" s="841"/>
      <c r="R135" s="323"/>
      <c r="S135" s="301"/>
      <c r="T135" s="300"/>
      <c r="U135" s="300"/>
      <c r="V135" s="1260">
        <f>Table626893456791011347[[#This Row],[Offer Value]]-Table626893456791011347[[#This Row],[PO Value]]</f>
        <v>0</v>
      </c>
      <c r="W135" s="300"/>
      <c r="X135" s="300"/>
      <c r="Y135" s="611"/>
      <c r="Z135" s="319"/>
      <c r="AA135" s="600"/>
    </row>
    <row r="136" spans="1:27" s="259" customFormat="1" ht="18">
      <c r="A136" s="289">
        <f>ROW() - ROW(Table626893456791011347[[#Headers],[SL]])</f>
        <v>130</v>
      </c>
      <c r="B136" s="300"/>
      <c r="C136" s="304"/>
      <c r="D136" s="304"/>
      <c r="E136" s="304"/>
      <c r="F136" s="304"/>
      <c r="G136" s="833"/>
      <c r="H136" s="182"/>
      <c r="I136" s="304"/>
      <c r="J136" s="178"/>
      <c r="K136" s="178"/>
      <c r="L136" s="457"/>
      <c r="M136" s="305"/>
      <c r="N136" s="611"/>
      <c r="O136" s="300"/>
      <c r="P136" s="300"/>
      <c r="Q136" s="841"/>
      <c r="R136" s="323"/>
      <c r="S136" s="301"/>
      <c r="T136" s="300"/>
      <c r="U136" s="300"/>
      <c r="V136" s="1260">
        <f>Table626893456791011347[[#This Row],[Offer Value]]-Table626893456791011347[[#This Row],[PO Value]]</f>
        <v>0</v>
      </c>
      <c r="W136" s="300"/>
      <c r="X136" s="300"/>
      <c r="Y136" s="612"/>
      <c r="Z136" s="319"/>
      <c r="AA136" s="601"/>
    </row>
    <row r="137" spans="1:27" s="259" customFormat="1" ht="18">
      <c r="A137" s="289">
        <f>ROW() - ROW(Table626893456791011347[[#Headers],[SL]])</f>
        <v>131</v>
      </c>
      <c r="B137" s="300"/>
      <c r="C137" s="304"/>
      <c r="D137" s="304"/>
      <c r="E137" s="304"/>
      <c r="F137" s="304"/>
      <c r="G137" s="833"/>
      <c r="H137" s="182"/>
      <c r="I137" s="304"/>
      <c r="J137" s="178"/>
      <c r="K137" s="178"/>
      <c r="L137" s="457"/>
      <c r="M137" s="305"/>
      <c r="N137" s="611"/>
      <c r="O137" s="300"/>
      <c r="P137" s="300"/>
      <c r="Q137" s="841"/>
      <c r="R137" s="323"/>
      <c r="S137" s="301"/>
      <c r="T137" s="300"/>
      <c r="U137" s="300"/>
      <c r="V137" s="1260">
        <f>Table626893456791011347[[#This Row],[Offer Value]]-Table626893456791011347[[#This Row],[PO Value]]</f>
        <v>0</v>
      </c>
      <c r="W137" s="300"/>
      <c r="X137" s="300"/>
      <c r="Y137" s="612"/>
      <c r="Z137" s="319"/>
      <c r="AA137" s="600"/>
    </row>
    <row r="138" spans="1:27" s="259" customFormat="1" ht="18">
      <c r="A138" s="289">
        <f>ROW() - ROW(Table626893456791011347[[#Headers],[SL]])</f>
        <v>132</v>
      </c>
      <c r="B138" s="300"/>
      <c r="C138" s="304"/>
      <c r="D138" s="304"/>
      <c r="E138" s="304"/>
      <c r="F138" s="304"/>
      <c r="G138" s="833"/>
      <c r="H138" s="182"/>
      <c r="I138" s="304"/>
      <c r="J138" s="178"/>
      <c r="K138" s="178"/>
      <c r="L138" s="457"/>
      <c r="M138" s="305"/>
      <c r="N138" s="611"/>
      <c r="O138" s="300"/>
      <c r="P138" s="300"/>
      <c r="Q138" s="841"/>
      <c r="R138" s="323"/>
      <c r="S138" s="301"/>
      <c r="T138" s="300"/>
      <c r="U138" s="300"/>
      <c r="V138" s="1260">
        <f>Table626893456791011347[[#This Row],[Offer Value]]-Table626893456791011347[[#This Row],[PO Value]]</f>
        <v>0</v>
      </c>
      <c r="W138" s="300"/>
      <c r="X138" s="300"/>
      <c r="Y138" s="612"/>
      <c r="Z138" s="319"/>
      <c r="AA138" s="452"/>
    </row>
    <row r="139" spans="1:27" s="259" customFormat="1" ht="18">
      <c r="A139" s="289">
        <f>ROW() - ROW(Table626893456791011347[[#Headers],[SL]])</f>
        <v>133</v>
      </c>
      <c r="B139" s="300"/>
      <c r="C139" s="304"/>
      <c r="D139" s="304"/>
      <c r="E139" s="304"/>
      <c r="F139" s="304"/>
      <c r="G139" s="833"/>
      <c r="H139" s="182"/>
      <c r="I139" s="303"/>
      <c r="J139" s="178"/>
      <c r="K139" s="178"/>
      <c r="L139" s="457"/>
      <c r="M139" s="305"/>
      <c r="N139" s="611"/>
      <c r="O139" s="300"/>
      <c r="P139" s="300"/>
      <c r="Q139" s="841"/>
      <c r="R139" s="323"/>
      <c r="S139" s="301"/>
      <c r="T139" s="300"/>
      <c r="U139" s="300"/>
      <c r="V139" s="1260">
        <f>Table626893456791011347[[#This Row],[Offer Value]]-Table626893456791011347[[#This Row],[PO Value]]</f>
        <v>0</v>
      </c>
      <c r="W139" s="300"/>
      <c r="X139" s="300"/>
      <c r="Y139" s="612"/>
      <c r="Z139" s="319"/>
      <c r="AA139" s="602"/>
    </row>
    <row r="140" spans="1:27" s="259" customFormat="1" ht="18">
      <c r="A140" s="289">
        <f>ROW() - ROW(Table626893456791011347[[#Headers],[SL]])</f>
        <v>134</v>
      </c>
      <c r="B140" s="300"/>
      <c r="C140" s="304"/>
      <c r="D140" s="304"/>
      <c r="E140" s="304"/>
      <c r="F140" s="304"/>
      <c r="G140" s="833"/>
      <c r="H140" s="182"/>
      <c r="I140" s="304"/>
      <c r="J140" s="178"/>
      <c r="K140" s="178"/>
      <c r="L140" s="457"/>
      <c r="M140" s="305"/>
      <c r="N140" s="611"/>
      <c r="O140" s="300"/>
      <c r="P140" s="300"/>
      <c r="Q140" s="841"/>
      <c r="R140" s="323"/>
      <c r="S140" s="301"/>
      <c r="T140" s="300"/>
      <c r="U140" s="300"/>
      <c r="V140" s="1260">
        <f>Table626893456791011347[[#This Row],[Offer Value]]-Table626893456791011347[[#This Row],[PO Value]]</f>
        <v>0</v>
      </c>
      <c r="W140" s="300"/>
      <c r="X140" s="300"/>
      <c r="Y140" s="612"/>
      <c r="Z140" s="319"/>
      <c r="AA140" s="601"/>
    </row>
    <row r="141" spans="1:27" s="259" customFormat="1" ht="18">
      <c r="A141" s="289">
        <f>ROW() - ROW(Table626893456791011347[[#Headers],[SL]])</f>
        <v>135</v>
      </c>
      <c r="B141" s="300"/>
      <c r="C141" s="304"/>
      <c r="D141" s="304"/>
      <c r="E141" s="304"/>
      <c r="F141" s="304"/>
      <c r="G141" s="833"/>
      <c r="H141" s="182"/>
      <c r="I141" s="304"/>
      <c r="J141" s="178"/>
      <c r="K141" s="178"/>
      <c r="L141" s="457"/>
      <c r="M141" s="305"/>
      <c r="N141" s="611"/>
      <c r="O141" s="300"/>
      <c r="P141" s="300"/>
      <c r="Q141" s="841"/>
      <c r="R141" s="323"/>
      <c r="S141" s="301"/>
      <c r="T141" s="300"/>
      <c r="U141" s="300"/>
      <c r="V141" s="1260">
        <f>Table626893456791011347[[#This Row],[Offer Value]]-Table626893456791011347[[#This Row],[PO Value]]</f>
        <v>0</v>
      </c>
      <c r="W141" s="300"/>
      <c r="X141" s="300"/>
      <c r="Y141" s="612"/>
      <c r="Z141" s="319"/>
      <c r="AA141" s="600"/>
    </row>
    <row r="142" spans="1:27" s="259" customFormat="1" ht="18">
      <c r="A142" s="289">
        <f>ROW() - ROW(Table626893456791011347[[#Headers],[SL]])</f>
        <v>136</v>
      </c>
      <c r="B142" s="300"/>
      <c r="C142" s="304"/>
      <c r="D142" s="304"/>
      <c r="E142" s="304"/>
      <c r="F142" s="304"/>
      <c r="G142" s="833"/>
      <c r="H142" s="182"/>
      <c r="I142" s="304"/>
      <c r="J142" s="178"/>
      <c r="K142" s="178"/>
      <c r="L142" s="457"/>
      <c r="M142" s="305"/>
      <c r="N142" s="611"/>
      <c r="O142" s="300"/>
      <c r="P142" s="300"/>
      <c r="Q142" s="841"/>
      <c r="R142" s="323"/>
      <c r="S142" s="301"/>
      <c r="T142" s="300"/>
      <c r="U142" s="300"/>
      <c r="V142" s="1260">
        <f>Table626893456791011347[[#This Row],[Offer Value]]-Table626893456791011347[[#This Row],[PO Value]]</f>
        <v>0</v>
      </c>
      <c r="W142" s="300"/>
      <c r="X142" s="300"/>
      <c r="Y142" s="612"/>
      <c r="Z142" s="319"/>
      <c r="AA142" s="601"/>
    </row>
    <row r="143" spans="1:27" s="259" customFormat="1" ht="18">
      <c r="A143" s="289">
        <f>ROW() - ROW(Table626893456791011347[[#Headers],[SL]])</f>
        <v>137</v>
      </c>
      <c r="B143" s="300"/>
      <c r="C143" s="304"/>
      <c r="D143" s="304"/>
      <c r="E143" s="304"/>
      <c r="F143" s="304"/>
      <c r="G143" s="833"/>
      <c r="H143" s="182"/>
      <c r="I143" s="304"/>
      <c r="J143" s="178"/>
      <c r="K143" s="178"/>
      <c r="L143" s="457"/>
      <c r="M143" s="305"/>
      <c r="N143" s="611"/>
      <c r="O143" s="300"/>
      <c r="P143" s="300"/>
      <c r="Q143" s="841"/>
      <c r="R143" s="323"/>
      <c r="S143" s="301"/>
      <c r="T143" s="300"/>
      <c r="U143" s="300"/>
      <c r="V143" s="1260">
        <f>Table626893456791011347[[#This Row],[Offer Value]]-Table626893456791011347[[#This Row],[PO Value]]</f>
        <v>0</v>
      </c>
      <c r="W143" s="300"/>
      <c r="X143" s="300"/>
      <c r="Y143" s="612"/>
      <c r="Z143" s="319"/>
      <c r="AA143" s="600"/>
    </row>
    <row r="144" spans="1:27" s="259" customFormat="1" ht="18">
      <c r="A144" s="289">
        <f>ROW() - ROW(Table626893456791011347[[#Headers],[SL]])</f>
        <v>138</v>
      </c>
      <c r="B144" s="300"/>
      <c r="C144" s="304"/>
      <c r="D144" s="304"/>
      <c r="E144" s="304"/>
      <c r="F144" s="304"/>
      <c r="G144" s="833"/>
      <c r="H144" s="182"/>
      <c r="I144" s="304"/>
      <c r="J144" s="178"/>
      <c r="K144" s="178"/>
      <c r="L144" s="457"/>
      <c r="M144" s="305"/>
      <c r="N144" s="611"/>
      <c r="O144" s="300"/>
      <c r="P144" s="300"/>
      <c r="Q144" s="841"/>
      <c r="R144" s="323"/>
      <c r="S144" s="301"/>
      <c r="T144" s="300"/>
      <c r="U144" s="300"/>
      <c r="V144" s="1260">
        <f>Table626893456791011347[[#This Row],[Offer Value]]-Table626893456791011347[[#This Row],[PO Value]]</f>
        <v>0</v>
      </c>
      <c r="W144" s="300"/>
      <c r="X144" s="300"/>
      <c r="Y144" s="612"/>
      <c r="Z144" s="318"/>
      <c r="AA144" s="601"/>
    </row>
    <row r="145" spans="1:27" s="259" customFormat="1" ht="18">
      <c r="A145" s="289">
        <f>ROW() - ROW(Table626893456791011347[[#Headers],[SL]])</f>
        <v>139</v>
      </c>
      <c r="B145" s="300"/>
      <c r="C145" s="304"/>
      <c r="D145" s="304"/>
      <c r="E145" s="304"/>
      <c r="F145" s="304"/>
      <c r="G145" s="833"/>
      <c r="H145" s="182"/>
      <c r="I145" s="304"/>
      <c r="J145" s="178"/>
      <c r="K145" s="178"/>
      <c r="L145" s="457"/>
      <c r="M145" s="305"/>
      <c r="N145" s="611"/>
      <c r="O145" s="300"/>
      <c r="P145" s="300"/>
      <c r="Q145" s="841"/>
      <c r="R145" s="323"/>
      <c r="S145" s="301"/>
      <c r="T145" s="300"/>
      <c r="U145" s="300"/>
      <c r="V145" s="1260">
        <f>Table626893456791011347[[#This Row],[Offer Value]]-Table626893456791011347[[#This Row],[PO Value]]</f>
        <v>0</v>
      </c>
      <c r="W145" s="300"/>
      <c r="X145" s="300"/>
      <c r="Y145" s="612"/>
      <c r="Z145" s="318"/>
      <c r="AA145" s="600"/>
    </row>
    <row r="146" spans="1:27" s="259" customFormat="1" ht="18">
      <c r="A146" s="289">
        <f>ROW() - ROW(Table626893456791011347[[#Headers],[SL]])</f>
        <v>140</v>
      </c>
      <c r="B146" s="300"/>
      <c r="C146" s="304"/>
      <c r="D146" s="304"/>
      <c r="E146" s="304"/>
      <c r="F146" s="304"/>
      <c r="G146" s="833"/>
      <c r="H146" s="182"/>
      <c r="I146" s="304"/>
      <c r="J146" s="178"/>
      <c r="K146" s="178"/>
      <c r="L146" s="178"/>
      <c r="M146" s="305"/>
      <c r="N146" s="611"/>
      <c r="O146" s="300"/>
      <c r="P146" s="300"/>
      <c r="Q146" s="841"/>
      <c r="R146" s="323"/>
      <c r="S146" s="301"/>
      <c r="T146" s="300"/>
      <c r="U146" s="300"/>
      <c r="V146" s="1260">
        <f>Table626893456791011347[[#This Row],[Offer Value]]-Table626893456791011347[[#This Row],[PO Value]]</f>
        <v>0</v>
      </c>
      <c r="W146" s="300"/>
      <c r="X146" s="300"/>
      <c r="Y146" s="613"/>
      <c r="Z146" s="318"/>
      <c r="AA146" s="601"/>
    </row>
    <row r="147" spans="1:27" s="259" customFormat="1" ht="18">
      <c r="A147" s="289">
        <f>ROW() - ROW(Table626893456791011347[[#Headers],[SL]])</f>
        <v>141</v>
      </c>
      <c r="B147" s="300"/>
      <c r="C147" s="304"/>
      <c r="D147" s="304"/>
      <c r="E147" s="304"/>
      <c r="F147" s="304"/>
      <c r="G147" s="833"/>
      <c r="H147" s="182"/>
      <c r="I147" s="304"/>
      <c r="J147" s="178"/>
      <c r="K147" s="178"/>
      <c r="L147" s="457"/>
      <c r="M147" s="305"/>
      <c r="N147" s="611"/>
      <c r="O147" s="300"/>
      <c r="P147" s="300"/>
      <c r="Q147" s="841"/>
      <c r="R147" s="323"/>
      <c r="S147" s="301"/>
      <c r="T147" s="300"/>
      <c r="U147" s="300"/>
      <c r="V147" s="1260">
        <f>Table626893456791011347[[#This Row],[Offer Value]]-Table626893456791011347[[#This Row],[PO Value]]</f>
        <v>0</v>
      </c>
      <c r="W147" s="300"/>
      <c r="X147" s="300"/>
      <c r="Y147" s="614"/>
      <c r="Z147" s="318"/>
      <c r="AA147" s="600"/>
    </row>
    <row r="148" spans="1:27" s="259" customFormat="1" ht="18">
      <c r="A148" s="289">
        <f>ROW() - ROW(Table626893456791011347[[#Headers],[SL]])</f>
        <v>142</v>
      </c>
      <c r="B148" s="300"/>
      <c r="C148" s="304"/>
      <c r="D148" s="304"/>
      <c r="E148" s="304"/>
      <c r="F148" s="304"/>
      <c r="G148" s="833"/>
      <c r="H148" s="182"/>
      <c r="I148" s="304"/>
      <c r="J148" s="178"/>
      <c r="K148" s="178"/>
      <c r="L148" s="457"/>
      <c r="M148" s="305"/>
      <c r="N148" s="611"/>
      <c r="O148" s="300"/>
      <c r="P148" s="300"/>
      <c r="Q148" s="841"/>
      <c r="R148" s="323"/>
      <c r="S148" s="301"/>
      <c r="T148" s="300"/>
      <c r="U148" s="300"/>
      <c r="V148" s="1260">
        <f>Table626893456791011347[[#This Row],[Offer Value]]-Table626893456791011347[[#This Row],[PO Value]]</f>
        <v>0</v>
      </c>
      <c r="W148" s="300"/>
      <c r="X148" s="300"/>
      <c r="Y148" s="614"/>
      <c r="Z148" s="318"/>
      <c r="AA148" s="601"/>
    </row>
    <row r="149" spans="1:27" s="259" customFormat="1" ht="18">
      <c r="A149" s="289">
        <f>ROW() - ROW(Table626893456791011347[[#Headers],[SL]])</f>
        <v>143</v>
      </c>
      <c r="B149" s="300"/>
      <c r="C149" s="304"/>
      <c r="D149" s="304"/>
      <c r="E149" s="304"/>
      <c r="F149" s="304"/>
      <c r="G149" s="833"/>
      <c r="H149" s="182"/>
      <c r="I149" s="304"/>
      <c r="J149" s="178"/>
      <c r="K149" s="178"/>
      <c r="L149" s="178"/>
      <c r="M149" s="305"/>
      <c r="N149" s="611"/>
      <c r="O149" s="300"/>
      <c r="P149" s="300"/>
      <c r="Q149" s="841"/>
      <c r="R149" s="323"/>
      <c r="S149" s="301"/>
      <c r="T149" s="300"/>
      <c r="U149" s="300"/>
      <c r="V149" s="1260">
        <f>Table626893456791011347[[#This Row],[Offer Value]]-Table626893456791011347[[#This Row],[PO Value]]</f>
        <v>0</v>
      </c>
      <c r="W149" s="300"/>
      <c r="X149" s="300"/>
      <c r="Y149" s="614"/>
      <c r="Z149" s="318"/>
      <c r="AA149" s="600"/>
    </row>
    <row r="150" spans="1:27" s="259" customFormat="1" ht="18">
      <c r="A150" s="289">
        <f>ROW() - ROW(Table626893456791011347[[#Headers],[SL]])</f>
        <v>144</v>
      </c>
      <c r="B150" s="300"/>
      <c r="C150" s="113"/>
      <c r="D150" s="113"/>
      <c r="E150" s="113"/>
      <c r="F150" s="113"/>
      <c r="G150" s="830"/>
      <c r="H150" s="248"/>
      <c r="I150" s="890"/>
      <c r="J150" s="108"/>
      <c r="K150" s="108"/>
      <c r="L150" s="113"/>
      <c r="M150" s="305"/>
      <c r="N150" s="217"/>
      <c r="O150" s="106"/>
      <c r="P150" s="106"/>
      <c r="Q150" s="840"/>
      <c r="R150" s="106"/>
      <c r="S150" s="852"/>
      <c r="T150" s="106"/>
      <c r="U150" s="106"/>
      <c r="V150" s="1260">
        <f>Table626893456791011347[[#This Row],[Offer Value]]-Table626893456791011347[[#This Row],[PO Value]]</f>
        <v>0</v>
      </c>
      <c r="W150" s="106"/>
      <c r="X150" s="106"/>
      <c r="Y150" s="615"/>
      <c r="Z150" s="7"/>
      <c r="AA150" s="603"/>
    </row>
    <row r="151" spans="1:27" s="259" customFormat="1" ht="18">
      <c r="A151" s="289">
        <f>ROW() - ROW(Table626893456791011347[[#Headers],[SL]])</f>
        <v>145</v>
      </c>
      <c r="B151" s="851"/>
      <c r="C151" s="113"/>
      <c r="D151" s="113"/>
      <c r="E151" s="113"/>
      <c r="F151" s="113"/>
      <c r="G151" s="830"/>
      <c r="H151" s="248"/>
      <c r="I151" s="890"/>
      <c r="J151" s="108"/>
      <c r="K151" s="108"/>
      <c r="L151" s="113"/>
      <c r="M151" s="850"/>
      <c r="N151" s="217"/>
      <c r="O151" s="106"/>
      <c r="P151" s="106"/>
      <c r="Q151" s="840"/>
      <c r="R151" s="106"/>
      <c r="S151" s="852"/>
      <c r="T151" s="106"/>
      <c r="U151" s="106"/>
      <c r="V151" s="1260">
        <f>Table626893456791011347[[#This Row],[Offer Value]]-Table626893456791011347[[#This Row],[PO Value]]</f>
        <v>0</v>
      </c>
      <c r="W151" s="106"/>
      <c r="X151" s="106"/>
      <c r="Y151" s="616"/>
      <c r="Z151" s="7"/>
      <c r="AA151" s="603"/>
    </row>
    <row r="152" spans="1:27" s="259" customFormat="1" ht="18">
      <c r="A152" s="289">
        <f>ROW() - ROW(Table626893456791011347[[#Headers],[SL]])</f>
        <v>146</v>
      </c>
      <c r="B152" s="851"/>
      <c r="C152" s="113"/>
      <c r="D152" s="113"/>
      <c r="E152" s="113"/>
      <c r="F152" s="113"/>
      <c r="G152" s="830"/>
      <c r="H152" s="248"/>
      <c r="I152" s="890"/>
      <c r="J152" s="108"/>
      <c r="K152" s="108"/>
      <c r="L152" s="113"/>
      <c r="M152" s="850"/>
      <c r="N152" s="217"/>
      <c r="O152" s="106"/>
      <c r="P152" s="106"/>
      <c r="Q152" s="840"/>
      <c r="R152" s="106"/>
      <c r="S152" s="852"/>
      <c r="T152" s="106"/>
      <c r="U152" s="106"/>
      <c r="V152" s="1260">
        <f>Table626893456791011347[[#This Row],[Offer Value]]-Table626893456791011347[[#This Row],[PO Value]]</f>
        <v>0</v>
      </c>
      <c r="W152" s="106"/>
      <c r="X152" s="106"/>
      <c r="Y152" s="615"/>
      <c r="Z152" s="7"/>
      <c r="AA152" s="603"/>
    </row>
    <row r="153" spans="1:27" s="259" customFormat="1" ht="18">
      <c r="A153" s="289">
        <f>ROW() - ROW(Table626893456791011347[[#Headers],[SL]])</f>
        <v>147</v>
      </c>
      <c r="B153" s="851"/>
      <c r="C153" s="105"/>
      <c r="D153" s="105"/>
      <c r="E153" s="105"/>
      <c r="F153" s="105"/>
      <c r="G153" s="830"/>
      <c r="H153" s="250"/>
      <c r="I153" s="849"/>
      <c r="J153" s="115"/>
      <c r="K153" s="115"/>
      <c r="L153" s="113"/>
      <c r="M153" s="850"/>
      <c r="N153" s="217"/>
      <c r="O153" s="106"/>
      <c r="P153" s="106"/>
      <c r="Q153" s="840"/>
      <c r="R153" s="106"/>
      <c r="S153" s="852"/>
      <c r="T153" s="106"/>
      <c r="U153" s="106"/>
      <c r="V153" s="1260">
        <f>Table626893456791011347[[#This Row],[Offer Value]]-Table626893456791011347[[#This Row],[PO Value]]</f>
        <v>0</v>
      </c>
      <c r="W153" s="106"/>
      <c r="X153" s="106"/>
      <c r="Y153" s="217"/>
      <c r="Z153" s="257"/>
      <c r="AA153" s="603"/>
    </row>
    <row r="154" spans="1:27" s="259" customFormat="1" ht="18">
      <c r="A154" s="289">
        <f>ROW() - ROW(Table626893456791011347[[#Headers],[SL]])</f>
        <v>148</v>
      </c>
      <c r="B154" s="851"/>
      <c r="C154" s="105"/>
      <c r="D154" s="105"/>
      <c r="E154" s="105"/>
      <c r="F154" s="113"/>
      <c r="G154" s="830"/>
      <c r="H154" s="248"/>
      <c r="I154" s="890"/>
      <c r="J154" s="115"/>
      <c r="K154" s="115"/>
      <c r="L154" s="113"/>
      <c r="M154" s="850"/>
      <c r="N154" s="217"/>
      <c r="O154" s="106"/>
      <c r="P154" s="106"/>
      <c r="Q154" s="840"/>
      <c r="R154" s="106"/>
      <c r="S154" s="852"/>
      <c r="T154" s="106"/>
      <c r="U154" s="106"/>
      <c r="V154" s="1260">
        <f>Table626893456791011347[[#This Row],[Offer Value]]-Table626893456791011347[[#This Row],[PO Value]]</f>
        <v>0</v>
      </c>
      <c r="W154" s="106"/>
      <c r="X154" s="106"/>
      <c r="Y154" s="617"/>
      <c r="Z154" s="257"/>
      <c r="AA154" s="603"/>
    </row>
    <row r="155" spans="1:27" s="259" customFormat="1" ht="18">
      <c r="A155" s="289">
        <f>ROW() - ROW(Table626893456791011347[[#Headers],[SL]])</f>
        <v>149</v>
      </c>
      <c r="B155" s="852"/>
      <c r="C155" s="105"/>
      <c r="D155" s="105"/>
      <c r="E155" s="105"/>
      <c r="F155" s="105"/>
      <c r="G155" s="830"/>
      <c r="H155" s="250"/>
      <c r="I155" s="849"/>
      <c r="J155" s="115"/>
      <c r="K155" s="115"/>
      <c r="L155" s="113"/>
      <c r="M155" s="848"/>
      <c r="N155" s="217"/>
      <c r="O155" s="106"/>
      <c r="P155" s="106"/>
      <c r="Q155" s="840"/>
      <c r="R155" s="106"/>
      <c r="S155" s="852"/>
      <c r="T155" s="106"/>
      <c r="U155" s="106"/>
      <c r="V155" s="1260">
        <f>Table626893456791011347[[#This Row],[Offer Value]]-Table626893456791011347[[#This Row],[PO Value]]</f>
        <v>0</v>
      </c>
      <c r="W155" s="106"/>
      <c r="X155" s="106"/>
      <c r="Y155" s="617"/>
      <c r="Z155" s="257"/>
      <c r="AA155" s="603"/>
    </row>
    <row r="156" spans="1:27" s="259" customFormat="1" ht="18">
      <c r="A156" s="289">
        <f>ROW() - ROW(Table626893456791011347[[#Headers],[SL]])</f>
        <v>150</v>
      </c>
      <c r="B156" s="851"/>
      <c r="C156" s="105"/>
      <c r="D156" s="105"/>
      <c r="E156" s="105"/>
      <c r="F156" s="105"/>
      <c r="G156" s="830"/>
      <c r="H156" s="250"/>
      <c r="I156" s="849"/>
      <c r="J156" s="115"/>
      <c r="K156" s="115"/>
      <c r="L156" s="113"/>
      <c r="M156" s="848"/>
      <c r="N156" s="217"/>
      <c r="O156" s="106"/>
      <c r="P156" s="106"/>
      <c r="Q156" s="840"/>
      <c r="R156" s="106"/>
      <c r="S156" s="852"/>
      <c r="T156" s="106"/>
      <c r="U156" s="106"/>
      <c r="V156" s="1260">
        <f>Table626893456791011347[[#This Row],[Offer Value]]-Table626893456791011347[[#This Row],[PO Value]]</f>
        <v>0</v>
      </c>
      <c r="W156" s="106"/>
      <c r="X156" s="106"/>
      <c r="Y156" s="617"/>
      <c r="Z156" s="257"/>
      <c r="AA156" s="603"/>
    </row>
    <row r="157" spans="1:27" s="259" customFormat="1" ht="18">
      <c r="A157" s="289">
        <f>ROW() - ROW(Table626893456791011347[[#Headers],[SL]])</f>
        <v>151</v>
      </c>
      <c r="B157" s="851"/>
      <c r="C157" s="105"/>
      <c r="D157" s="105"/>
      <c r="E157" s="105"/>
      <c r="F157" s="105"/>
      <c r="G157" s="830"/>
      <c r="H157" s="250"/>
      <c r="I157" s="890"/>
      <c r="J157" s="115"/>
      <c r="K157" s="115"/>
      <c r="L157" s="113"/>
      <c r="M157" s="848"/>
      <c r="N157" s="217"/>
      <c r="O157" s="106"/>
      <c r="P157" s="106"/>
      <c r="Q157" s="840"/>
      <c r="R157" s="106"/>
      <c r="S157" s="852"/>
      <c r="T157" s="106"/>
      <c r="U157" s="106"/>
      <c r="V157" s="1260">
        <f>Table626893456791011347[[#This Row],[Offer Value]]-Table626893456791011347[[#This Row],[PO Value]]</f>
        <v>0</v>
      </c>
      <c r="W157" s="106"/>
      <c r="X157" s="106"/>
      <c r="Y157" s="217"/>
      <c r="Z157" s="257"/>
      <c r="AA157" s="603"/>
    </row>
    <row r="158" spans="1:27" s="259" customFormat="1" ht="18">
      <c r="A158" s="289">
        <f>ROW() - ROW(Table626893456791011347[[#Headers],[SL]])</f>
        <v>152</v>
      </c>
      <c r="B158" s="852"/>
      <c r="C158" s="105"/>
      <c r="D158" s="105"/>
      <c r="E158" s="108"/>
      <c r="F158" s="108"/>
      <c r="G158" s="828"/>
      <c r="H158" s="251"/>
      <c r="I158" s="1916"/>
      <c r="J158" s="115"/>
      <c r="K158" s="115"/>
      <c r="L158" s="113"/>
      <c r="M158" s="848"/>
      <c r="N158" s="217"/>
      <c r="O158" s="106"/>
      <c r="P158" s="106"/>
      <c r="Q158" s="840"/>
      <c r="R158" s="107"/>
      <c r="S158" s="852"/>
      <c r="T158" s="106"/>
      <c r="U158" s="106"/>
      <c r="V158" s="1260">
        <f>Table626893456791011347[[#This Row],[Offer Value]]-Table626893456791011347[[#This Row],[PO Value]]</f>
        <v>0</v>
      </c>
      <c r="W158" s="106"/>
      <c r="X158" s="106"/>
      <c r="Y158" s="617"/>
      <c r="Z158" s="7"/>
      <c r="AA158" s="603"/>
    </row>
    <row r="159" spans="1:27" s="259" customFormat="1" ht="18">
      <c r="A159" s="289">
        <f>ROW() - ROW(Table626893456791011347[[#Headers],[SL]])</f>
        <v>153</v>
      </c>
      <c r="B159" s="852"/>
      <c r="C159" s="105"/>
      <c r="D159" s="105"/>
      <c r="E159" s="105"/>
      <c r="F159" s="105"/>
      <c r="G159" s="829"/>
      <c r="H159" s="248"/>
      <c r="I159" s="849"/>
      <c r="J159" s="115"/>
      <c r="K159" s="115"/>
      <c r="L159" s="113"/>
      <c r="M159" s="848"/>
      <c r="N159" s="217"/>
      <c r="O159" s="106"/>
      <c r="P159" s="106"/>
      <c r="Q159" s="840"/>
      <c r="R159" s="106"/>
      <c r="S159" s="852"/>
      <c r="T159" s="106"/>
      <c r="U159" s="106"/>
      <c r="V159" s="1260">
        <f>Table626893456791011347[[#This Row],[Offer Value]]-Table626893456791011347[[#This Row],[PO Value]]</f>
        <v>0</v>
      </c>
      <c r="W159" s="106"/>
      <c r="X159" s="106"/>
      <c r="Y159" s="617"/>
      <c r="Z159" s="257"/>
      <c r="AA159" s="603"/>
    </row>
    <row r="160" spans="1:27" s="259" customFormat="1" ht="18">
      <c r="A160" s="33">
        <f>ROW() - ROW(Table626893456791011347[[#Headers],[SL]])</f>
        <v>154</v>
      </c>
      <c r="B160" s="2514"/>
      <c r="C160" s="105"/>
      <c r="D160" s="105"/>
      <c r="E160" s="105"/>
      <c r="F160" s="105"/>
      <c r="G160" s="829"/>
      <c r="H160" s="248"/>
      <c r="I160" s="849"/>
      <c r="J160" s="115"/>
      <c r="K160" s="115"/>
      <c r="L160" s="113"/>
      <c r="M160" s="848"/>
      <c r="N160" s="217"/>
      <c r="O160" s="106"/>
      <c r="P160" s="106"/>
      <c r="Q160" s="840"/>
      <c r="R160" s="106"/>
      <c r="S160" s="852"/>
      <c r="T160" s="106"/>
      <c r="U160" s="174"/>
      <c r="V160" s="1260">
        <f>Table626893456791011347[[#This Row],[Offer Value]]-Table626893456791011347[[#This Row],[PO Value]]</f>
        <v>0</v>
      </c>
      <c r="W160" s="177"/>
      <c r="X160" s="177"/>
      <c r="Y160" s="618"/>
      <c r="Z160" s="257"/>
      <c r="AA160" s="603"/>
    </row>
    <row r="161" spans="1:27" s="259" customFormat="1" ht="18">
      <c r="A161" s="33">
        <f>ROW() - ROW(Table626893456791011347[[#Headers],[SL]])</f>
        <v>155</v>
      </c>
      <c r="B161" s="2514"/>
      <c r="C161" s="105"/>
      <c r="D161" s="105"/>
      <c r="E161" s="105"/>
      <c r="F161" s="105"/>
      <c r="G161" s="829"/>
      <c r="H161" s="248"/>
      <c r="I161" s="849"/>
      <c r="J161" s="115"/>
      <c r="K161" s="115"/>
      <c r="L161" s="113"/>
      <c r="M161" s="848"/>
      <c r="N161" s="217"/>
      <c r="O161" s="106"/>
      <c r="P161" s="106"/>
      <c r="Q161" s="840"/>
      <c r="R161" s="106"/>
      <c r="S161" s="852"/>
      <c r="T161" s="106"/>
      <c r="U161" s="174"/>
      <c r="V161" s="1260">
        <f>Table626893456791011347[[#This Row],[Offer Value]]-Table626893456791011347[[#This Row],[PO Value]]</f>
        <v>0</v>
      </c>
      <c r="W161" s="177"/>
      <c r="X161" s="177"/>
      <c r="Y161" s="618"/>
      <c r="Z161" s="257"/>
      <c r="AA161" s="603"/>
    </row>
    <row r="162" spans="1:27" s="259" customFormat="1" ht="18">
      <c r="A162" s="289">
        <f>ROW() - ROW(Table626893456791011347[[#Headers],[SL]])</f>
        <v>156</v>
      </c>
      <c r="B162" s="852"/>
      <c r="C162" s="105"/>
      <c r="D162" s="105"/>
      <c r="E162" s="108"/>
      <c r="F162" s="108"/>
      <c r="G162" s="829"/>
      <c r="H162" s="250"/>
      <c r="I162" s="1916"/>
      <c r="J162" s="115"/>
      <c r="K162" s="115"/>
      <c r="L162" s="113"/>
      <c r="M162" s="848"/>
      <c r="N162" s="217"/>
      <c r="O162" s="106"/>
      <c r="P162" s="106"/>
      <c r="Q162" s="840"/>
      <c r="R162" s="106"/>
      <c r="S162" s="852"/>
      <c r="T162" s="106"/>
      <c r="U162" s="106"/>
      <c r="V162" s="1260">
        <f>Table626893456791011347[[#This Row],[Offer Value]]-Table626893456791011347[[#This Row],[PO Value]]</f>
        <v>0</v>
      </c>
      <c r="W162" s="106"/>
      <c r="X162" s="106"/>
      <c r="Y162" s="617"/>
      <c r="Z162" s="257"/>
      <c r="AA162" s="603"/>
    </row>
    <row r="163" spans="1:27" s="259" customFormat="1" ht="18">
      <c r="A163" s="289">
        <f>ROW() - ROW(Table626893456791011347[[#Headers],[SL]])</f>
        <v>157</v>
      </c>
      <c r="B163" s="851"/>
      <c r="C163" s="105"/>
      <c r="D163" s="105"/>
      <c r="E163" s="108"/>
      <c r="F163" s="108"/>
      <c r="G163" s="829"/>
      <c r="H163" s="250"/>
      <c r="I163" s="1916"/>
      <c r="J163" s="115"/>
      <c r="K163" s="115"/>
      <c r="L163" s="113"/>
      <c r="M163" s="852"/>
      <c r="N163" s="217"/>
      <c r="O163" s="106"/>
      <c r="P163" s="106"/>
      <c r="Q163" s="840"/>
      <c r="R163" s="106"/>
      <c r="S163" s="848"/>
      <c r="T163" s="106"/>
      <c r="U163" s="106"/>
      <c r="V163" s="1260">
        <f>Table626893456791011347[[#This Row],[Offer Value]]-Table626893456791011347[[#This Row],[PO Value]]</f>
        <v>0</v>
      </c>
      <c r="W163" s="106"/>
      <c r="X163" s="106"/>
      <c r="Y163" s="217"/>
      <c r="Z163" s="257"/>
      <c r="AA163" s="603"/>
    </row>
    <row r="164" spans="1:27" s="259" customFormat="1" ht="18">
      <c r="A164" s="289">
        <f>ROW() - ROW(Table626893456791011347[[#Headers],[SL]])</f>
        <v>158</v>
      </c>
      <c r="B164" s="851"/>
      <c r="C164" s="105"/>
      <c r="D164" s="105"/>
      <c r="E164" s="105"/>
      <c r="F164" s="105"/>
      <c r="G164" s="829"/>
      <c r="H164" s="248"/>
      <c r="I164" s="849"/>
      <c r="J164" s="115"/>
      <c r="K164" s="115"/>
      <c r="L164" s="113"/>
      <c r="M164" s="852"/>
      <c r="N164" s="217"/>
      <c r="O164" s="106"/>
      <c r="P164" s="106"/>
      <c r="Q164" s="840"/>
      <c r="R164" s="106"/>
      <c r="S164" s="852"/>
      <c r="T164" s="106"/>
      <c r="U164" s="106"/>
      <c r="V164" s="1260">
        <f>Table626893456791011347[[#This Row],[Offer Value]]-Table626893456791011347[[#This Row],[PO Value]]</f>
        <v>0</v>
      </c>
      <c r="W164" s="106"/>
      <c r="X164" s="106"/>
      <c r="Y164" s="217"/>
      <c r="Z164" s="257"/>
      <c r="AA164" s="603"/>
    </row>
    <row r="165" spans="1:27" s="259" customFormat="1" ht="18">
      <c r="A165" s="289">
        <f>ROW() - ROW(Table626893456791011347[[#Headers],[SL]])</f>
        <v>159</v>
      </c>
      <c r="B165" s="851"/>
      <c r="C165" s="105"/>
      <c r="D165" s="105"/>
      <c r="E165" s="105"/>
      <c r="F165" s="105"/>
      <c r="G165" s="829"/>
      <c r="H165" s="248"/>
      <c r="I165" s="849"/>
      <c r="J165" s="115"/>
      <c r="K165" s="115"/>
      <c r="L165" s="113"/>
      <c r="M165" s="852"/>
      <c r="N165" s="217"/>
      <c r="O165" s="106"/>
      <c r="P165" s="106"/>
      <c r="Q165" s="840"/>
      <c r="R165" s="107"/>
      <c r="S165" s="852"/>
      <c r="T165" s="106"/>
      <c r="U165" s="106"/>
      <c r="V165" s="1260">
        <f>Table626893456791011347[[#This Row],[Offer Value]]-Table626893456791011347[[#This Row],[PO Value]]</f>
        <v>0</v>
      </c>
      <c r="W165" s="106"/>
      <c r="X165" s="106"/>
      <c r="Y165" s="617"/>
      <c r="Z165" s="257"/>
      <c r="AA165" s="603"/>
    </row>
    <row r="166" spans="1:27" s="259" customFormat="1" ht="18">
      <c r="A166" s="289">
        <f>ROW() - ROW(Table626893456791011347[[#Headers],[SL]])</f>
        <v>160</v>
      </c>
      <c r="B166" s="851"/>
      <c r="C166" s="105"/>
      <c r="D166" s="105"/>
      <c r="E166" s="105"/>
      <c r="F166" s="105"/>
      <c r="G166" s="829"/>
      <c r="H166" s="248"/>
      <c r="I166" s="849"/>
      <c r="J166" s="115"/>
      <c r="K166" s="115"/>
      <c r="L166" s="113"/>
      <c r="M166" s="852"/>
      <c r="N166" s="217"/>
      <c r="O166" s="106"/>
      <c r="P166" s="106"/>
      <c r="Q166" s="840"/>
      <c r="R166" s="106"/>
      <c r="S166" s="852"/>
      <c r="T166" s="106"/>
      <c r="U166" s="106"/>
      <c r="V166" s="1260">
        <f>Table626893456791011347[[#This Row],[Offer Value]]-Table626893456791011347[[#This Row],[PO Value]]</f>
        <v>0</v>
      </c>
      <c r="W166" s="106"/>
      <c r="X166" s="106"/>
      <c r="Y166" s="217"/>
      <c r="Z166" s="257"/>
      <c r="AA166" s="603"/>
    </row>
    <row r="167" spans="1:27" s="259" customFormat="1" ht="18">
      <c r="A167" s="289">
        <f>ROW() - ROW(Table626893456791011347[[#Headers],[SL]])</f>
        <v>161</v>
      </c>
      <c r="B167" s="852"/>
      <c r="C167" s="105"/>
      <c r="D167" s="105"/>
      <c r="E167" s="105"/>
      <c r="F167" s="105"/>
      <c r="G167" s="829"/>
      <c r="H167" s="248"/>
      <c r="I167" s="849"/>
      <c r="J167" s="115"/>
      <c r="K167" s="115"/>
      <c r="L167" s="113"/>
      <c r="M167" s="848"/>
      <c r="N167" s="217"/>
      <c r="O167" s="106"/>
      <c r="P167" s="106"/>
      <c r="Q167" s="840"/>
      <c r="R167" s="107"/>
      <c r="S167" s="852"/>
      <c r="T167" s="106"/>
      <c r="U167" s="106"/>
      <c r="V167" s="1260">
        <f>Table626893456791011347[[#This Row],[Offer Value]]-Table626893456791011347[[#This Row],[PO Value]]</f>
        <v>0</v>
      </c>
      <c r="W167" s="106"/>
      <c r="X167" s="106"/>
      <c r="Y167" s="617"/>
      <c r="Z167" s="257"/>
      <c r="AA167" s="603"/>
    </row>
    <row r="168" spans="1:27" s="259" customFormat="1" ht="18">
      <c r="A168" s="289">
        <f>ROW() - ROW(Table626893456791011347[[#Headers],[SL]])</f>
        <v>162</v>
      </c>
      <c r="B168" s="851"/>
      <c r="C168" s="105"/>
      <c r="D168" s="105"/>
      <c r="E168" s="105"/>
      <c r="F168" s="105"/>
      <c r="G168" s="829"/>
      <c r="H168" s="248"/>
      <c r="I168" s="849"/>
      <c r="J168" s="115"/>
      <c r="K168" s="115"/>
      <c r="L168" s="113"/>
      <c r="M168" s="848"/>
      <c r="N168" s="217"/>
      <c r="O168" s="106"/>
      <c r="P168" s="106"/>
      <c r="Q168" s="840"/>
      <c r="R168" s="107"/>
      <c r="S168" s="852"/>
      <c r="T168" s="106"/>
      <c r="U168" s="106"/>
      <c r="V168" s="1260">
        <f>Table626893456791011347[[#This Row],[Offer Value]]-Table626893456791011347[[#This Row],[PO Value]]</f>
        <v>0</v>
      </c>
      <c r="W168" s="106"/>
      <c r="X168" s="106"/>
      <c r="Y168" s="617"/>
      <c r="Z168" s="257"/>
      <c r="AA168" s="603"/>
    </row>
    <row r="169" spans="1:27" s="259" customFormat="1" ht="18">
      <c r="A169" s="289">
        <f>ROW() - ROW(Table626893456791011347[[#Headers],[SL]])</f>
        <v>163</v>
      </c>
      <c r="B169" s="852"/>
      <c r="C169" s="105"/>
      <c r="D169" s="178"/>
      <c r="E169" s="178"/>
      <c r="F169" s="178"/>
      <c r="G169" s="832"/>
      <c r="H169" s="316"/>
      <c r="I169" s="178"/>
      <c r="J169" s="115"/>
      <c r="K169" s="115"/>
      <c r="L169" s="113"/>
      <c r="M169" s="848"/>
      <c r="N169" s="217"/>
      <c r="O169" s="106"/>
      <c r="P169" s="106"/>
      <c r="Q169" s="840"/>
      <c r="R169" s="106"/>
      <c r="S169" s="852"/>
      <c r="T169" s="106"/>
      <c r="U169" s="106"/>
      <c r="V169" s="1260">
        <f>Table626893456791011347[[#This Row],[Offer Value]]-Table626893456791011347[[#This Row],[PO Value]]</f>
        <v>0</v>
      </c>
      <c r="W169" s="106"/>
      <c r="X169" s="106"/>
      <c r="Y169" s="217"/>
      <c r="Z169" s="257"/>
      <c r="AA169" s="603"/>
    </row>
    <row r="170" spans="1:27" s="259" customFormat="1" ht="18">
      <c r="A170" s="289">
        <f>ROW() - ROW(Table626893456791011347[[#Headers],[SL]])</f>
        <v>164</v>
      </c>
      <c r="B170" s="852"/>
      <c r="C170" s="105"/>
      <c r="D170" s="105"/>
      <c r="E170" s="108"/>
      <c r="F170" s="108"/>
      <c r="G170" s="828"/>
      <c r="H170" s="251"/>
      <c r="I170" s="1916"/>
      <c r="J170" s="115"/>
      <c r="K170" s="115"/>
      <c r="L170" s="113"/>
      <c r="M170" s="848"/>
      <c r="N170" s="217"/>
      <c r="O170" s="106"/>
      <c r="P170" s="106"/>
      <c r="Q170" s="840"/>
      <c r="R170" s="106"/>
      <c r="S170" s="852"/>
      <c r="T170" s="106"/>
      <c r="U170" s="106"/>
      <c r="V170" s="1260">
        <f>Table626893456791011347[[#This Row],[Offer Value]]-Table626893456791011347[[#This Row],[PO Value]]</f>
        <v>0</v>
      </c>
      <c r="W170" s="106"/>
      <c r="X170" s="106"/>
      <c r="Y170" s="617"/>
      <c r="Z170" s="257"/>
      <c r="AA170" s="603"/>
    </row>
    <row r="171" spans="1:27" s="259" customFormat="1" ht="18">
      <c r="A171" s="289">
        <f>ROW() - ROW(Table626893456791011347[[#Headers],[SL]])</f>
        <v>165</v>
      </c>
      <c r="B171" s="852"/>
      <c r="C171" s="105"/>
      <c r="D171" s="105"/>
      <c r="E171" s="105"/>
      <c r="F171" s="105"/>
      <c r="G171" s="829"/>
      <c r="H171" s="250"/>
      <c r="I171" s="849"/>
      <c r="J171" s="108"/>
      <c r="K171" s="108"/>
      <c r="L171" s="113"/>
      <c r="M171" s="848"/>
      <c r="N171" s="217"/>
      <c r="O171" s="106"/>
      <c r="P171" s="106"/>
      <c r="Q171" s="840"/>
      <c r="R171" s="106"/>
      <c r="S171" s="852"/>
      <c r="T171" s="106"/>
      <c r="U171" s="106"/>
      <c r="V171" s="1260">
        <f>Table626893456791011347[[#This Row],[Offer Value]]-Table626893456791011347[[#This Row],[PO Value]]</f>
        <v>0</v>
      </c>
      <c r="W171" s="106"/>
      <c r="X171" s="106"/>
      <c r="Y171" s="617"/>
      <c r="Z171" s="257"/>
      <c r="AA171" s="603"/>
    </row>
    <row r="172" spans="1:27" s="259" customFormat="1" ht="18">
      <c r="A172" s="289">
        <f>ROW() - ROW(Table626893456791011347[[#Headers],[SL]])</f>
        <v>166</v>
      </c>
      <c r="B172" s="852"/>
      <c r="C172" s="105"/>
      <c r="D172" s="105"/>
      <c r="E172" s="108"/>
      <c r="F172" s="304"/>
      <c r="G172" s="833"/>
      <c r="H172" s="182"/>
      <c r="I172" s="1916"/>
      <c r="J172" s="115"/>
      <c r="K172" s="115"/>
      <c r="L172" s="113"/>
      <c r="M172" s="848"/>
      <c r="N172" s="217"/>
      <c r="O172" s="106"/>
      <c r="P172" s="106"/>
      <c r="Q172" s="840"/>
      <c r="R172" s="106"/>
      <c r="S172" s="852"/>
      <c r="T172" s="106"/>
      <c r="U172" s="106"/>
      <c r="V172" s="1260">
        <f>Table626893456791011347[[#This Row],[Offer Value]]-Table626893456791011347[[#This Row],[PO Value]]</f>
        <v>0</v>
      </c>
      <c r="W172" s="106"/>
      <c r="X172" s="106"/>
      <c r="Y172" s="217"/>
      <c r="Z172" s="257"/>
      <c r="AA172" s="603"/>
    </row>
    <row r="173" spans="1:27" s="259" customFormat="1" ht="18">
      <c r="A173" s="289">
        <f>ROW() - ROW(Table626893456791011347[[#Headers],[SL]])</f>
        <v>167</v>
      </c>
      <c r="B173" s="852"/>
      <c r="C173" s="105"/>
      <c r="D173" s="105"/>
      <c r="E173" s="108"/>
      <c r="F173" s="108"/>
      <c r="G173" s="829"/>
      <c r="H173" s="250"/>
      <c r="I173" s="1916"/>
      <c r="J173" s="115"/>
      <c r="K173" s="115"/>
      <c r="L173" s="113"/>
      <c r="M173" s="848"/>
      <c r="N173" s="217"/>
      <c r="O173" s="106"/>
      <c r="P173" s="106"/>
      <c r="Q173" s="840"/>
      <c r="R173" s="107"/>
      <c r="S173" s="852"/>
      <c r="T173" s="106"/>
      <c r="U173" s="106"/>
      <c r="V173" s="1260">
        <f>Table626893456791011347[[#This Row],[Offer Value]]-Table626893456791011347[[#This Row],[PO Value]]</f>
        <v>0</v>
      </c>
      <c r="W173" s="106"/>
      <c r="X173" s="106"/>
      <c r="Y173" s="217"/>
      <c r="Z173" s="257"/>
      <c r="AA173" s="603"/>
    </row>
    <row r="174" spans="1:27" s="259" customFormat="1" ht="18">
      <c r="A174" s="289">
        <f>ROW() - ROW(Table626893456791011347[[#Headers],[SL]])</f>
        <v>168</v>
      </c>
      <c r="B174" s="852"/>
      <c r="C174" s="105"/>
      <c r="D174" s="105"/>
      <c r="E174" s="108"/>
      <c r="F174" s="108"/>
      <c r="G174" s="828"/>
      <c r="H174" s="251"/>
      <c r="I174" s="1916"/>
      <c r="J174" s="115"/>
      <c r="K174" s="115"/>
      <c r="L174" s="113"/>
      <c r="M174" s="848"/>
      <c r="N174" s="217"/>
      <c r="O174" s="106"/>
      <c r="P174" s="106"/>
      <c r="Q174" s="840"/>
      <c r="R174" s="106"/>
      <c r="S174" s="852"/>
      <c r="T174" s="106"/>
      <c r="U174" s="106"/>
      <c r="V174" s="1260">
        <f>Table626893456791011347[[#This Row],[Offer Value]]-Table626893456791011347[[#This Row],[PO Value]]</f>
        <v>0</v>
      </c>
      <c r="W174" s="106"/>
      <c r="X174" s="106"/>
      <c r="Y174" s="217"/>
      <c r="Z174" s="257"/>
      <c r="AA174" s="603"/>
    </row>
    <row r="175" spans="1:27" s="259" customFormat="1" ht="18">
      <c r="A175" s="33">
        <f>ROW() - ROW(Table626893456791011347[[#Headers],[SL]])</f>
        <v>169</v>
      </c>
      <c r="B175" s="2514"/>
      <c r="C175" s="105"/>
      <c r="D175" s="105"/>
      <c r="E175" s="108"/>
      <c r="F175" s="108"/>
      <c r="G175" s="828"/>
      <c r="H175" s="251"/>
      <c r="I175" s="1916"/>
      <c r="J175" s="115"/>
      <c r="K175" s="115"/>
      <c r="L175" s="113"/>
      <c r="M175" s="848"/>
      <c r="N175" s="217"/>
      <c r="O175" s="106"/>
      <c r="P175" s="106"/>
      <c r="Q175" s="840"/>
      <c r="R175" s="587"/>
      <c r="S175" s="1403"/>
      <c r="T175" s="106"/>
      <c r="U175" s="106"/>
      <c r="V175" s="1260">
        <f>Table626893456791011347[[#This Row],[Offer Value]]-Table626893456791011347[[#This Row],[PO Value]]</f>
        <v>0</v>
      </c>
      <c r="W175" s="177"/>
      <c r="X175" s="177"/>
      <c r="Y175" s="217"/>
      <c r="Z175" s="257"/>
      <c r="AA175" s="603"/>
    </row>
    <row r="176" spans="1:27" s="259" customFormat="1" ht="18">
      <c r="A176" s="289">
        <f>ROW() - ROW(Table626893456791011347[[#Headers],[SL]])</f>
        <v>170</v>
      </c>
      <c r="B176" s="852"/>
      <c r="C176" s="105"/>
      <c r="D176" s="105"/>
      <c r="E176" s="108"/>
      <c r="F176" s="108"/>
      <c r="G176" s="828"/>
      <c r="H176" s="251"/>
      <c r="I176" s="1916"/>
      <c r="J176" s="115"/>
      <c r="K176" s="115"/>
      <c r="L176" s="113"/>
      <c r="M176" s="848"/>
      <c r="N176" s="217"/>
      <c r="O176" s="106"/>
      <c r="P176" s="106"/>
      <c r="Q176" s="840"/>
      <c r="R176" s="106"/>
      <c r="S176" s="852"/>
      <c r="T176" s="106"/>
      <c r="U176" s="106"/>
      <c r="V176" s="1260">
        <f>Table626893456791011347[[#This Row],[Offer Value]]-Table626893456791011347[[#This Row],[PO Value]]</f>
        <v>0</v>
      </c>
      <c r="W176" s="106"/>
      <c r="X176" s="106"/>
      <c r="Y176" s="217"/>
      <c r="Z176" s="257"/>
      <c r="AA176" s="603"/>
    </row>
    <row r="177" spans="1:27" s="259" customFormat="1" ht="18">
      <c r="A177" s="289">
        <f>ROW() - ROW(Table626893456791011347[[#Headers],[SL]])</f>
        <v>171</v>
      </c>
      <c r="B177" s="852"/>
      <c r="C177" s="105"/>
      <c r="D177" s="105"/>
      <c r="E177" s="113"/>
      <c r="F177" s="108"/>
      <c r="G177" s="829"/>
      <c r="H177" s="250"/>
      <c r="I177" s="890"/>
      <c r="J177" s="108"/>
      <c r="K177" s="108"/>
      <c r="L177" s="366"/>
      <c r="M177" s="848"/>
      <c r="N177" s="217"/>
      <c r="O177" s="106"/>
      <c r="P177" s="106"/>
      <c r="Q177" s="840"/>
      <c r="R177" s="107"/>
      <c r="S177" s="852"/>
      <c r="T177" s="106"/>
      <c r="U177" s="106"/>
      <c r="V177" s="1260">
        <f>Table626893456791011347[[#This Row],[Offer Value]]-Table626893456791011347[[#This Row],[PO Value]]</f>
        <v>0</v>
      </c>
      <c r="W177" s="106"/>
      <c r="X177" s="106"/>
      <c r="Y177" s="617"/>
      <c r="Z177" s="257"/>
      <c r="AA177" s="603"/>
    </row>
    <row r="178" spans="1:27" s="259" customFormat="1" ht="18">
      <c r="A178" s="289">
        <f>ROW() - ROW(Table626893456791011347[[#Headers],[SL]])</f>
        <v>172</v>
      </c>
      <c r="B178" s="852"/>
      <c r="C178" s="105"/>
      <c r="D178" s="105"/>
      <c r="E178" s="108"/>
      <c r="F178" s="108"/>
      <c r="G178" s="828"/>
      <c r="H178" s="251"/>
      <c r="I178" s="1916"/>
      <c r="J178" s="108"/>
      <c r="K178" s="108"/>
      <c r="L178" s="366"/>
      <c r="M178" s="848"/>
      <c r="N178" s="217"/>
      <c r="O178" s="106"/>
      <c r="P178" s="106"/>
      <c r="Q178" s="840"/>
      <c r="R178" s="106"/>
      <c r="S178" s="852"/>
      <c r="T178" s="106"/>
      <c r="U178" s="106"/>
      <c r="V178" s="1260">
        <f>Table626893456791011347[[#This Row],[Offer Value]]-Table626893456791011347[[#This Row],[PO Value]]</f>
        <v>0</v>
      </c>
      <c r="W178" s="106"/>
      <c r="X178" s="106"/>
      <c r="Y178" s="217"/>
      <c r="Z178" s="257"/>
      <c r="AA178" s="603"/>
    </row>
    <row r="179" spans="1:27" s="259" customFormat="1" ht="18">
      <c r="A179" s="289">
        <f>ROW() - ROW(Table626893456791011347[[#Headers],[SL]])</f>
        <v>173</v>
      </c>
      <c r="B179" s="851"/>
      <c r="C179" s="105"/>
      <c r="D179" s="105"/>
      <c r="E179" s="108"/>
      <c r="F179" s="108"/>
      <c r="G179" s="828"/>
      <c r="H179" s="251"/>
      <c r="I179" s="1916"/>
      <c r="J179" s="115"/>
      <c r="K179" s="115"/>
      <c r="L179" s="366"/>
      <c r="M179" s="848"/>
      <c r="N179" s="217"/>
      <c r="O179" s="106"/>
      <c r="P179" s="106"/>
      <c r="Q179" s="840"/>
      <c r="R179" s="106"/>
      <c r="S179" s="852"/>
      <c r="T179" s="106"/>
      <c r="U179" s="106"/>
      <c r="V179" s="1260">
        <f>Table626893456791011347[[#This Row],[Offer Value]]-Table626893456791011347[[#This Row],[PO Value]]</f>
        <v>0</v>
      </c>
      <c r="W179" s="106"/>
      <c r="X179" s="106"/>
      <c r="Y179" s="217"/>
      <c r="Z179" s="257"/>
      <c r="AA179" s="603"/>
    </row>
    <row r="180" spans="1:27" s="259" customFormat="1" ht="18">
      <c r="A180" s="289">
        <f>ROW() - ROW(Table626893456791011347[[#Headers],[SL]])</f>
        <v>174</v>
      </c>
      <c r="B180" s="851"/>
      <c r="C180" s="105"/>
      <c r="D180" s="105"/>
      <c r="E180" s="108"/>
      <c r="F180" s="105"/>
      <c r="G180" s="829"/>
      <c r="H180" s="248"/>
      <c r="I180" s="849"/>
      <c r="J180" s="115"/>
      <c r="K180" s="115"/>
      <c r="L180" s="366"/>
      <c r="M180" s="848"/>
      <c r="N180" s="217"/>
      <c r="O180" s="106"/>
      <c r="P180" s="106"/>
      <c r="Q180" s="840"/>
      <c r="R180" s="106"/>
      <c r="S180" s="852"/>
      <c r="T180" s="106"/>
      <c r="U180" s="106"/>
      <c r="V180" s="1260">
        <f>Table626893456791011347[[#This Row],[Offer Value]]-Table626893456791011347[[#This Row],[PO Value]]</f>
        <v>0</v>
      </c>
      <c r="W180" s="106"/>
      <c r="X180" s="106"/>
      <c r="Y180" s="217"/>
      <c r="Z180" s="257"/>
      <c r="AA180" s="603"/>
    </row>
    <row r="181" spans="1:27" s="259" customFormat="1" ht="18">
      <c r="A181" s="289">
        <f>ROW() - ROW(Table626893456791011347[[#Headers],[SL]])</f>
        <v>175</v>
      </c>
      <c r="B181" s="851"/>
      <c r="C181" s="105"/>
      <c r="D181" s="113"/>
      <c r="E181" s="113"/>
      <c r="F181" s="113"/>
      <c r="G181" s="833"/>
      <c r="H181" s="182"/>
      <c r="I181" s="849"/>
      <c r="J181" s="115"/>
      <c r="K181" s="115"/>
      <c r="L181" s="366"/>
      <c r="M181" s="848"/>
      <c r="N181" s="217"/>
      <c r="O181" s="106"/>
      <c r="P181" s="106"/>
      <c r="Q181" s="840"/>
      <c r="R181" s="107"/>
      <c r="S181" s="852"/>
      <c r="T181" s="106"/>
      <c r="U181" s="106"/>
      <c r="V181" s="1260">
        <f>Table626893456791011347[[#This Row],[Offer Value]]-Table626893456791011347[[#This Row],[PO Value]]</f>
        <v>0</v>
      </c>
      <c r="W181" s="106"/>
      <c r="X181" s="106"/>
      <c r="Y181" s="617"/>
      <c r="Z181" s="257"/>
      <c r="AA181" s="603"/>
    </row>
    <row r="182" spans="1:27" s="259" customFormat="1" ht="18">
      <c r="A182" s="289">
        <f>ROW() - ROW(Table626893456791011347[[#Headers],[SL]])</f>
        <v>176</v>
      </c>
      <c r="B182" s="851"/>
      <c r="C182" s="105"/>
      <c r="D182" s="105"/>
      <c r="E182" s="105"/>
      <c r="F182" s="113"/>
      <c r="G182" s="830"/>
      <c r="H182" s="248"/>
      <c r="I182" s="849"/>
      <c r="J182" s="115"/>
      <c r="K182" s="115"/>
      <c r="L182" s="366"/>
      <c r="M182" s="848"/>
      <c r="N182" s="217"/>
      <c r="O182" s="106"/>
      <c r="P182" s="106"/>
      <c r="Q182" s="840"/>
      <c r="R182" s="106"/>
      <c r="S182" s="852"/>
      <c r="T182" s="106"/>
      <c r="U182" s="106"/>
      <c r="V182" s="1260">
        <f>Table626893456791011347[[#This Row],[Offer Value]]-Table626893456791011347[[#This Row],[PO Value]]</f>
        <v>0</v>
      </c>
      <c r="W182" s="106"/>
      <c r="X182" s="106"/>
      <c r="Y182" s="217"/>
      <c r="Z182" s="257"/>
      <c r="AA182" s="603"/>
    </row>
    <row r="183" spans="1:27" s="259" customFormat="1" ht="18">
      <c r="A183" s="289">
        <f>ROW() - ROW(Table626893456791011347[[#Headers],[SL]])</f>
        <v>177</v>
      </c>
      <c r="B183" s="851"/>
      <c r="C183" s="105"/>
      <c r="D183" s="105"/>
      <c r="E183" s="105"/>
      <c r="F183" s="113"/>
      <c r="G183" s="830"/>
      <c r="H183" s="248"/>
      <c r="I183" s="1916"/>
      <c r="J183" s="115"/>
      <c r="K183" s="115"/>
      <c r="L183" s="366"/>
      <c r="M183" s="848"/>
      <c r="N183" s="217"/>
      <c r="O183" s="106"/>
      <c r="P183" s="106"/>
      <c r="Q183" s="840"/>
      <c r="R183" s="106"/>
      <c r="S183" s="852"/>
      <c r="T183" s="106"/>
      <c r="U183" s="106"/>
      <c r="V183" s="1260">
        <f>Table626893456791011347[[#This Row],[Offer Value]]-Table626893456791011347[[#This Row],[PO Value]]</f>
        <v>0</v>
      </c>
      <c r="W183" s="106"/>
      <c r="X183" s="106"/>
      <c r="Y183" s="217"/>
      <c r="Z183" s="257"/>
      <c r="AA183" s="603"/>
    </row>
    <row r="184" spans="1:27" s="259" customFormat="1" ht="18">
      <c r="A184" s="289">
        <f>ROW() - ROW(Table626893456791011347[[#Headers],[SL]])</f>
        <v>178</v>
      </c>
      <c r="B184" s="851"/>
      <c r="C184" s="105"/>
      <c r="D184" s="105"/>
      <c r="E184" s="105"/>
      <c r="F184" s="113"/>
      <c r="G184" s="830"/>
      <c r="H184" s="248"/>
      <c r="I184" s="890"/>
      <c r="J184" s="115"/>
      <c r="K184" s="115"/>
      <c r="L184" s="366"/>
      <c r="M184" s="848"/>
      <c r="N184" s="217"/>
      <c r="O184" s="106"/>
      <c r="P184" s="106"/>
      <c r="Q184" s="840"/>
      <c r="R184" s="106"/>
      <c r="S184" s="852"/>
      <c r="T184" s="106"/>
      <c r="U184" s="106"/>
      <c r="V184" s="1260">
        <f>Table626893456791011347[[#This Row],[Offer Value]]-Table626893456791011347[[#This Row],[PO Value]]</f>
        <v>0</v>
      </c>
      <c r="W184" s="106"/>
      <c r="X184" s="106"/>
      <c r="Y184" s="217"/>
      <c r="Z184" s="257"/>
      <c r="AA184" s="603"/>
    </row>
    <row r="185" spans="1:27" s="259" customFormat="1" ht="18">
      <c r="A185" s="289">
        <f>ROW() - ROW(Table626893456791011347[[#Headers],[SL]])</f>
        <v>179</v>
      </c>
      <c r="B185" s="851"/>
      <c r="C185" s="105"/>
      <c r="D185" s="105"/>
      <c r="E185" s="105"/>
      <c r="F185" s="113"/>
      <c r="G185" s="830"/>
      <c r="H185" s="248"/>
      <c r="I185" s="1916"/>
      <c r="J185" s="115"/>
      <c r="K185" s="115"/>
      <c r="L185" s="366"/>
      <c r="M185" s="848"/>
      <c r="N185" s="217"/>
      <c r="O185" s="106"/>
      <c r="P185" s="106"/>
      <c r="Q185" s="840"/>
      <c r="R185" s="106"/>
      <c r="S185" s="852"/>
      <c r="T185" s="106"/>
      <c r="U185" s="106"/>
      <c r="V185" s="1260">
        <f>Table626893456791011347[[#This Row],[Offer Value]]-Table626893456791011347[[#This Row],[PO Value]]</f>
        <v>0</v>
      </c>
      <c r="W185" s="106"/>
      <c r="X185" s="106"/>
      <c r="Y185" s="217"/>
      <c r="Z185" s="257"/>
      <c r="AA185" s="603"/>
    </row>
    <row r="186" spans="1:27" s="259" customFormat="1" ht="18">
      <c r="A186" s="289">
        <f>ROW() - ROW(Table626893456791011347[[#Headers],[SL]])</f>
        <v>180</v>
      </c>
      <c r="B186" s="852"/>
      <c r="C186" s="105"/>
      <c r="D186" s="105"/>
      <c r="E186" s="105"/>
      <c r="F186" s="113"/>
      <c r="G186" s="830"/>
      <c r="H186" s="248"/>
      <c r="I186" s="849"/>
      <c r="J186" s="115"/>
      <c r="K186" s="115"/>
      <c r="L186" s="366"/>
      <c r="M186" s="848"/>
      <c r="N186" s="217"/>
      <c r="O186" s="106"/>
      <c r="P186" s="106"/>
      <c r="Q186" s="840"/>
      <c r="R186" s="106"/>
      <c r="S186" s="852"/>
      <c r="T186" s="106"/>
      <c r="U186" s="106"/>
      <c r="V186" s="1260">
        <f>Table626893456791011347[[#This Row],[Offer Value]]-Table626893456791011347[[#This Row],[PO Value]]</f>
        <v>0</v>
      </c>
      <c r="W186" s="106"/>
      <c r="X186" s="106"/>
      <c r="Y186" s="217"/>
      <c r="Z186" s="257"/>
      <c r="AA186" s="603"/>
    </row>
    <row r="187" spans="1:27" s="259" customFormat="1" ht="18">
      <c r="A187" s="289">
        <f>ROW() - ROW(Table626893456791011347[[#Headers],[SL]])</f>
        <v>181</v>
      </c>
      <c r="B187" s="852"/>
      <c r="C187" s="105"/>
      <c r="D187" s="105"/>
      <c r="E187" s="105"/>
      <c r="F187" s="113"/>
      <c r="G187" s="830"/>
      <c r="H187" s="248"/>
      <c r="I187" s="849"/>
      <c r="J187" s="115"/>
      <c r="K187" s="115"/>
      <c r="L187" s="366"/>
      <c r="M187" s="848"/>
      <c r="N187" s="217"/>
      <c r="O187" s="106"/>
      <c r="P187" s="106"/>
      <c r="Q187" s="840"/>
      <c r="R187" s="106"/>
      <c r="S187" s="852"/>
      <c r="T187" s="106"/>
      <c r="U187" s="106"/>
      <c r="V187" s="1260">
        <f>Table626893456791011347[[#This Row],[Offer Value]]-Table626893456791011347[[#This Row],[PO Value]]</f>
        <v>0</v>
      </c>
      <c r="W187" s="106"/>
      <c r="X187" s="106"/>
      <c r="Y187" s="217"/>
      <c r="Z187" s="257"/>
      <c r="AA187" s="603"/>
    </row>
    <row r="188" spans="1:27" s="259" customFormat="1" ht="18">
      <c r="A188" s="289">
        <f>ROW() - ROW(Table626893456791011347[[#Headers],[SL]])</f>
        <v>182</v>
      </c>
      <c r="B188" s="851"/>
      <c r="C188" s="105"/>
      <c r="D188" s="105"/>
      <c r="E188" s="105"/>
      <c r="F188" s="113"/>
      <c r="G188" s="830"/>
      <c r="H188" s="248"/>
      <c r="I188" s="1916"/>
      <c r="J188" s="115"/>
      <c r="K188" s="115"/>
      <c r="L188" s="366"/>
      <c r="M188" s="848"/>
      <c r="N188" s="217"/>
      <c r="O188" s="106"/>
      <c r="P188" s="106"/>
      <c r="Q188" s="840"/>
      <c r="R188" s="106"/>
      <c r="S188" s="852"/>
      <c r="T188" s="106"/>
      <c r="U188" s="106"/>
      <c r="V188" s="1260">
        <f>Table626893456791011347[[#This Row],[Offer Value]]-Table626893456791011347[[#This Row],[PO Value]]</f>
        <v>0</v>
      </c>
      <c r="W188" s="106"/>
      <c r="X188" s="106"/>
      <c r="Y188" s="217"/>
      <c r="Z188" s="257"/>
      <c r="AA188" s="603"/>
    </row>
    <row r="189" spans="1:27" s="259" customFormat="1" ht="18">
      <c r="A189" s="289">
        <f>ROW() - ROW(Table626893456791011347[[#Headers],[SL]])</f>
        <v>183</v>
      </c>
      <c r="B189" s="851"/>
      <c r="C189" s="105"/>
      <c r="D189" s="105"/>
      <c r="E189" s="105"/>
      <c r="F189" s="113"/>
      <c r="G189" s="830"/>
      <c r="H189" s="248"/>
      <c r="I189" s="849"/>
      <c r="J189" s="115"/>
      <c r="K189" s="115"/>
      <c r="L189" s="366"/>
      <c r="M189" s="848"/>
      <c r="N189" s="217"/>
      <c r="O189" s="106"/>
      <c r="P189" s="106"/>
      <c r="Q189" s="840"/>
      <c r="R189" s="106"/>
      <c r="S189" s="852"/>
      <c r="T189" s="106"/>
      <c r="U189" s="106"/>
      <c r="V189" s="1260">
        <f>Table626893456791011347[[#This Row],[Offer Value]]-Table626893456791011347[[#This Row],[PO Value]]</f>
        <v>0</v>
      </c>
      <c r="W189" s="106"/>
      <c r="X189" s="106"/>
      <c r="Y189" s="217"/>
      <c r="Z189" s="257"/>
      <c r="AA189" s="603"/>
    </row>
    <row r="190" spans="1:27" s="259" customFormat="1" ht="18">
      <c r="A190" s="289">
        <f>ROW() - ROW(Table626893456791011347[[#Headers],[SL]])</f>
        <v>184</v>
      </c>
      <c r="B190" s="851"/>
      <c r="C190" s="105"/>
      <c r="D190" s="105"/>
      <c r="E190" s="105"/>
      <c r="F190" s="113"/>
      <c r="G190" s="830"/>
      <c r="H190" s="248"/>
      <c r="I190" s="849"/>
      <c r="J190" s="115"/>
      <c r="K190" s="115"/>
      <c r="L190" s="366"/>
      <c r="M190" s="848"/>
      <c r="N190" s="217"/>
      <c r="O190" s="106"/>
      <c r="P190" s="106"/>
      <c r="Q190" s="840"/>
      <c r="R190" s="106"/>
      <c r="S190" s="852"/>
      <c r="T190" s="106"/>
      <c r="U190" s="106"/>
      <c r="V190" s="1260">
        <f>Table626893456791011347[[#This Row],[Offer Value]]-Table626893456791011347[[#This Row],[PO Value]]</f>
        <v>0</v>
      </c>
      <c r="W190" s="106"/>
      <c r="X190" s="106"/>
      <c r="Y190" s="217"/>
      <c r="Z190" s="257"/>
      <c r="AA190" s="603"/>
    </row>
    <row r="191" spans="1:27" s="259" customFormat="1" ht="18">
      <c r="A191" s="289">
        <f>ROW() - ROW(Table626893456791011347[[#Headers],[SL]])</f>
        <v>185</v>
      </c>
      <c r="B191" s="851"/>
      <c r="C191" s="105"/>
      <c r="D191" s="105"/>
      <c r="E191" s="105"/>
      <c r="F191" s="113"/>
      <c r="G191" s="830"/>
      <c r="H191" s="248"/>
      <c r="I191" s="849"/>
      <c r="J191" s="115"/>
      <c r="K191" s="115"/>
      <c r="L191" s="366"/>
      <c r="M191" s="848"/>
      <c r="N191" s="217"/>
      <c r="O191" s="106"/>
      <c r="P191" s="106"/>
      <c r="Q191" s="840"/>
      <c r="R191" s="106"/>
      <c r="S191" s="852"/>
      <c r="T191" s="106"/>
      <c r="U191" s="106"/>
      <c r="V191" s="1260">
        <f>Table626893456791011347[[#This Row],[Offer Value]]-Table626893456791011347[[#This Row],[PO Value]]</f>
        <v>0</v>
      </c>
      <c r="W191" s="106"/>
      <c r="X191" s="106"/>
      <c r="Y191" s="217"/>
      <c r="Z191" s="257"/>
      <c r="AA191" s="603"/>
    </row>
    <row r="192" spans="1:27" s="259" customFormat="1" ht="18">
      <c r="A192" s="289">
        <f>ROW() - ROW(Table626893456791011347[[#Headers],[SL]])</f>
        <v>186</v>
      </c>
      <c r="B192" s="851"/>
      <c r="C192" s="105"/>
      <c r="D192" s="105"/>
      <c r="E192" s="105"/>
      <c r="F192" s="108"/>
      <c r="G192" s="828"/>
      <c r="H192" s="251"/>
      <c r="I192" s="849"/>
      <c r="J192" s="115"/>
      <c r="K192" s="115"/>
      <c r="L192" s="366"/>
      <c r="M192" s="848"/>
      <c r="N192" s="217"/>
      <c r="O192" s="106"/>
      <c r="P192" s="106"/>
      <c r="Q192" s="840"/>
      <c r="R192" s="106"/>
      <c r="S192" s="852"/>
      <c r="T192" s="106"/>
      <c r="U192" s="106"/>
      <c r="V192" s="1260">
        <f>Table626893456791011347[[#This Row],[Offer Value]]-Table626893456791011347[[#This Row],[PO Value]]</f>
        <v>0</v>
      </c>
      <c r="W192" s="106"/>
      <c r="X192" s="106"/>
      <c r="Y192" s="217"/>
      <c r="Z192" s="257"/>
      <c r="AA192" s="603"/>
    </row>
    <row r="193" spans="1:27" s="259" customFormat="1" ht="18">
      <c r="A193" s="289">
        <f>ROW() - ROW(Table626893456791011347[[#Headers],[SL]])</f>
        <v>187</v>
      </c>
      <c r="B193" s="851"/>
      <c r="C193" s="105"/>
      <c r="D193" s="105"/>
      <c r="E193" s="105"/>
      <c r="F193" s="108"/>
      <c r="G193" s="828"/>
      <c r="H193" s="251"/>
      <c r="I193" s="849"/>
      <c r="J193" s="115"/>
      <c r="K193" s="115"/>
      <c r="L193" s="366"/>
      <c r="M193" s="848"/>
      <c r="N193" s="217"/>
      <c r="O193" s="106"/>
      <c r="P193" s="106"/>
      <c r="Q193" s="840"/>
      <c r="R193" s="106"/>
      <c r="S193" s="852"/>
      <c r="T193" s="106"/>
      <c r="U193" s="106"/>
      <c r="V193" s="1260">
        <f>Table626893456791011347[[#This Row],[Offer Value]]-Table626893456791011347[[#This Row],[PO Value]]</f>
        <v>0</v>
      </c>
      <c r="W193" s="106"/>
      <c r="X193" s="106"/>
      <c r="Y193" s="617"/>
      <c r="Z193" s="257"/>
      <c r="AA193" s="603"/>
    </row>
    <row r="194" spans="1:27" s="259" customFormat="1" ht="18">
      <c r="A194" s="289">
        <f>ROW() - ROW(Table626893456791011347[[#Headers],[SL]])</f>
        <v>188</v>
      </c>
      <c r="B194" s="851"/>
      <c r="C194" s="105"/>
      <c r="D194" s="105"/>
      <c r="E194" s="105"/>
      <c r="F194" s="105"/>
      <c r="G194" s="829"/>
      <c r="H194" s="248"/>
      <c r="I194" s="849"/>
      <c r="J194" s="115"/>
      <c r="K194" s="115"/>
      <c r="L194" s="366"/>
      <c r="M194" s="848"/>
      <c r="N194" s="217"/>
      <c r="O194" s="106"/>
      <c r="P194" s="106"/>
      <c r="Q194" s="840"/>
      <c r="R194" s="106"/>
      <c r="S194" s="852"/>
      <c r="T194" s="106"/>
      <c r="U194" s="106"/>
      <c r="V194" s="1260">
        <f>Table626893456791011347[[#This Row],[Offer Value]]-Table626893456791011347[[#This Row],[PO Value]]</f>
        <v>0</v>
      </c>
      <c r="W194" s="106"/>
      <c r="X194" s="106"/>
      <c r="Y194" s="617"/>
      <c r="Z194" s="257"/>
      <c r="AA194" s="603"/>
    </row>
    <row r="195" spans="1:27" s="259" customFormat="1" ht="18">
      <c r="A195" s="289">
        <f>ROW() - ROW(Table626893456791011347[[#Headers],[SL]])</f>
        <v>189</v>
      </c>
      <c r="B195" s="851"/>
      <c r="C195" s="105"/>
      <c r="D195" s="304"/>
      <c r="E195" s="304"/>
      <c r="F195" s="304"/>
      <c r="G195" s="833"/>
      <c r="H195" s="182"/>
      <c r="I195" s="849"/>
      <c r="J195" s="115"/>
      <c r="K195" s="115"/>
      <c r="L195" s="366"/>
      <c r="M195" s="848"/>
      <c r="N195" s="217"/>
      <c r="O195" s="106"/>
      <c r="P195" s="106"/>
      <c r="Q195" s="840"/>
      <c r="R195" s="107"/>
      <c r="S195" s="852"/>
      <c r="T195" s="106"/>
      <c r="U195" s="106"/>
      <c r="V195" s="1260">
        <f>Table626893456791011347[[#This Row],[Offer Value]]-Table626893456791011347[[#This Row],[PO Value]]</f>
        <v>0</v>
      </c>
      <c r="W195" s="106"/>
      <c r="X195" s="106"/>
      <c r="Y195" s="617"/>
      <c r="Z195" s="257"/>
      <c r="AA195" s="603"/>
    </row>
    <row r="196" spans="1:27" s="259" customFormat="1" ht="18">
      <c r="A196" s="289">
        <f>ROW() - ROW(Table626893456791011347[[#Headers],[SL]])</f>
        <v>190</v>
      </c>
      <c r="B196" s="851"/>
      <c r="C196" s="105"/>
      <c r="D196" s="304"/>
      <c r="E196" s="304"/>
      <c r="F196" s="304"/>
      <c r="G196" s="833"/>
      <c r="H196" s="182"/>
      <c r="I196" s="849"/>
      <c r="J196" s="115"/>
      <c r="K196" s="115"/>
      <c r="L196" s="366"/>
      <c r="M196" s="848"/>
      <c r="N196" s="217"/>
      <c r="O196" s="106"/>
      <c r="P196" s="106"/>
      <c r="Q196" s="840"/>
      <c r="R196" s="106"/>
      <c r="S196" s="852"/>
      <c r="T196" s="106"/>
      <c r="U196" s="106"/>
      <c r="V196" s="1260">
        <f>Table626893456791011347[[#This Row],[Offer Value]]-Table626893456791011347[[#This Row],[PO Value]]</f>
        <v>0</v>
      </c>
      <c r="W196" s="106"/>
      <c r="X196" s="106"/>
      <c r="Y196" s="617"/>
      <c r="Z196" s="257"/>
      <c r="AA196" s="603"/>
    </row>
    <row r="197" spans="1:27" s="259" customFormat="1" ht="18">
      <c r="A197" s="289">
        <f>ROW() - ROW(Table626893456791011347[[#Headers],[SL]])</f>
        <v>191</v>
      </c>
      <c r="B197" s="852"/>
      <c r="C197" s="105"/>
      <c r="D197" s="105"/>
      <c r="E197" s="108"/>
      <c r="F197" s="105"/>
      <c r="G197" s="829"/>
      <c r="H197" s="248"/>
      <c r="I197" s="849"/>
      <c r="J197" s="115"/>
      <c r="K197" s="115"/>
      <c r="L197" s="366"/>
      <c r="M197" s="848"/>
      <c r="N197" s="217"/>
      <c r="O197" s="106"/>
      <c r="P197" s="106"/>
      <c r="Q197" s="840"/>
      <c r="R197" s="107"/>
      <c r="S197" s="852"/>
      <c r="T197" s="106"/>
      <c r="U197" s="106"/>
      <c r="V197" s="1260">
        <f>Table626893456791011347[[#This Row],[Offer Value]]-Table626893456791011347[[#This Row],[PO Value]]</f>
        <v>0</v>
      </c>
      <c r="W197" s="106"/>
      <c r="X197" s="106"/>
      <c r="Y197" s="617"/>
      <c r="Z197" s="257"/>
      <c r="AA197" s="603"/>
    </row>
    <row r="198" spans="1:27" s="259" customFormat="1" ht="18">
      <c r="A198" s="289">
        <f>ROW() - ROW(Table626893456791011347[[#Headers],[SL]])</f>
        <v>192</v>
      </c>
      <c r="B198" s="852"/>
      <c r="C198" s="105"/>
      <c r="D198" s="105"/>
      <c r="E198" s="108"/>
      <c r="F198" s="108"/>
      <c r="G198" s="828"/>
      <c r="H198" s="251"/>
      <c r="I198" s="849"/>
      <c r="J198" s="115"/>
      <c r="K198" s="115"/>
      <c r="L198" s="366"/>
      <c r="M198" s="848"/>
      <c r="N198" s="217"/>
      <c r="O198" s="106"/>
      <c r="P198" s="106"/>
      <c r="Q198" s="840"/>
      <c r="R198" s="106"/>
      <c r="S198" s="852"/>
      <c r="T198" s="106"/>
      <c r="U198" s="106"/>
      <c r="V198" s="1260">
        <f>Table626893456791011347[[#This Row],[Offer Value]]-Table626893456791011347[[#This Row],[PO Value]]</f>
        <v>0</v>
      </c>
      <c r="W198" s="106"/>
      <c r="X198" s="106"/>
      <c r="Y198" s="217"/>
      <c r="Z198" s="257"/>
      <c r="AA198" s="603"/>
    </row>
    <row r="199" spans="1:27" s="259" customFormat="1" ht="18">
      <c r="A199" s="289">
        <f>ROW() - ROW(Table626893456791011347[[#Headers],[SL]])</f>
        <v>193</v>
      </c>
      <c r="B199" s="851"/>
      <c r="C199" s="105"/>
      <c r="D199" s="105"/>
      <c r="E199" s="108"/>
      <c r="F199" s="108"/>
      <c r="G199" s="828"/>
      <c r="H199" s="251"/>
      <c r="I199" s="849"/>
      <c r="J199" s="115"/>
      <c r="K199" s="115"/>
      <c r="L199" s="366"/>
      <c r="M199" s="848"/>
      <c r="N199" s="217"/>
      <c r="O199" s="106"/>
      <c r="P199" s="106"/>
      <c r="Q199" s="840"/>
      <c r="R199" s="107"/>
      <c r="S199" s="852"/>
      <c r="T199" s="106"/>
      <c r="U199" s="106"/>
      <c r="V199" s="1260">
        <f>Table626893456791011347[[#This Row],[Offer Value]]-Table626893456791011347[[#This Row],[PO Value]]</f>
        <v>0</v>
      </c>
      <c r="W199" s="106"/>
      <c r="X199" s="106"/>
      <c r="Y199" s="617"/>
      <c r="Z199" s="257"/>
      <c r="AA199" s="603"/>
    </row>
    <row r="200" spans="1:27" s="259" customFormat="1" ht="18">
      <c r="A200" s="289">
        <f>ROW() - ROW(Table626893456791011347[[#Headers],[SL]])</f>
        <v>194</v>
      </c>
      <c r="B200" s="851"/>
      <c r="C200" s="105"/>
      <c r="D200" s="105"/>
      <c r="E200" s="105"/>
      <c r="F200" s="105"/>
      <c r="G200" s="829"/>
      <c r="H200" s="248"/>
      <c r="I200" s="849"/>
      <c r="J200" s="115"/>
      <c r="K200" s="115"/>
      <c r="L200" s="366"/>
      <c r="M200" s="848"/>
      <c r="N200" s="217"/>
      <c r="O200" s="106"/>
      <c r="P200" s="106"/>
      <c r="Q200" s="840"/>
      <c r="R200" s="106"/>
      <c r="S200" s="852"/>
      <c r="T200" s="106"/>
      <c r="U200" s="106"/>
      <c r="V200" s="1260">
        <f>Table626893456791011347[[#This Row],[Offer Value]]-Table626893456791011347[[#This Row],[PO Value]]</f>
        <v>0</v>
      </c>
      <c r="W200" s="106"/>
      <c r="X200" s="106"/>
      <c r="Y200" s="217"/>
      <c r="Z200" s="257"/>
      <c r="AA200" s="603"/>
    </row>
    <row r="201" spans="1:27" s="259" customFormat="1" ht="18">
      <c r="A201" s="289">
        <f>ROW() - ROW(Table626893456791011347[[#Headers],[SL]])</f>
        <v>195</v>
      </c>
      <c r="B201" s="851"/>
      <c r="C201" s="105"/>
      <c r="D201" s="105"/>
      <c r="E201" s="105"/>
      <c r="F201" s="105"/>
      <c r="G201" s="829"/>
      <c r="H201" s="248"/>
      <c r="I201" s="849"/>
      <c r="J201" s="115"/>
      <c r="K201" s="115"/>
      <c r="L201" s="366"/>
      <c r="M201" s="848"/>
      <c r="N201" s="217"/>
      <c r="O201" s="106"/>
      <c r="P201" s="106"/>
      <c r="Q201" s="840"/>
      <c r="R201" s="106"/>
      <c r="S201" s="852"/>
      <c r="T201" s="106"/>
      <c r="U201" s="106"/>
      <c r="V201" s="1260">
        <f>Table626893456791011347[[#This Row],[Offer Value]]-Table626893456791011347[[#This Row],[PO Value]]</f>
        <v>0</v>
      </c>
      <c r="W201" s="106"/>
      <c r="X201" s="106"/>
      <c r="Y201" s="217"/>
      <c r="Z201" s="257"/>
      <c r="AA201" s="603"/>
    </row>
    <row r="202" spans="1:27" s="259" customFormat="1" ht="18">
      <c r="A202" s="289">
        <f>ROW() - ROW(Table626893456791011347[[#Headers],[SL]])</f>
        <v>196</v>
      </c>
      <c r="B202" s="852"/>
      <c r="C202" s="105"/>
      <c r="D202" s="105"/>
      <c r="E202" s="105"/>
      <c r="F202" s="108"/>
      <c r="G202" s="829"/>
      <c r="H202" s="248"/>
      <c r="I202" s="849"/>
      <c r="J202" s="115"/>
      <c r="K202" s="115"/>
      <c r="L202" s="366"/>
      <c r="M202" s="848"/>
      <c r="N202" s="217"/>
      <c r="O202" s="106"/>
      <c r="P202" s="106"/>
      <c r="Q202" s="840"/>
      <c r="R202" s="106"/>
      <c r="S202" s="852"/>
      <c r="T202" s="106"/>
      <c r="U202" s="106"/>
      <c r="V202" s="1260">
        <f>Table626893456791011347[[#This Row],[Offer Value]]-Table626893456791011347[[#This Row],[PO Value]]</f>
        <v>0</v>
      </c>
      <c r="W202" s="106"/>
      <c r="X202" s="106"/>
      <c r="Y202" s="217"/>
      <c r="Z202" s="257"/>
      <c r="AA202" s="603"/>
    </row>
    <row r="203" spans="1:27" s="259" customFormat="1" ht="18">
      <c r="A203" s="289">
        <f>ROW() - ROW(Table626893456791011347[[#Headers],[SL]])</f>
        <v>197</v>
      </c>
      <c r="B203" s="852"/>
      <c r="C203" s="105"/>
      <c r="D203" s="105"/>
      <c r="E203" s="105"/>
      <c r="F203" s="105"/>
      <c r="G203" s="829"/>
      <c r="H203" s="248"/>
      <c r="I203" s="849"/>
      <c r="J203" s="115"/>
      <c r="K203" s="115"/>
      <c r="L203" s="366"/>
      <c r="M203" s="848"/>
      <c r="N203" s="217"/>
      <c r="O203" s="106"/>
      <c r="P203" s="106"/>
      <c r="Q203" s="840"/>
      <c r="R203" s="106"/>
      <c r="S203" s="852"/>
      <c r="T203" s="106"/>
      <c r="U203" s="106"/>
      <c r="V203" s="1260">
        <f>Table626893456791011347[[#This Row],[Offer Value]]-Table626893456791011347[[#This Row],[PO Value]]</f>
        <v>0</v>
      </c>
      <c r="W203" s="106"/>
      <c r="X203" s="106"/>
      <c r="Y203" s="217"/>
      <c r="Z203" s="257"/>
      <c r="AA203" s="603"/>
    </row>
    <row r="204" spans="1:27" s="259" customFormat="1" ht="18">
      <c r="A204" s="289">
        <f>ROW() - ROW(Table626893456791011347[[#Headers],[SL]])</f>
        <v>198</v>
      </c>
      <c r="B204" s="852"/>
      <c r="C204" s="105"/>
      <c r="D204" s="105"/>
      <c r="E204" s="113"/>
      <c r="F204" s="113"/>
      <c r="G204" s="830"/>
      <c r="H204" s="248"/>
      <c r="I204" s="890"/>
      <c r="J204" s="115"/>
      <c r="K204" s="115"/>
      <c r="L204" s="366"/>
      <c r="M204" s="848"/>
      <c r="N204" s="217"/>
      <c r="O204" s="106"/>
      <c r="P204" s="106"/>
      <c r="Q204" s="840"/>
      <c r="R204" s="107"/>
      <c r="S204" s="852"/>
      <c r="T204" s="106"/>
      <c r="U204" s="106"/>
      <c r="V204" s="1260">
        <f>Table626893456791011347[[#This Row],[Offer Value]]-Table626893456791011347[[#This Row],[PO Value]]</f>
        <v>0</v>
      </c>
      <c r="W204" s="106"/>
      <c r="X204" s="106"/>
      <c r="Y204" s="617"/>
      <c r="Z204" s="257"/>
      <c r="AA204" s="603"/>
    </row>
    <row r="205" spans="1:27" s="259" customFormat="1" ht="18">
      <c r="A205" s="289">
        <f>ROW() - ROW(Table626893456791011347[[#Headers],[SL]])</f>
        <v>199</v>
      </c>
      <c r="B205" s="852"/>
      <c r="C205" s="105"/>
      <c r="D205" s="105"/>
      <c r="E205" s="105"/>
      <c r="F205" s="105"/>
      <c r="G205" s="829"/>
      <c r="H205" s="248"/>
      <c r="I205" s="849"/>
      <c r="J205" s="115"/>
      <c r="K205" s="115"/>
      <c r="L205" s="366"/>
      <c r="M205" s="848"/>
      <c r="N205" s="217"/>
      <c r="O205" s="106"/>
      <c r="P205" s="106"/>
      <c r="Q205" s="840"/>
      <c r="R205" s="106"/>
      <c r="S205" s="852"/>
      <c r="T205" s="106"/>
      <c r="U205" s="106"/>
      <c r="V205" s="1260">
        <f>Table626893456791011347[[#This Row],[Offer Value]]-Table626893456791011347[[#This Row],[PO Value]]</f>
        <v>0</v>
      </c>
      <c r="W205" s="106"/>
      <c r="X205" s="106"/>
      <c r="Y205" s="217"/>
      <c r="Z205" s="257"/>
      <c r="AA205" s="603"/>
    </row>
    <row r="206" spans="1:27" s="259" customFormat="1" ht="18">
      <c r="A206" s="289">
        <f>ROW() - ROW(Table626893456791011347[[#Headers],[SL]])</f>
        <v>200</v>
      </c>
      <c r="B206" s="851"/>
      <c r="C206" s="105"/>
      <c r="D206" s="105"/>
      <c r="E206" s="108"/>
      <c r="F206" s="108"/>
      <c r="G206" s="829"/>
      <c r="H206" s="250"/>
      <c r="I206" s="849"/>
      <c r="J206" s="115"/>
      <c r="K206" s="115"/>
      <c r="L206" s="366"/>
      <c r="M206" s="848"/>
      <c r="N206" s="217"/>
      <c r="O206" s="106"/>
      <c r="P206" s="106"/>
      <c r="Q206" s="840"/>
      <c r="R206" s="106"/>
      <c r="S206" s="852"/>
      <c r="T206" s="106"/>
      <c r="U206" s="106"/>
      <c r="V206" s="1260">
        <f>Table626893456791011347[[#This Row],[Offer Value]]-Table626893456791011347[[#This Row],[PO Value]]</f>
        <v>0</v>
      </c>
      <c r="W206" s="106"/>
      <c r="X206" s="106"/>
      <c r="Y206" s="217"/>
      <c r="Z206" s="257"/>
      <c r="AA206" s="603"/>
    </row>
    <row r="207" spans="1:27" s="259" customFormat="1" ht="18">
      <c r="A207" s="289">
        <f>ROW() - ROW(Table626893456791011347[[#Headers],[SL]])</f>
        <v>201</v>
      </c>
      <c r="B207" s="851"/>
      <c r="C207" s="105"/>
      <c r="D207" s="105"/>
      <c r="E207" s="108"/>
      <c r="F207" s="108"/>
      <c r="G207" s="829"/>
      <c r="H207" s="250"/>
      <c r="I207" s="849"/>
      <c r="J207" s="115"/>
      <c r="K207" s="115"/>
      <c r="L207" s="366"/>
      <c r="M207" s="848"/>
      <c r="N207" s="217"/>
      <c r="O207" s="106"/>
      <c r="P207" s="106"/>
      <c r="Q207" s="840"/>
      <c r="R207" s="106"/>
      <c r="S207" s="852"/>
      <c r="T207" s="106"/>
      <c r="U207" s="106"/>
      <c r="V207" s="1260">
        <f>Table626893456791011347[[#This Row],[Offer Value]]-Table626893456791011347[[#This Row],[PO Value]]</f>
        <v>0</v>
      </c>
      <c r="W207" s="106"/>
      <c r="X207" s="106"/>
      <c r="Y207" s="217"/>
      <c r="Z207" s="257"/>
      <c r="AA207" s="603"/>
    </row>
    <row r="208" spans="1:27" s="259" customFormat="1" ht="18">
      <c r="A208" s="289">
        <f>ROW() - ROW(Table626893456791011347[[#Headers],[SL]])</f>
        <v>202</v>
      </c>
      <c r="B208" s="851"/>
      <c r="C208" s="105"/>
      <c r="D208" s="105"/>
      <c r="E208" s="303"/>
      <c r="F208" s="303"/>
      <c r="G208" s="831"/>
      <c r="H208" s="250"/>
      <c r="I208" s="849"/>
      <c r="J208" s="115"/>
      <c r="K208" s="115"/>
      <c r="L208" s="366"/>
      <c r="M208" s="848"/>
      <c r="N208" s="217"/>
      <c r="O208" s="106"/>
      <c r="P208" s="106"/>
      <c r="Q208" s="840"/>
      <c r="R208" s="107"/>
      <c r="S208" s="852"/>
      <c r="T208" s="106"/>
      <c r="U208" s="106"/>
      <c r="V208" s="1260">
        <f>Table626893456791011347[[#This Row],[Offer Value]]-Table626893456791011347[[#This Row],[PO Value]]</f>
        <v>0</v>
      </c>
      <c r="W208" s="106"/>
      <c r="X208" s="106"/>
      <c r="Y208" s="617"/>
      <c r="Z208" s="257"/>
      <c r="AA208" s="603"/>
    </row>
    <row r="209" spans="1:27" s="259" customFormat="1" ht="18">
      <c r="A209" s="289">
        <f>ROW() - ROW(Table626893456791011347[[#Headers],[SL]])</f>
        <v>203</v>
      </c>
      <c r="B209" s="851"/>
      <c r="C209" s="105"/>
      <c r="D209" s="105"/>
      <c r="E209" s="108"/>
      <c r="F209" s="108"/>
      <c r="G209" s="828"/>
      <c r="H209" s="251"/>
      <c r="I209" s="1916"/>
      <c r="J209" s="115"/>
      <c r="K209" s="115"/>
      <c r="L209" s="366"/>
      <c r="M209" s="848"/>
      <c r="N209" s="217"/>
      <c r="O209" s="106"/>
      <c r="P209" s="106"/>
      <c r="Q209" s="840"/>
      <c r="R209" s="107"/>
      <c r="S209" s="852"/>
      <c r="T209" s="106"/>
      <c r="U209" s="106"/>
      <c r="V209" s="1260">
        <f>Table626893456791011347[[#This Row],[Offer Value]]-Table626893456791011347[[#This Row],[PO Value]]</f>
        <v>0</v>
      </c>
      <c r="W209" s="106"/>
      <c r="X209" s="106"/>
      <c r="Y209" s="617"/>
      <c r="Z209" s="257"/>
      <c r="AA209" s="603"/>
    </row>
    <row r="210" spans="1:27" s="259" customFormat="1" ht="18">
      <c r="A210" s="289">
        <f>ROW() - ROW(Table626893456791011347[[#Headers],[SL]])</f>
        <v>204</v>
      </c>
      <c r="B210" s="851"/>
      <c r="C210" s="105"/>
      <c r="D210" s="105"/>
      <c r="E210" s="108"/>
      <c r="F210" s="108"/>
      <c r="G210" s="828"/>
      <c r="H210" s="251"/>
      <c r="I210" s="1916"/>
      <c r="J210" s="115"/>
      <c r="K210" s="115"/>
      <c r="L210" s="366"/>
      <c r="M210" s="848"/>
      <c r="N210" s="217"/>
      <c r="O210" s="106"/>
      <c r="P210" s="106"/>
      <c r="Q210" s="840"/>
      <c r="R210" s="106"/>
      <c r="S210" s="852"/>
      <c r="T210" s="106"/>
      <c r="U210" s="106"/>
      <c r="V210" s="1260">
        <f>Table626893456791011347[[#This Row],[Offer Value]]-Table626893456791011347[[#This Row],[PO Value]]</f>
        <v>0</v>
      </c>
      <c r="W210" s="106"/>
      <c r="X210" s="106"/>
      <c r="Y210" s="217"/>
      <c r="Z210" s="257"/>
      <c r="AA210" s="603"/>
    </row>
    <row r="211" spans="1:27" s="259" customFormat="1" ht="18">
      <c r="A211" s="289">
        <f>ROW() - ROW(Table626893456791011347[[#Headers],[SL]])</f>
        <v>205</v>
      </c>
      <c r="B211" s="851"/>
      <c r="C211" s="105"/>
      <c r="D211" s="105"/>
      <c r="E211" s="108"/>
      <c r="F211" s="108"/>
      <c r="G211" s="828"/>
      <c r="H211" s="251"/>
      <c r="I211" s="1916"/>
      <c r="J211" s="115"/>
      <c r="K211" s="115"/>
      <c r="L211" s="366"/>
      <c r="M211" s="848"/>
      <c r="N211" s="217"/>
      <c r="O211" s="106"/>
      <c r="P211" s="106"/>
      <c r="Q211" s="840"/>
      <c r="R211" s="106"/>
      <c r="S211" s="852"/>
      <c r="T211" s="106"/>
      <c r="U211" s="106"/>
      <c r="V211" s="1260">
        <f>Table626893456791011347[[#This Row],[Offer Value]]-Table626893456791011347[[#This Row],[PO Value]]</f>
        <v>0</v>
      </c>
      <c r="W211" s="106"/>
      <c r="X211" s="106"/>
      <c r="Y211" s="217"/>
      <c r="Z211" s="257"/>
      <c r="AA211" s="603"/>
    </row>
    <row r="212" spans="1:27" s="259" customFormat="1" ht="18">
      <c r="A212" s="289">
        <f>ROW() - ROW(Table626893456791011347[[#Headers],[SL]])</f>
        <v>206</v>
      </c>
      <c r="B212" s="851"/>
      <c r="C212" s="105"/>
      <c r="D212" s="105"/>
      <c r="E212" s="108"/>
      <c r="F212" s="105"/>
      <c r="G212" s="829"/>
      <c r="H212" s="248"/>
      <c r="I212" s="849"/>
      <c r="J212" s="115"/>
      <c r="K212" s="115"/>
      <c r="L212" s="366"/>
      <c r="M212" s="848"/>
      <c r="N212" s="217"/>
      <c r="O212" s="106"/>
      <c r="P212" s="106"/>
      <c r="Q212" s="840"/>
      <c r="R212" s="106"/>
      <c r="S212" s="852"/>
      <c r="T212" s="106"/>
      <c r="U212" s="106"/>
      <c r="V212" s="1260">
        <f>Table626893456791011347[[#This Row],[Offer Value]]-Table626893456791011347[[#This Row],[PO Value]]</f>
        <v>0</v>
      </c>
      <c r="W212" s="106"/>
      <c r="X212" s="106"/>
      <c r="Y212" s="217"/>
      <c r="Z212" s="257"/>
      <c r="AA212" s="603"/>
    </row>
    <row r="213" spans="1:27" s="259" customFormat="1" ht="18">
      <c r="A213" s="289">
        <f>ROW() - ROW(Table626893456791011347[[#Headers],[SL]])</f>
        <v>207</v>
      </c>
      <c r="B213" s="851"/>
      <c r="C213" s="105"/>
      <c r="D213" s="105"/>
      <c r="E213" s="108"/>
      <c r="F213" s="105"/>
      <c r="G213" s="829"/>
      <c r="H213" s="248"/>
      <c r="I213" s="849"/>
      <c r="J213" s="115"/>
      <c r="K213" s="115"/>
      <c r="L213" s="366"/>
      <c r="M213" s="848"/>
      <c r="N213" s="217"/>
      <c r="O213" s="106"/>
      <c r="P213" s="106"/>
      <c r="Q213" s="840"/>
      <c r="R213" s="107"/>
      <c r="S213" s="852"/>
      <c r="T213" s="106"/>
      <c r="U213" s="106"/>
      <c r="V213" s="1260">
        <f>Table626893456791011347[[#This Row],[Offer Value]]-Table626893456791011347[[#This Row],[PO Value]]</f>
        <v>0</v>
      </c>
      <c r="W213" s="106"/>
      <c r="X213" s="106"/>
      <c r="Y213" s="617"/>
      <c r="Z213" s="257"/>
      <c r="AA213" s="603"/>
    </row>
    <row r="214" spans="1:27" s="259" customFormat="1" ht="18">
      <c r="A214" s="289">
        <f>ROW() - ROW(Table626893456791011347[[#Headers],[SL]])</f>
        <v>208</v>
      </c>
      <c r="B214" s="851"/>
      <c r="C214" s="105"/>
      <c r="D214" s="105"/>
      <c r="E214" s="108"/>
      <c r="F214" s="105"/>
      <c r="G214" s="829"/>
      <c r="H214" s="248"/>
      <c r="I214" s="849"/>
      <c r="J214" s="115"/>
      <c r="K214" s="115"/>
      <c r="L214" s="366"/>
      <c r="M214" s="848"/>
      <c r="N214" s="217"/>
      <c r="O214" s="106"/>
      <c r="P214" s="106"/>
      <c r="Q214" s="840"/>
      <c r="R214" s="106"/>
      <c r="S214" s="852"/>
      <c r="T214" s="106"/>
      <c r="U214" s="106"/>
      <c r="V214" s="1260">
        <f>Table626893456791011347[[#This Row],[Offer Value]]-Table626893456791011347[[#This Row],[PO Value]]</f>
        <v>0</v>
      </c>
      <c r="W214" s="106"/>
      <c r="X214" s="106"/>
      <c r="Y214" s="217"/>
      <c r="Z214" s="257"/>
      <c r="AA214" s="603"/>
    </row>
    <row r="215" spans="1:27" s="259" customFormat="1" ht="18">
      <c r="A215" s="289">
        <f>ROW() - ROW(Table626893456791011347[[#Headers],[SL]])</f>
        <v>209</v>
      </c>
      <c r="B215" s="851"/>
      <c r="C215" s="105"/>
      <c r="D215" s="105"/>
      <c r="E215" s="105"/>
      <c r="F215" s="105"/>
      <c r="G215" s="829"/>
      <c r="H215" s="250"/>
      <c r="I215" s="849"/>
      <c r="J215" s="115"/>
      <c r="K215" s="115"/>
      <c r="L215" s="366"/>
      <c r="M215" s="848"/>
      <c r="N215" s="217"/>
      <c r="O215" s="106"/>
      <c r="P215" s="106"/>
      <c r="Q215" s="840"/>
      <c r="R215" s="107"/>
      <c r="S215" s="852"/>
      <c r="T215" s="106"/>
      <c r="U215" s="106"/>
      <c r="V215" s="1260">
        <f>Table626893456791011347[[#This Row],[Offer Value]]-Table626893456791011347[[#This Row],[PO Value]]</f>
        <v>0</v>
      </c>
      <c r="W215" s="106"/>
      <c r="X215" s="106"/>
      <c r="Y215" s="617"/>
      <c r="Z215" s="257"/>
      <c r="AA215" s="603"/>
    </row>
    <row r="216" spans="1:27" s="259" customFormat="1" ht="18">
      <c r="A216" s="289">
        <f>ROW() - ROW(Table626893456791011347[[#Headers],[SL]])</f>
        <v>210</v>
      </c>
      <c r="B216" s="851"/>
      <c r="C216" s="105"/>
      <c r="D216" s="105"/>
      <c r="E216" s="304"/>
      <c r="F216" s="304"/>
      <c r="G216" s="833"/>
      <c r="H216" s="182"/>
      <c r="I216" s="304"/>
      <c r="J216" s="115"/>
      <c r="K216" s="115"/>
      <c r="L216" s="366"/>
      <c r="M216" s="848"/>
      <c r="N216" s="217"/>
      <c r="O216" s="106"/>
      <c r="P216" s="106"/>
      <c r="Q216" s="840"/>
      <c r="R216" s="106"/>
      <c r="S216" s="852"/>
      <c r="T216" s="106"/>
      <c r="U216" s="106"/>
      <c r="V216" s="1260">
        <f>Table626893456791011347[[#This Row],[Offer Value]]-Table626893456791011347[[#This Row],[PO Value]]</f>
        <v>0</v>
      </c>
      <c r="W216" s="110"/>
      <c r="X216" s="110"/>
      <c r="Y216" s="217"/>
      <c r="Z216" s="353"/>
      <c r="AA216" s="603"/>
    </row>
    <row r="217" spans="1:27" s="259" customFormat="1" ht="18">
      <c r="A217" s="289">
        <f>ROW() - ROW(Table626893456791011347[[#Headers],[SL]])</f>
        <v>211</v>
      </c>
      <c r="B217" s="851"/>
      <c r="C217" s="105"/>
      <c r="D217" s="105"/>
      <c r="E217" s="105"/>
      <c r="F217" s="105"/>
      <c r="G217" s="829"/>
      <c r="H217" s="248"/>
      <c r="I217" s="849"/>
      <c r="J217" s="115"/>
      <c r="K217" s="115"/>
      <c r="L217" s="366"/>
      <c r="M217" s="848"/>
      <c r="N217" s="217"/>
      <c r="O217" s="106"/>
      <c r="P217" s="106"/>
      <c r="Q217" s="840"/>
      <c r="R217" s="106"/>
      <c r="S217" s="852"/>
      <c r="T217" s="106"/>
      <c r="U217" s="106"/>
      <c r="V217" s="1260">
        <f>Table626893456791011347[[#This Row],[Offer Value]]-Table626893456791011347[[#This Row],[PO Value]]</f>
        <v>0</v>
      </c>
      <c r="W217" s="106"/>
      <c r="X217" s="106"/>
      <c r="Y217" s="217"/>
      <c r="Z217" s="257"/>
      <c r="AA217" s="603"/>
    </row>
    <row r="218" spans="1:27" s="259" customFormat="1" ht="18">
      <c r="A218" s="289">
        <f>ROW() - ROW(Table626893456791011347[[#Headers],[SL]])</f>
        <v>212</v>
      </c>
      <c r="B218" s="851"/>
      <c r="C218" s="105"/>
      <c r="D218" s="105"/>
      <c r="E218" s="105"/>
      <c r="F218" s="105"/>
      <c r="G218" s="829"/>
      <c r="H218" s="248"/>
      <c r="I218" s="849"/>
      <c r="J218" s="115"/>
      <c r="K218" s="115"/>
      <c r="L218" s="366"/>
      <c r="M218" s="848"/>
      <c r="N218" s="217"/>
      <c r="O218" s="106"/>
      <c r="P218" s="106"/>
      <c r="Q218" s="840"/>
      <c r="R218" s="106"/>
      <c r="S218" s="852"/>
      <c r="T218" s="106"/>
      <c r="U218" s="106"/>
      <c r="V218" s="1260">
        <f>Table626893456791011347[[#This Row],[Offer Value]]-Table626893456791011347[[#This Row],[PO Value]]</f>
        <v>0</v>
      </c>
      <c r="W218" s="106"/>
      <c r="X218" s="106"/>
      <c r="Y218" s="217"/>
      <c r="Z218" s="257"/>
      <c r="AA218" s="603"/>
    </row>
    <row r="219" spans="1:27" s="259" customFormat="1" ht="18">
      <c r="A219" s="289">
        <f>ROW() - ROW(Table626893456791011347[[#Headers],[SL]])</f>
        <v>213</v>
      </c>
      <c r="B219" s="851"/>
      <c r="C219" s="105"/>
      <c r="D219" s="105"/>
      <c r="E219" s="105"/>
      <c r="F219" s="105"/>
      <c r="G219" s="829"/>
      <c r="H219" s="248"/>
      <c r="I219" s="849"/>
      <c r="J219" s="115"/>
      <c r="K219" s="115"/>
      <c r="L219" s="105"/>
      <c r="M219" s="848"/>
      <c r="N219" s="217"/>
      <c r="O219" s="106"/>
      <c r="P219" s="106"/>
      <c r="Q219" s="840"/>
      <c r="R219" s="107"/>
      <c r="S219" s="852"/>
      <c r="T219" s="106"/>
      <c r="U219" s="106"/>
      <c r="V219" s="1260">
        <f>Table626893456791011347[[#This Row],[Offer Value]]-Table626893456791011347[[#This Row],[PO Value]]</f>
        <v>0</v>
      </c>
      <c r="W219" s="106"/>
      <c r="X219" s="106"/>
      <c r="Y219" s="617"/>
      <c r="Z219" s="257"/>
      <c r="AA219" s="603"/>
    </row>
    <row r="220" spans="1:27" s="259" customFormat="1" ht="18">
      <c r="A220" s="289">
        <f>ROW() - ROW(Table626893456791011347[[#Headers],[SL]])</f>
        <v>214</v>
      </c>
      <c r="B220" s="851"/>
      <c r="C220" s="105"/>
      <c r="D220" s="105"/>
      <c r="E220" s="105"/>
      <c r="F220" s="105"/>
      <c r="G220" s="829"/>
      <c r="H220" s="248"/>
      <c r="I220" s="849"/>
      <c r="J220" s="115"/>
      <c r="K220" s="115"/>
      <c r="L220" s="105"/>
      <c r="M220" s="848"/>
      <c r="N220" s="217"/>
      <c r="O220" s="106"/>
      <c r="P220" s="106"/>
      <c r="Q220" s="840"/>
      <c r="R220" s="106"/>
      <c r="S220" s="852"/>
      <c r="T220" s="106"/>
      <c r="U220" s="106"/>
      <c r="V220" s="1260">
        <f>Table626893456791011347[[#This Row],[Offer Value]]-Table626893456791011347[[#This Row],[PO Value]]</f>
        <v>0</v>
      </c>
      <c r="W220" s="106"/>
      <c r="X220" s="106"/>
      <c r="Y220" s="217"/>
      <c r="Z220" s="257"/>
      <c r="AA220" s="603"/>
    </row>
    <row r="221" spans="1:27" s="259" customFormat="1" ht="18">
      <c r="A221" s="289">
        <f>ROW() - ROW(Table626893456791011347[[#Headers],[SL]])</f>
        <v>215</v>
      </c>
      <c r="B221" s="851"/>
      <c r="C221" s="105"/>
      <c r="D221" s="105"/>
      <c r="E221" s="105"/>
      <c r="F221" s="105"/>
      <c r="G221" s="829"/>
      <c r="H221" s="248"/>
      <c r="I221" s="849"/>
      <c r="J221" s="115"/>
      <c r="K221" s="115"/>
      <c r="L221" s="105"/>
      <c r="M221" s="848"/>
      <c r="N221" s="217"/>
      <c r="O221" s="106"/>
      <c r="P221" s="106"/>
      <c r="Q221" s="840"/>
      <c r="R221" s="106"/>
      <c r="S221" s="852"/>
      <c r="T221" s="106"/>
      <c r="U221" s="106"/>
      <c r="V221" s="1260">
        <f>Table626893456791011347[[#This Row],[Offer Value]]-Table626893456791011347[[#This Row],[PO Value]]</f>
        <v>0</v>
      </c>
      <c r="W221" s="106"/>
      <c r="X221" s="106"/>
      <c r="Y221" s="217"/>
      <c r="Z221" s="257"/>
      <c r="AA221" s="603"/>
    </row>
    <row r="222" spans="1:27" s="259" customFormat="1" ht="18">
      <c r="A222" s="289">
        <f>ROW() - ROW(Table626893456791011347[[#Headers],[SL]])</f>
        <v>216</v>
      </c>
      <c r="B222" s="851"/>
      <c r="C222" s="105"/>
      <c r="D222" s="105"/>
      <c r="E222" s="108"/>
      <c r="F222" s="108"/>
      <c r="G222" s="828"/>
      <c r="H222" s="251"/>
      <c r="I222" s="849"/>
      <c r="J222" s="115"/>
      <c r="K222" s="115"/>
      <c r="L222" s="366"/>
      <c r="M222" s="848"/>
      <c r="N222" s="217"/>
      <c r="O222" s="106"/>
      <c r="P222" s="106"/>
      <c r="Q222" s="840"/>
      <c r="R222" s="106"/>
      <c r="S222" s="852"/>
      <c r="T222" s="106"/>
      <c r="U222" s="106"/>
      <c r="V222" s="1260">
        <f>Table626893456791011347[[#This Row],[Offer Value]]-Table626893456791011347[[#This Row],[PO Value]]</f>
        <v>0</v>
      </c>
      <c r="W222" s="106"/>
      <c r="X222" s="106"/>
      <c r="Y222" s="217"/>
      <c r="Z222" s="257"/>
      <c r="AA222" s="603"/>
    </row>
    <row r="223" spans="1:27" s="259" customFormat="1" ht="18">
      <c r="A223" s="289">
        <f>ROW() - ROW(Table626893456791011347[[#Headers],[SL]])</f>
        <v>217</v>
      </c>
      <c r="B223" s="851"/>
      <c r="C223" s="105"/>
      <c r="D223" s="105"/>
      <c r="E223" s="108"/>
      <c r="F223" s="108"/>
      <c r="G223" s="828"/>
      <c r="H223" s="251"/>
      <c r="I223" s="1916"/>
      <c r="J223" s="115"/>
      <c r="K223" s="115"/>
      <c r="L223" s="366"/>
      <c r="M223" s="848"/>
      <c r="N223" s="217"/>
      <c r="O223" s="106"/>
      <c r="P223" s="106"/>
      <c r="Q223" s="840"/>
      <c r="R223" s="106"/>
      <c r="S223" s="852"/>
      <c r="T223" s="106"/>
      <c r="U223" s="106"/>
      <c r="V223" s="1260">
        <f>Table626893456791011347[[#This Row],[Offer Value]]-Table626893456791011347[[#This Row],[PO Value]]</f>
        <v>0</v>
      </c>
      <c r="W223" s="106"/>
      <c r="X223" s="106"/>
      <c r="Y223" s="217"/>
      <c r="Z223" s="257"/>
      <c r="AA223" s="603"/>
    </row>
    <row r="224" spans="1:27" s="259" customFormat="1" ht="18">
      <c r="A224" s="289">
        <f>ROW() - ROW(Table626893456791011347[[#Headers],[SL]])</f>
        <v>218</v>
      </c>
      <c r="B224" s="851"/>
      <c r="C224" s="105"/>
      <c r="D224" s="105"/>
      <c r="E224" s="105"/>
      <c r="F224" s="105"/>
      <c r="G224" s="829"/>
      <c r="H224" s="250"/>
      <c r="I224" s="849"/>
      <c r="J224" s="115"/>
      <c r="K224" s="115"/>
      <c r="L224" s="366"/>
      <c r="M224" s="848"/>
      <c r="N224" s="217"/>
      <c r="O224" s="106"/>
      <c r="P224" s="106"/>
      <c r="Q224" s="840"/>
      <c r="R224" s="107"/>
      <c r="S224" s="852"/>
      <c r="T224" s="106"/>
      <c r="U224" s="106"/>
      <c r="V224" s="1260">
        <f>Table626893456791011347[[#This Row],[Offer Value]]-Table626893456791011347[[#This Row],[PO Value]]</f>
        <v>0</v>
      </c>
      <c r="W224" s="106"/>
      <c r="X224" s="106"/>
      <c r="Y224" s="617"/>
      <c r="Z224" s="257"/>
      <c r="AA224" s="603"/>
    </row>
    <row r="225" spans="1:27" s="259" customFormat="1" ht="18">
      <c r="A225" s="289">
        <f>ROW() - ROW(Table626893456791011347[[#Headers],[SL]])</f>
        <v>219</v>
      </c>
      <c r="B225" s="851"/>
      <c r="C225" s="105"/>
      <c r="D225" s="105"/>
      <c r="E225" s="105"/>
      <c r="F225" s="105"/>
      <c r="G225" s="829"/>
      <c r="H225" s="250"/>
      <c r="I225" s="849"/>
      <c r="J225" s="115"/>
      <c r="K225" s="115"/>
      <c r="L225" s="366"/>
      <c r="M225" s="848"/>
      <c r="N225" s="217"/>
      <c r="O225" s="106"/>
      <c r="P225" s="106"/>
      <c r="Q225" s="840"/>
      <c r="R225" s="107"/>
      <c r="S225" s="852"/>
      <c r="T225" s="106"/>
      <c r="U225" s="106"/>
      <c r="V225" s="1260">
        <f>Table626893456791011347[[#This Row],[Offer Value]]-Table626893456791011347[[#This Row],[PO Value]]</f>
        <v>0</v>
      </c>
      <c r="W225" s="106"/>
      <c r="X225" s="106"/>
      <c r="Y225" s="217"/>
      <c r="Z225" s="257"/>
      <c r="AA225" s="603"/>
    </row>
    <row r="226" spans="1:27" s="259" customFormat="1" ht="18">
      <c r="A226" s="289">
        <f>ROW() - ROW(Table626893456791011347[[#Headers],[SL]])</f>
        <v>220</v>
      </c>
      <c r="B226" s="851"/>
      <c r="C226" s="105"/>
      <c r="D226" s="105"/>
      <c r="E226" s="105"/>
      <c r="F226" s="105"/>
      <c r="G226" s="829"/>
      <c r="H226" s="250"/>
      <c r="I226" s="849"/>
      <c r="J226" s="115"/>
      <c r="K226" s="115"/>
      <c r="L226" s="366"/>
      <c r="M226" s="848"/>
      <c r="N226" s="217"/>
      <c r="O226" s="106"/>
      <c r="P226" s="106"/>
      <c r="Q226" s="840"/>
      <c r="R226" s="107"/>
      <c r="S226" s="852"/>
      <c r="T226" s="106"/>
      <c r="U226" s="106"/>
      <c r="V226" s="1260">
        <f>Table626893456791011347[[#This Row],[Offer Value]]-Table626893456791011347[[#This Row],[PO Value]]</f>
        <v>0</v>
      </c>
      <c r="W226" s="106"/>
      <c r="X226" s="106"/>
      <c r="Y226" s="217"/>
      <c r="Z226" s="257"/>
      <c r="AA226" s="603"/>
    </row>
    <row r="227" spans="1:27" s="259" customFormat="1" ht="18">
      <c r="A227" s="289">
        <f>ROW() - ROW(Table626893456791011347[[#Headers],[SL]])</f>
        <v>221</v>
      </c>
      <c r="B227" s="851"/>
      <c r="C227" s="105"/>
      <c r="D227" s="105"/>
      <c r="E227" s="108"/>
      <c r="F227" s="108"/>
      <c r="G227" s="828"/>
      <c r="H227" s="251"/>
      <c r="I227" s="1916"/>
      <c r="J227" s="115"/>
      <c r="K227" s="115"/>
      <c r="L227" s="366"/>
      <c r="M227" s="848"/>
      <c r="N227" s="217"/>
      <c r="O227" s="106"/>
      <c r="P227" s="106"/>
      <c r="Q227" s="840"/>
      <c r="R227" s="107"/>
      <c r="S227" s="852"/>
      <c r="T227" s="106"/>
      <c r="U227" s="106"/>
      <c r="V227" s="1260">
        <f>Table626893456791011347[[#This Row],[Offer Value]]-Table626893456791011347[[#This Row],[PO Value]]</f>
        <v>0</v>
      </c>
      <c r="W227" s="106"/>
      <c r="X227" s="106"/>
      <c r="Y227" s="617"/>
      <c r="Z227" s="257"/>
      <c r="AA227" s="603"/>
    </row>
    <row r="228" spans="1:27" s="259" customFormat="1" ht="18">
      <c r="A228" s="289">
        <f>ROW() - ROW(Table626893456791011347[[#Headers],[SL]])</f>
        <v>222</v>
      </c>
      <c r="B228" s="851"/>
      <c r="C228" s="108"/>
      <c r="D228" s="108"/>
      <c r="E228" s="108"/>
      <c r="F228" s="108"/>
      <c r="G228" s="828"/>
      <c r="H228" s="251"/>
      <c r="I228" s="1916"/>
      <c r="J228" s="115"/>
      <c r="K228" s="115"/>
      <c r="L228" s="366"/>
      <c r="M228" s="848"/>
      <c r="N228" s="217"/>
      <c r="O228" s="106"/>
      <c r="P228" s="106"/>
      <c r="Q228" s="840"/>
      <c r="R228" s="107"/>
      <c r="S228" s="852"/>
      <c r="T228" s="106"/>
      <c r="U228" s="106"/>
      <c r="V228" s="1260">
        <f>Table626893456791011347[[#This Row],[Offer Value]]-Table626893456791011347[[#This Row],[PO Value]]</f>
        <v>0</v>
      </c>
      <c r="W228" s="106"/>
      <c r="X228" s="106"/>
      <c r="Y228" s="617"/>
      <c r="Z228" s="257"/>
      <c r="AA228" s="603"/>
    </row>
    <row r="229" spans="1:27" s="259" customFormat="1" ht="18">
      <c r="A229" s="289">
        <f>ROW() - ROW(Table626893456791011347[[#Headers],[SL]])</f>
        <v>223</v>
      </c>
      <c r="B229" s="851"/>
      <c r="C229" s="108"/>
      <c r="D229" s="108"/>
      <c r="E229" s="108"/>
      <c r="F229" s="108"/>
      <c r="G229" s="828"/>
      <c r="H229" s="251"/>
      <c r="I229" s="1916"/>
      <c r="J229" s="115"/>
      <c r="K229" s="115"/>
      <c r="L229" s="366"/>
      <c r="M229" s="848"/>
      <c r="N229" s="217"/>
      <c r="O229" s="106"/>
      <c r="P229" s="106"/>
      <c r="Q229" s="840"/>
      <c r="R229" s="107"/>
      <c r="S229" s="852"/>
      <c r="T229" s="106"/>
      <c r="U229" s="106"/>
      <c r="V229" s="1260">
        <f>Table626893456791011347[[#This Row],[Offer Value]]-Table626893456791011347[[#This Row],[PO Value]]</f>
        <v>0</v>
      </c>
      <c r="W229" s="106"/>
      <c r="X229" s="106"/>
      <c r="Y229" s="217"/>
      <c r="Z229" s="257"/>
      <c r="AA229" s="603"/>
    </row>
    <row r="230" spans="1:27" s="259" customFormat="1" ht="18">
      <c r="A230" s="289">
        <f>ROW() - ROW(Table626893456791011347[[#Headers],[SL]])</f>
        <v>224</v>
      </c>
      <c r="B230" s="851"/>
      <c r="C230" s="108"/>
      <c r="D230" s="108"/>
      <c r="E230" s="108"/>
      <c r="F230" s="108"/>
      <c r="G230" s="828"/>
      <c r="H230" s="251"/>
      <c r="I230" s="849"/>
      <c r="J230" s="115"/>
      <c r="K230" s="115"/>
      <c r="L230" s="366"/>
      <c r="M230" s="848"/>
      <c r="N230" s="217"/>
      <c r="O230" s="106"/>
      <c r="P230" s="106"/>
      <c r="Q230" s="840"/>
      <c r="R230" s="107"/>
      <c r="S230" s="852"/>
      <c r="T230" s="106"/>
      <c r="U230" s="106"/>
      <c r="V230" s="1260">
        <f>Table626893456791011347[[#This Row],[Offer Value]]-Table626893456791011347[[#This Row],[PO Value]]</f>
        <v>0</v>
      </c>
      <c r="W230" s="106"/>
      <c r="X230" s="106"/>
      <c r="Y230" s="617"/>
      <c r="Z230" s="257"/>
      <c r="AA230" s="603"/>
    </row>
    <row r="231" spans="1:27" s="259" customFormat="1" ht="18">
      <c r="A231" s="289">
        <f>ROW() - ROW(Table626893456791011347[[#Headers],[SL]])</f>
        <v>225</v>
      </c>
      <c r="B231" s="851"/>
      <c r="C231" s="108"/>
      <c r="D231" s="108"/>
      <c r="E231" s="108"/>
      <c r="F231" s="108"/>
      <c r="G231" s="828"/>
      <c r="H231" s="251"/>
      <c r="I231" s="849"/>
      <c r="J231" s="115"/>
      <c r="K231" s="115"/>
      <c r="L231" s="366"/>
      <c r="M231" s="848"/>
      <c r="N231" s="217"/>
      <c r="O231" s="106"/>
      <c r="P231" s="106"/>
      <c r="Q231" s="840"/>
      <c r="R231" s="107"/>
      <c r="S231" s="852"/>
      <c r="T231" s="106"/>
      <c r="U231" s="106"/>
      <c r="V231" s="1260">
        <f>Table626893456791011347[[#This Row],[Offer Value]]-Table626893456791011347[[#This Row],[PO Value]]</f>
        <v>0</v>
      </c>
      <c r="W231" s="106"/>
      <c r="X231" s="106"/>
      <c r="Y231" s="617"/>
      <c r="Z231" s="257"/>
      <c r="AA231" s="603"/>
    </row>
    <row r="232" spans="1:27" s="259" customFormat="1" ht="18">
      <c r="A232" s="289">
        <f>ROW() - ROW(Table626893456791011347[[#Headers],[SL]])</f>
        <v>226</v>
      </c>
      <c r="B232" s="851"/>
      <c r="C232" s="108"/>
      <c r="D232" s="108"/>
      <c r="E232" s="108"/>
      <c r="F232" s="108"/>
      <c r="G232" s="828"/>
      <c r="H232" s="251"/>
      <c r="I232" s="849"/>
      <c r="J232" s="115"/>
      <c r="K232" s="115"/>
      <c r="L232" s="366"/>
      <c r="M232" s="848"/>
      <c r="N232" s="217"/>
      <c r="O232" s="106"/>
      <c r="P232" s="106"/>
      <c r="Q232" s="840"/>
      <c r="R232" s="107"/>
      <c r="S232" s="852"/>
      <c r="T232" s="106"/>
      <c r="U232" s="106"/>
      <c r="V232" s="1260">
        <f>Table626893456791011347[[#This Row],[Offer Value]]-Table626893456791011347[[#This Row],[PO Value]]</f>
        <v>0</v>
      </c>
      <c r="W232" s="106"/>
      <c r="X232" s="106"/>
      <c r="Y232" s="617"/>
      <c r="Z232" s="257"/>
      <c r="AA232" s="603"/>
    </row>
    <row r="233" spans="1:27" s="259" customFormat="1" ht="18">
      <c r="A233" s="289">
        <f>ROW() - ROW(Table626893456791011347[[#Headers],[SL]])</f>
        <v>227</v>
      </c>
      <c r="B233" s="851"/>
      <c r="C233" s="304"/>
      <c r="D233" s="303"/>
      <c r="E233" s="304"/>
      <c r="F233" s="304"/>
      <c r="G233" s="833"/>
      <c r="H233" s="182"/>
      <c r="I233" s="304"/>
      <c r="J233" s="115"/>
      <c r="K233" s="115"/>
      <c r="L233" s="366"/>
      <c r="M233" s="848"/>
      <c r="N233" s="217"/>
      <c r="O233" s="106"/>
      <c r="P233" s="106"/>
      <c r="Q233" s="840"/>
      <c r="R233" s="106"/>
      <c r="S233" s="852"/>
      <c r="T233" s="106"/>
      <c r="U233" s="106"/>
      <c r="V233" s="1260">
        <f>Table626893456791011347[[#This Row],[Offer Value]]-Table626893456791011347[[#This Row],[PO Value]]</f>
        <v>0</v>
      </c>
      <c r="W233" s="106"/>
      <c r="X233" s="106"/>
      <c r="Y233" s="217"/>
      <c r="Z233" s="257"/>
      <c r="AA233" s="603"/>
    </row>
    <row r="234" spans="1:27" s="259" customFormat="1" ht="18">
      <c r="A234" s="289">
        <f>ROW() - ROW(Table626893456791011347[[#Headers],[SL]])</f>
        <v>228</v>
      </c>
      <c r="B234" s="852"/>
      <c r="C234" s="304"/>
      <c r="D234" s="303"/>
      <c r="E234" s="304"/>
      <c r="F234" s="304"/>
      <c r="G234" s="833"/>
      <c r="H234" s="182"/>
      <c r="I234" s="304"/>
      <c r="J234" s="115"/>
      <c r="K234" s="115"/>
      <c r="L234" s="366"/>
      <c r="M234" s="848"/>
      <c r="N234" s="217"/>
      <c r="O234" s="106"/>
      <c r="P234" s="106"/>
      <c r="Q234" s="840"/>
      <c r="R234" s="106"/>
      <c r="S234" s="852"/>
      <c r="T234" s="106"/>
      <c r="U234" s="106"/>
      <c r="V234" s="1260">
        <f>Table626893456791011347[[#This Row],[Offer Value]]-Table626893456791011347[[#This Row],[PO Value]]</f>
        <v>0</v>
      </c>
      <c r="W234" s="106"/>
      <c r="X234" s="106"/>
      <c r="Y234" s="217"/>
      <c r="Z234" s="257"/>
      <c r="AA234" s="603"/>
    </row>
    <row r="235" spans="1:27" s="259" customFormat="1" ht="18">
      <c r="A235" s="289">
        <f>ROW() - ROW(Table626893456791011347[[#Headers],[SL]])</f>
        <v>229</v>
      </c>
      <c r="B235" s="852"/>
      <c r="C235" s="304"/>
      <c r="D235" s="303"/>
      <c r="E235" s="304"/>
      <c r="F235" s="304"/>
      <c r="G235" s="833"/>
      <c r="H235" s="182"/>
      <c r="I235" s="304"/>
      <c r="J235" s="115"/>
      <c r="K235" s="115"/>
      <c r="L235" s="366"/>
      <c r="M235" s="848"/>
      <c r="N235" s="217"/>
      <c r="O235" s="106"/>
      <c r="P235" s="106"/>
      <c r="Q235" s="840"/>
      <c r="R235" s="106"/>
      <c r="S235" s="852"/>
      <c r="T235" s="106"/>
      <c r="U235" s="106"/>
      <c r="V235" s="1260">
        <f>Table626893456791011347[[#This Row],[Offer Value]]-Table626893456791011347[[#This Row],[PO Value]]</f>
        <v>0</v>
      </c>
      <c r="W235" s="106"/>
      <c r="X235" s="106"/>
      <c r="Y235" s="217"/>
      <c r="Z235" s="257"/>
      <c r="AA235" s="603"/>
    </row>
    <row r="236" spans="1:27" s="259" customFormat="1" ht="18">
      <c r="A236" s="289">
        <f>ROW() - ROW(Table626893456791011347[[#Headers],[SL]])</f>
        <v>230</v>
      </c>
      <c r="B236" s="852"/>
      <c r="C236" s="304"/>
      <c r="D236" s="303"/>
      <c r="E236" s="304"/>
      <c r="F236" s="304"/>
      <c r="G236" s="833"/>
      <c r="H236" s="182"/>
      <c r="I236" s="304"/>
      <c r="J236" s="115"/>
      <c r="K236" s="115"/>
      <c r="L236" s="366"/>
      <c r="M236" s="848"/>
      <c r="N236" s="217"/>
      <c r="O236" s="106"/>
      <c r="P236" s="106"/>
      <c r="Q236" s="840"/>
      <c r="R236" s="106"/>
      <c r="S236" s="852"/>
      <c r="T236" s="106"/>
      <c r="U236" s="106"/>
      <c r="V236" s="1260">
        <f>Table626893456791011347[[#This Row],[Offer Value]]-Table626893456791011347[[#This Row],[PO Value]]</f>
        <v>0</v>
      </c>
      <c r="W236" s="106"/>
      <c r="X236" s="106"/>
      <c r="Y236" s="217"/>
      <c r="Z236" s="257"/>
      <c r="AA236" s="603"/>
    </row>
    <row r="237" spans="1:27" s="259" customFormat="1" ht="18">
      <c r="A237" s="289">
        <f>ROW() - ROW(Table626893456791011347[[#Headers],[SL]])</f>
        <v>231</v>
      </c>
      <c r="B237" s="852"/>
      <c r="C237" s="304"/>
      <c r="D237" s="303"/>
      <c r="E237" s="304"/>
      <c r="F237" s="304"/>
      <c r="G237" s="833"/>
      <c r="H237" s="182"/>
      <c r="I237" s="304"/>
      <c r="J237" s="115"/>
      <c r="K237" s="115"/>
      <c r="L237" s="366"/>
      <c r="M237" s="848"/>
      <c r="N237" s="217"/>
      <c r="O237" s="106"/>
      <c r="P237" s="106"/>
      <c r="Q237" s="840"/>
      <c r="R237" s="106"/>
      <c r="S237" s="852"/>
      <c r="T237" s="106"/>
      <c r="U237" s="106"/>
      <c r="V237" s="1260">
        <f>Table626893456791011347[[#This Row],[Offer Value]]-Table626893456791011347[[#This Row],[PO Value]]</f>
        <v>0</v>
      </c>
      <c r="W237" s="106"/>
      <c r="X237" s="106"/>
      <c r="Y237" s="217"/>
      <c r="Z237" s="257"/>
      <c r="AA237" s="603"/>
    </row>
    <row r="238" spans="1:27" s="259" customFormat="1" ht="18">
      <c r="A238" s="289">
        <f>ROW() - ROW(Table626893456791011347[[#Headers],[SL]])</f>
        <v>232</v>
      </c>
      <c r="B238" s="851"/>
      <c r="C238" s="105"/>
      <c r="D238" s="108"/>
      <c r="E238" s="108"/>
      <c r="F238" s="108"/>
      <c r="G238" s="828"/>
      <c r="H238" s="251"/>
      <c r="I238" s="849"/>
      <c r="J238" s="115"/>
      <c r="K238" s="366"/>
      <c r="L238" s="366"/>
      <c r="M238" s="848"/>
      <c r="N238" s="217"/>
      <c r="O238" s="106"/>
      <c r="P238" s="106"/>
      <c r="Q238" s="840"/>
      <c r="R238" s="107"/>
      <c r="S238" s="852"/>
      <c r="T238" s="106"/>
      <c r="U238" s="106"/>
      <c r="V238" s="1260">
        <f>Table626893456791011347[[#This Row],[Offer Value]]-Table626893456791011347[[#This Row],[PO Value]]</f>
        <v>0</v>
      </c>
      <c r="W238" s="106"/>
      <c r="X238" s="106"/>
      <c r="Y238" s="617"/>
      <c r="Z238" s="257"/>
      <c r="AA238" s="603"/>
    </row>
    <row r="239" spans="1:27" s="259" customFormat="1" ht="18">
      <c r="A239" s="289">
        <f>ROW() - ROW(Table626893456791011347[[#Headers],[SL]])</f>
        <v>233</v>
      </c>
      <c r="B239" s="852"/>
      <c r="C239" s="105"/>
      <c r="D239" s="108"/>
      <c r="E239" s="108"/>
      <c r="F239" s="108"/>
      <c r="G239" s="828"/>
      <c r="H239" s="251"/>
      <c r="I239" s="849"/>
      <c r="J239" s="115"/>
      <c r="K239" s="115"/>
      <c r="L239" s="366"/>
      <c r="M239" s="848"/>
      <c r="N239" s="217"/>
      <c r="O239" s="106"/>
      <c r="P239" s="106"/>
      <c r="Q239" s="840"/>
      <c r="R239" s="107"/>
      <c r="S239" s="852"/>
      <c r="T239" s="106"/>
      <c r="U239" s="106"/>
      <c r="V239" s="1260">
        <f>Table626893456791011347[[#This Row],[Offer Value]]-Table626893456791011347[[#This Row],[PO Value]]</f>
        <v>0</v>
      </c>
      <c r="W239" s="106"/>
      <c r="X239" s="106"/>
      <c r="Y239" s="617"/>
      <c r="Z239" s="257"/>
      <c r="AA239" s="603"/>
    </row>
    <row r="240" spans="1:27" s="259" customFormat="1" ht="18">
      <c r="A240" s="289">
        <f>ROW() - ROW(Table626893456791011347[[#Headers],[SL]])</f>
        <v>234</v>
      </c>
      <c r="B240" s="851"/>
      <c r="C240" s="105"/>
      <c r="D240" s="108"/>
      <c r="E240" s="108"/>
      <c r="F240" s="108"/>
      <c r="G240" s="828"/>
      <c r="H240" s="251"/>
      <c r="I240" s="849"/>
      <c r="J240" s="115"/>
      <c r="K240" s="115"/>
      <c r="L240" s="366"/>
      <c r="M240" s="848"/>
      <c r="N240" s="217"/>
      <c r="O240" s="106"/>
      <c r="P240" s="106"/>
      <c r="Q240" s="840"/>
      <c r="R240" s="106"/>
      <c r="S240" s="852"/>
      <c r="T240" s="106"/>
      <c r="U240" s="106"/>
      <c r="V240" s="1260">
        <f>Table626893456791011347[[#This Row],[Offer Value]]-Table626893456791011347[[#This Row],[PO Value]]</f>
        <v>0</v>
      </c>
      <c r="W240" s="106"/>
      <c r="X240" s="106"/>
      <c r="Y240" s="217"/>
      <c r="Z240" s="257"/>
      <c r="AA240" s="603"/>
    </row>
    <row r="241" spans="1:27" s="259" customFormat="1" ht="18">
      <c r="A241" s="289">
        <f>ROW() - ROW(Table626893456791011347[[#Headers],[SL]])</f>
        <v>235</v>
      </c>
      <c r="B241" s="851"/>
      <c r="C241" s="105"/>
      <c r="D241" s="105"/>
      <c r="E241" s="105"/>
      <c r="F241" s="105"/>
      <c r="G241" s="829"/>
      <c r="H241" s="105"/>
      <c r="I241" s="849"/>
      <c r="J241" s="115"/>
      <c r="K241" s="115"/>
      <c r="L241" s="105"/>
      <c r="M241" s="848"/>
      <c r="N241" s="217"/>
      <c r="O241" s="106"/>
      <c r="P241" s="106"/>
      <c r="Q241" s="840"/>
      <c r="R241" s="106"/>
      <c r="S241" s="852"/>
      <c r="T241" s="106"/>
      <c r="U241" s="106"/>
      <c r="V241" s="1260">
        <f>Table626893456791011347[[#This Row],[Offer Value]]-Table626893456791011347[[#This Row],[PO Value]]</f>
        <v>0</v>
      </c>
      <c r="W241" s="106"/>
      <c r="X241" s="106"/>
      <c r="Y241" s="217"/>
      <c r="Z241" s="257"/>
      <c r="AA241" s="603"/>
    </row>
    <row r="242" spans="1:27" s="259" customFormat="1" ht="18">
      <c r="A242" s="289">
        <f>ROW() - ROW(Table626893456791011347[[#Headers],[SL]])</f>
        <v>236</v>
      </c>
      <c r="B242" s="851"/>
      <c r="C242" s="105"/>
      <c r="D242" s="105"/>
      <c r="E242" s="105"/>
      <c r="F242" s="105"/>
      <c r="G242" s="829"/>
      <c r="H242" s="105"/>
      <c r="I242" s="849"/>
      <c r="J242" s="105"/>
      <c r="K242" s="105"/>
      <c r="L242" s="115"/>
      <c r="M242" s="848"/>
      <c r="N242" s="217"/>
      <c r="O242" s="106"/>
      <c r="P242" s="106"/>
      <c r="Q242" s="840"/>
      <c r="R242" s="107"/>
      <c r="S242" s="852"/>
      <c r="T242" s="106"/>
      <c r="U242" s="106"/>
      <c r="V242" s="1260">
        <f>Table626893456791011347[[#This Row],[Offer Value]]-Table626893456791011347[[#This Row],[PO Value]]</f>
        <v>0</v>
      </c>
      <c r="W242" s="106"/>
      <c r="X242" s="106"/>
      <c r="Y242" s="617"/>
      <c r="Z242" s="257"/>
      <c r="AA242" s="603"/>
    </row>
    <row r="243" spans="1:27" s="259" customFormat="1" ht="18">
      <c r="A243" s="289">
        <f>ROW() - ROW(Table626893456791011347[[#Headers],[SL]])</f>
        <v>237</v>
      </c>
      <c r="B243" s="851"/>
      <c r="C243" s="105"/>
      <c r="D243" s="105"/>
      <c r="E243" s="105"/>
      <c r="F243" s="105"/>
      <c r="G243" s="829"/>
      <c r="H243" s="105"/>
      <c r="I243" s="849"/>
      <c r="J243" s="115"/>
      <c r="K243" s="115"/>
      <c r="L243" s="105"/>
      <c r="M243" s="848"/>
      <c r="N243" s="217"/>
      <c r="O243" s="106"/>
      <c r="P243" s="106"/>
      <c r="Q243" s="840"/>
      <c r="R243" s="106"/>
      <c r="S243" s="852"/>
      <c r="T243" s="106"/>
      <c r="U243" s="106"/>
      <c r="V243" s="1260">
        <f>Table626893456791011347[[#This Row],[Offer Value]]-Table626893456791011347[[#This Row],[PO Value]]</f>
        <v>0</v>
      </c>
      <c r="W243" s="106"/>
      <c r="X243" s="106"/>
      <c r="Y243" s="217"/>
      <c r="Z243" s="257"/>
      <c r="AA243" s="603"/>
    </row>
    <row r="244" spans="1:27" s="259" customFormat="1" ht="18">
      <c r="A244" s="289">
        <f>ROW() - ROW(Table626893456791011347[[#Headers],[SL]])</f>
        <v>238</v>
      </c>
      <c r="B244" s="851"/>
      <c r="C244" s="105"/>
      <c r="D244" s="105"/>
      <c r="E244" s="105"/>
      <c r="F244" s="105"/>
      <c r="G244" s="829"/>
      <c r="H244" s="105"/>
      <c r="I244" s="849"/>
      <c r="J244" s="115"/>
      <c r="K244" s="115"/>
      <c r="L244" s="105"/>
      <c r="M244" s="848"/>
      <c r="N244" s="217"/>
      <c r="O244" s="106"/>
      <c r="P244" s="106"/>
      <c r="Q244" s="840"/>
      <c r="R244" s="106"/>
      <c r="S244" s="852"/>
      <c r="T244" s="106"/>
      <c r="U244" s="106"/>
      <c r="V244" s="1260">
        <f>Table626893456791011347[[#This Row],[Offer Value]]-Table626893456791011347[[#This Row],[PO Value]]</f>
        <v>0</v>
      </c>
      <c r="W244" s="106"/>
      <c r="X244" s="106"/>
      <c r="Y244" s="217"/>
      <c r="Z244" s="257"/>
      <c r="AA244" s="603"/>
    </row>
    <row r="245" spans="1:27" s="259" customFormat="1" ht="18">
      <c r="A245" s="289">
        <f>ROW() - ROW(Table626893456791011347[[#Headers],[SL]])</f>
        <v>239</v>
      </c>
      <c r="B245" s="851"/>
      <c r="C245" s="105"/>
      <c r="D245" s="105"/>
      <c r="E245" s="105"/>
      <c r="F245" s="105"/>
      <c r="G245" s="829"/>
      <c r="H245" s="105"/>
      <c r="I245" s="849"/>
      <c r="J245" s="115"/>
      <c r="K245" s="115"/>
      <c r="L245" s="105"/>
      <c r="M245" s="848"/>
      <c r="N245" s="217"/>
      <c r="O245" s="106"/>
      <c r="P245" s="106"/>
      <c r="Q245" s="840"/>
      <c r="R245" s="106"/>
      <c r="S245" s="852"/>
      <c r="T245" s="106"/>
      <c r="U245" s="106"/>
      <c r="V245" s="1260">
        <f>Table626893456791011347[[#This Row],[Offer Value]]-Table626893456791011347[[#This Row],[PO Value]]</f>
        <v>0</v>
      </c>
      <c r="W245" s="106"/>
      <c r="X245" s="106"/>
      <c r="Y245" s="217"/>
      <c r="Z245" s="257"/>
      <c r="AA245" s="603"/>
    </row>
    <row r="246" spans="1:27" s="259" customFormat="1" ht="18">
      <c r="A246" s="289">
        <f>ROW() - ROW(Table626893456791011347[[#Headers],[SL]])</f>
        <v>240</v>
      </c>
      <c r="B246" s="851"/>
      <c r="C246" s="105"/>
      <c r="D246" s="105"/>
      <c r="E246" s="105"/>
      <c r="F246" s="105"/>
      <c r="G246" s="829"/>
      <c r="H246" s="105"/>
      <c r="I246" s="849"/>
      <c r="J246" s="115"/>
      <c r="K246" s="115"/>
      <c r="L246" s="105"/>
      <c r="M246" s="848"/>
      <c r="N246" s="217"/>
      <c r="O246" s="106"/>
      <c r="P246" s="106"/>
      <c r="Q246" s="840"/>
      <c r="R246" s="106"/>
      <c r="S246" s="852"/>
      <c r="T246" s="106"/>
      <c r="U246" s="106"/>
      <c r="V246" s="1260">
        <f>Table626893456791011347[[#This Row],[Offer Value]]-Table626893456791011347[[#This Row],[PO Value]]</f>
        <v>0</v>
      </c>
      <c r="W246" s="106"/>
      <c r="X246" s="106"/>
      <c r="Y246" s="217"/>
      <c r="Z246" s="257"/>
      <c r="AA246" s="603"/>
    </row>
    <row r="247" spans="1:27" s="259" customFormat="1" ht="18">
      <c r="A247" s="289">
        <f>ROW() - ROW(Table626893456791011347[[#Headers],[SL]])</f>
        <v>241</v>
      </c>
      <c r="B247" s="851"/>
      <c r="C247" s="105"/>
      <c r="D247" s="105"/>
      <c r="E247" s="105"/>
      <c r="F247" s="105"/>
      <c r="G247" s="829"/>
      <c r="H247" s="105"/>
      <c r="I247" s="849"/>
      <c r="J247" s="115"/>
      <c r="K247" s="115"/>
      <c r="L247" s="105"/>
      <c r="M247" s="848"/>
      <c r="N247" s="217"/>
      <c r="O247" s="106"/>
      <c r="P247" s="106"/>
      <c r="Q247" s="840"/>
      <c r="R247" s="107"/>
      <c r="S247" s="852"/>
      <c r="T247" s="106"/>
      <c r="U247" s="106"/>
      <c r="V247" s="1260">
        <f>Table626893456791011347[[#This Row],[Offer Value]]-Table626893456791011347[[#This Row],[PO Value]]</f>
        <v>0</v>
      </c>
      <c r="W247" s="106"/>
      <c r="X247" s="106"/>
      <c r="Y247" s="617"/>
      <c r="Z247" s="257"/>
      <c r="AA247"/>
    </row>
    <row r="248" spans="1:27" s="259" customFormat="1" ht="18">
      <c r="A248" s="289">
        <f>ROW() - ROW(Table626893456791011347[[#Headers],[SL]])</f>
        <v>242</v>
      </c>
      <c r="B248" s="851"/>
      <c r="C248" s="105"/>
      <c r="D248" s="105"/>
      <c r="E248" s="105"/>
      <c r="F248" s="105"/>
      <c r="G248" s="829"/>
      <c r="H248" s="105"/>
      <c r="I248" s="849"/>
      <c r="J248" s="115"/>
      <c r="K248" s="115"/>
      <c r="L248" s="105"/>
      <c r="M248" s="848"/>
      <c r="N248" s="217"/>
      <c r="O248" s="106"/>
      <c r="P248" s="106"/>
      <c r="Q248" s="840"/>
      <c r="R248" s="106"/>
      <c r="S248" s="852"/>
      <c r="T248" s="106"/>
      <c r="U248" s="106"/>
      <c r="V248" s="1260">
        <f>Table626893456791011347[[#This Row],[Offer Value]]-Table626893456791011347[[#This Row],[PO Value]]</f>
        <v>0</v>
      </c>
      <c r="W248" s="106"/>
      <c r="X248" s="106"/>
      <c r="Y248" s="217"/>
      <c r="Z248" s="257"/>
      <c r="AA248"/>
    </row>
    <row r="249" spans="1:27" s="259" customFormat="1" ht="18">
      <c r="A249" s="289">
        <f>ROW() - ROW(Table626893456791011347[[#Headers],[SL]])</f>
        <v>243</v>
      </c>
      <c r="B249" s="851"/>
      <c r="C249" s="105"/>
      <c r="D249" s="105"/>
      <c r="E249" s="105"/>
      <c r="F249" s="105"/>
      <c r="G249" s="829"/>
      <c r="H249" s="105"/>
      <c r="I249" s="849"/>
      <c r="J249" s="115"/>
      <c r="K249" s="115"/>
      <c r="L249" s="105"/>
      <c r="M249" s="848"/>
      <c r="N249" s="217"/>
      <c r="O249" s="106"/>
      <c r="P249" s="106"/>
      <c r="Q249" s="840"/>
      <c r="R249" s="107"/>
      <c r="S249" s="852"/>
      <c r="T249" s="106"/>
      <c r="U249" s="106"/>
      <c r="V249" s="1260">
        <f>Table626893456791011347[[#This Row],[Offer Value]]-Table626893456791011347[[#This Row],[PO Value]]</f>
        <v>0</v>
      </c>
      <c r="W249" s="106"/>
      <c r="X249" s="106"/>
      <c r="Y249" s="617"/>
      <c r="Z249" s="257"/>
      <c r="AA249"/>
    </row>
    <row r="250" spans="1:27" s="259" customFormat="1" ht="18">
      <c r="A250" s="289">
        <f>ROW() - ROW(Table626893456791011347[[#Headers],[SL]])</f>
        <v>244</v>
      </c>
      <c r="B250" s="851"/>
      <c r="C250" s="105"/>
      <c r="D250" s="105"/>
      <c r="E250" s="105"/>
      <c r="F250" s="105"/>
      <c r="G250" s="829"/>
      <c r="H250" s="105"/>
      <c r="I250" s="849"/>
      <c r="J250" s="115"/>
      <c r="K250" s="115"/>
      <c r="L250" s="105"/>
      <c r="M250" s="848"/>
      <c r="N250" s="217"/>
      <c r="O250" s="106"/>
      <c r="P250" s="106"/>
      <c r="Q250" s="840"/>
      <c r="R250" s="107"/>
      <c r="S250" s="852"/>
      <c r="T250" s="106"/>
      <c r="U250" s="106"/>
      <c r="V250" s="1260">
        <f>Table626893456791011347[[#This Row],[Offer Value]]-Table626893456791011347[[#This Row],[PO Value]]</f>
        <v>0</v>
      </c>
      <c r="W250" s="106"/>
      <c r="X250" s="106"/>
      <c r="Y250" s="617"/>
      <c r="Z250" s="257"/>
      <c r="AA250"/>
    </row>
    <row r="251" spans="1:27" s="259" customFormat="1" ht="18">
      <c r="A251" s="289">
        <f>ROW() - ROW(Table626893456791011347[[#Headers],[SL]])</f>
        <v>245</v>
      </c>
      <c r="B251" s="851"/>
      <c r="C251" s="105"/>
      <c r="D251" s="105"/>
      <c r="E251" s="105"/>
      <c r="F251" s="105"/>
      <c r="G251" s="829"/>
      <c r="H251" s="105"/>
      <c r="I251" s="849"/>
      <c r="J251" s="115"/>
      <c r="K251" s="115"/>
      <c r="L251" s="105"/>
      <c r="M251" s="848"/>
      <c r="N251" s="217"/>
      <c r="O251" s="106"/>
      <c r="P251" s="106"/>
      <c r="Q251" s="840"/>
      <c r="R251" s="106"/>
      <c r="S251" s="852"/>
      <c r="T251" s="106"/>
      <c r="U251" s="106"/>
      <c r="V251" s="1260">
        <f>Table626893456791011347[[#This Row],[Offer Value]]-Table626893456791011347[[#This Row],[PO Value]]</f>
        <v>0</v>
      </c>
      <c r="W251" s="106"/>
      <c r="X251" s="106"/>
      <c r="Y251" s="217"/>
      <c r="Z251" s="257"/>
      <c r="AA251"/>
    </row>
    <row r="252" spans="1:27" s="259" customFormat="1" ht="18">
      <c r="A252" s="289">
        <f>ROW() - ROW(Table626893456791011347[[#Headers],[SL]])</f>
        <v>246</v>
      </c>
      <c r="B252" s="851"/>
      <c r="C252" s="105"/>
      <c r="D252" s="105"/>
      <c r="E252" s="105"/>
      <c r="F252" s="105"/>
      <c r="G252" s="829"/>
      <c r="H252" s="105"/>
      <c r="I252" s="849"/>
      <c r="J252" s="115"/>
      <c r="K252" s="115"/>
      <c r="L252" s="105"/>
      <c r="M252" s="848"/>
      <c r="N252" s="217"/>
      <c r="O252" s="106"/>
      <c r="P252" s="106"/>
      <c r="Q252" s="840"/>
      <c r="R252" s="106"/>
      <c r="S252" s="852"/>
      <c r="T252" s="106"/>
      <c r="U252" s="106"/>
      <c r="V252" s="1260">
        <f>Table626893456791011347[[#This Row],[Offer Value]]-Table626893456791011347[[#This Row],[PO Value]]</f>
        <v>0</v>
      </c>
      <c r="W252" s="106"/>
      <c r="X252" s="106"/>
      <c r="Y252" s="217"/>
      <c r="Z252" s="257"/>
      <c r="AA252"/>
    </row>
    <row r="253" spans="1:27" s="259" customFormat="1" ht="18">
      <c r="A253" s="289">
        <f>ROW() - ROW(Table626893456791011347[[#Headers],[SL]])</f>
        <v>247</v>
      </c>
      <c r="B253" s="851"/>
      <c r="C253" s="105"/>
      <c r="D253" s="105"/>
      <c r="E253" s="105"/>
      <c r="F253" s="105"/>
      <c r="G253" s="829"/>
      <c r="H253" s="105"/>
      <c r="I253" s="849"/>
      <c r="J253" s="115"/>
      <c r="K253" s="115"/>
      <c r="L253" s="105"/>
      <c r="M253" s="848"/>
      <c r="N253" s="217"/>
      <c r="O253" s="106"/>
      <c r="P253" s="106"/>
      <c r="Q253" s="840"/>
      <c r="R253" s="107"/>
      <c r="S253" s="852"/>
      <c r="T253" s="106"/>
      <c r="U253" s="106"/>
      <c r="V253" s="1260">
        <f>Table626893456791011347[[#This Row],[Offer Value]]-Table626893456791011347[[#This Row],[PO Value]]</f>
        <v>0</v>
      </c>
      <c r="W253" s="106"/>
      <c r="X253" s="106"/>
      <c r="Y253" s="617"/>
      <c r="Z253" s="257"/>
      <c r="AA253"/>
    </row>
    <row r="254" spans="1:27" s="259" customFormat="1" ht="18">
      <c r="A254" s="289">
        <f>ROW() - ROW(Table626893456791011347[[#Headers],[SL]])</f>
        <v>248</v>
      </c>
      <c r="B254" s="851"/>
      <c r="C254" s="105"/>
      <c r="D254" s="105"/>
      <c r="E254" s="105"/>
      <c r="F254" s="105"/>
      <c r="G254" s="829"/>
      <c r="H254" s="105"/>
      <c r="I254" s="849"/>
      <c r="J254" s="115"/>
      <c r="K254" s="115"/>
      <c r="L254" s="105"/>
      <c r="M254" s="848"/>
      <c r="N254" s="217"/>
      <c r="O254" s="106"/>
      <c r="P254" s="106"/>
      <c r="Q254" s="840"/>
      <c r="R254" s="107"/>
      <c r="S254" s="852"/>
      <c r="T254" s="106"/>
      <c r="U254" s="106"/>
      <c r="V254" s="1260">
        <f>Table626893456791011347[[#This Row],[Offer Value]]-Table626893456791011347[[#This Row],[PO Value]]</f>
        <v>0</v>
      </c>
      <c r="W254" s="106"/>
      <c r="X254" s="106"/>
      <c r="Y254" s="617"/>
      <c r="Z254" s="257"/>
      <c r="AA254"/>
    </row>
    <row r="255" spans="1:27" s="259" customFormat="1" ht="18">
      <c r="A255" s="289">
        <f>ROW() - ROW(Table626893456791011347[[#Headers],[SL]])</f>
        <v>249</v>
      </c>
      <c r="B255" s="851"/>
      <c r="C255" s="105"/>
      <c r="D255" s="105"/>
      <c r="E255" s="105"/>
      <c r="F255" s="105"/>
      <c r="G255" s="829"/>
      <c r="H255" s="105"/>
      <c r="I255" s="849"/>
      <c r="J255" s="115"/>
      <c r="K255" s="115"/>
      <c r="L255" s="105"/>
      <c r="M255" s="848"/>
      <c r="N255" s="217"/>
      <c r="O255" s="106"/>
      <c r="P255" s="106"/>
      <c r="Q255" s="840"/>
      <c r="R255" s="106"/>
      <c r="S255" s="852"/>
      <c r="T255" s="106"/>
      <c r="U255" s="106"/>
      <c r="V255" s="1260">
        <f>Table626893456791011347[[#This Row],[Offer Value]]-Table626893456791011347[[#This Row],[PO Value]]</f>
        <v>0</v>
      </c>
      <c r="W255" s="106"/>
      <c r="X255" s="106"/>
      <c r="Y255" s="217"/>
      <c r="Z255" s="257"/>
      <c r="AA255"/>
    </row>
    <row r="256" spans="1:27" s="259" customFormat="1" ht="18">
      <c r="A256" s="289">
        <f>ROW() - ROW(Table626893456791011347[[#Headers],[SL]])</f>
        <v>250</v>
      </c>
      <c r="B256" s="851"/>
      <c r="C256" s="105"/>
      <c r="D256" s="105"/>
      <c r="E256" s="105"/>
      <c r="F256" s="105"/>
      <c r="G256" s="829"/>
      <c r="H256" s="105"/>
      <c r="I256" s="849"/>
      <c r="J256" s="115"/>
      <c r="K256" s="115"/>
      <c r="L256" s="105"/>
      <c r="M256" s="848"/>
      <c r="N256" s="217"/>
      <c r="O256" s="106"/>
      <c r="P256" s="106"/>
      <c r="Q256" s="840"/>
      <c r="R256" s="106"/>
      <c r="S256" s="852"/>
      <c r="T256" s="106"/>
      <c r="U256" s="106"/>
      <c r="V256" s="1260">
        <f>Table626893456791011347[[#This Row],[Offer Value]]-Table626893456791011347[[#This Row],[PO Value]]</f>
        <v>0</v>
      </c>
      <c r="W256" s="106"/>
      <c r="X256" s="106"/>
      <c r="Y256" s="217"/>
      <c r="Z256" s="257"/>
      <c r="AA256"/>
    </row>
    <row r="257" spans="1:27" s="259" customFormat="1" ht="18">
      <c r="A257" s="289">
        <f>ROW() - ROW(Table626893456791011347[[#Headers],[SL]])</f>
        <v>251</v>
      </c>
      <c r="B257" s="851"/>
      <c r="C257" s="117"/>
      <c r="D257" s="117"/>
      <c r="E257" s="117"/>
      <c r="F257" s="117"/>
      <c r="G257" s="834"/>
      <c r="H257" s="117"/>
      <c r="I257" s="889"/>
      <c r="J257" s="108"/>
      <c r="K257" s="108"/>
      <c r="L257" s="105"/>
      <c r="M257" s="848"/>
      <c r="N257" s="217"/>
      <c r="O257" s="106"/>
      <c r="P257" s="106"/>
      <c r="Q257" s="840"/>
      <c r="R257" s="106"/>
      <c r="S257" s="852"/>
      <c r="T257" s="106"/>
      <c r="U257" s="106"/>
      <c r="V257" s="1260">
        <f>Table626893456791011347[[#This Row],[Offer Value]]-Table626893456791011347[[#This Row],[PO Value]]</f>
        <v>0</v>
      </c>
      <c r="W257" s="106"/>
      <c r="X257" s="106"/>
      <c r="Y257" s="217"/>
      <c r="Z257" s="257"/>
      <c r="AA257"/>
    </row>
    <row r="258" spans="1:27" s="259" customFormat="1" ht="18">
      <c r="A258" s="289">
        <f>ROW() - ROW(Table626893456791011347[[#Headers],[SL]])</f>
        <v>252</v>
      </c>
      <c r="B258" s="851"/>
      <c r="C258" s="105"/>
      <c r="D258" s="105"/>
      <c r="E258" s="105"/>
      <c r="F258" s="105"/>
      <c r="G258" s="829"/>
      <c r="H258" s="105"/>
      <c r="I258" s="849"/>
      <c r="J258" s="115"/>
      <c r="K258" s="115"/>
      <c r="L258" s="105"/>
      <c r="M258" s="848"/>
      <c r="N258" s="217"/>
      <c r="O258" s="106"/>
      <c r="P258" s="106"/>
      <c r="Q258" s="840"/>
      <c r="R258" s="106"/>
      <c r="S258" s="852"/>
      <c r="T258" s="106"/>
      <c r="U258" s="106"/>
      <c r="V258" s="1260">
        <f>Table626893456791011347[[#This Row],[Offer Value]]-Table626893456791011347[[#This Row],[PO Value]]</f>
        <v>0</v>
      </c>
      <c r="W258" s="106"/>
      <c r="X258" s="106"/>
      <c r="Y258" s="217"/>
      <c r="Z258" s="257"/>
      <c r="AA258"/>
    </row>
    <row r="259" spans="1:27" s="259" customFormat="1" ht="18">
      <c r="A259" s="289">
        <f>ROW() - ROW(Table626893456791011347[[#Headers],[SL]])</f>
        <v>253</v>
      </c>
      <c r="B259" s="851"/>
      <c r="C259" s="105"/>
      <c r="D259" s="105"/>
      <c r="E259" s="105"/>
      <c r="F259" s="105"/>
      <c r="G259" s="829"/>
      <c r="H259" s="105"/>
      <c r="I259" s="849"/>
      <c r="J259" s="115"/>
      <c r="K259" s="115"/>
      <c r="L259" s="105"/>
      <c r="M259" s="848"/>
      <c r="N259" s="217"/>
      <c r="O259" s="106"/>
      <c r="P259" s="106"/>
      <c r="Q259" s="840"/>
      <c r="R259" s="106"/>
      <c r="S259" s="852"/>
      <c r="T259" s="106"/>
      <c r="U259" s="106"/>
      <c r="V259" s="1260">
        <f>Table626893456791011347[[#This Row],[Offer Value]]-Table626893456791011347[[#This Row],[PO Value]]</f>
        <v>0</v>
      </c>
      <c r="W259" s="106"/>
      <c r="X259" s="106"/>
      <c r="Y259" s="217"/>
      <c r="Z259" s="257"/>
      <c r="AA259"/>
    </row>
    <row r="260" spans="1:27" s="259" customFormat="1" ht="18">
      <c r="A260" s="289">
        <f>ROW() - ROW(Table626893456791011347[[#Headers],[SL]])</f>
        <v>254</v>
      </c>
      <c r="B260" s="851"/>
      <c r="C260" s="105"/>
      <c r="D260" s="105"/>
      <c r="E260" s="105"/>
      <c r="F260" s="105"/>
      <c r="G260" s="829"/>
      <c r="H260" s="105"/>
      <c r="I260" s="849"/>
      <c r="J260" s="115"/>
      <c r="K260" s="115"/>
      <c r="L260" s="105"/>
      <c r="M260" s="848"/>
      <c r="N260" s="217"/>
      <c r="O260" s="106"/>
      <c r="P260" s="106"/>
      <c r="Q260" s="840"/>
      <c r="R260" s="106"/>
      <c r="S260" s="852"/>
      <c r="T260" s="106"/>
      <c r="U260" s="106"/>
      <c r="V260" s="1260">
        <f>Table626893456791011347[[#This Row],[Offer Value]]-Table626893456791011347[[#This Row],[PO Value]]</f>
        <v>0</v>
      </c>
      <c r="W260" s="106"/>
      <c r="X260" s="106"/>
      <c r="Y260" s="217"/>
      <c r="Z260" s="257"/>
      <c r="AA260"/>
    </row>
    <row r="261" spans="1:27" s="259" customFormat="1" ht="18">
      <c r="A261" s="289">
        <f>ROW() - ROW(Table626893456791011347[[#Headers],[SL]])</f>
        <v>255</v>
      </c>
      <c r="B261" s="851"/>
      <c r="C261" s="105"/>
      <c r="D261" s="105"/>
      <c r="E261" s="105"/>
      <c r="F261" s="105"/>
      <c r="G261" s="829"/>
      <c r="H261" s="105"/>
      <c r="I261" s="849"/>
      <c r="J261" s="115"/>
      <c r="K261" s="115"/>
      <c r="L261" s="105"/>
      <c r="M261" s="848"/>
      <c r="N261" s="217"/>
      <c r="O261" s="106"/>
      <c r="P261" s="106"/>
      <c r="Q261" s="840"/>
      <c r="R261" s="106"/>
      <c r="S261" s="852"/>
      <c r="T261" s="106"/>
      <c r="U261" s="106"/>
      <c r="V261" s="1260">
        <f>Table626893456791011347[[#This Row],[Offer Value]]-Table626893456791011347[[#This Row],[PO Value]]</f>
        <v>0</v>
      </c>
      <c r="W261" s="106"/>
      <c r="X261" s="106"/>
      <c r="Y261" s="217"/>
      <c r="Z261" s="257"/>
      <c r="AA261"/>
    </row>
    <row r="262" spans="1:27" s="259" customFormat="1" ht="18">
      <c r="A262" s="289">
        <f>ROW() - ROW(Table626893456791011347[[#Headers],[SL]])</f>
        <v>256</v>
      </c>
      <c r="B262" s="851"/>
      <c r="C262" s="105"/>
      <c r="D262" s="105"/>
      <c r="E262" s="105"/>
      <c r="F262" s="105"/>
      <c r="G262" s="829"/>
      <c r="H262" s="105"/>
      <c r="I262" s="849"/>
      <c r="J262" s="108"/>
      <c r="K262" s="108"/>
      <c r="L262" s="105"/>
      <c r="M262" s="848"/>
      <c r="N262" s="217"/>
      <c r="O262" s="106"/>
      <c r="P262" s="106"/>
      <c r="Q262" s="840"/>
      <c r="R262" s="106"/>
      <c r="S262" s="852"/>
      <c r="T262" s="106"/>
      <c r="U262" s="106"/>
      <c r="V262" s="1260">
        <f>Table626893456791011347[[#This Row],[Offer Value]]-Table626893456791011347[[#This Row],[PO Value]]</f>
        <v>0</v>
      </c>
      <c r="W262" s="106"/>
      <c r="X262" s="106"/>
      <c r="Y262" s="217"/>
      <c r="Z262" s="257"/>
      <c r="AA262"/>
    </row>
    <row r="263" spans="1:27" s="259" customFormat="1" ht="18">
      <c r="A263" s="289">
        <f>ROW() - ROW(Table626893456791011347[[#Headers],[SL]])</f>
        <v>257</v>
      </c>
      <c r="B263" s="851"/>
      <c r="C263" s="105"/>
      <c r="D263" s="105"/>
      <c r="E263" s="105"/>
      <c r="F263" s="105"/>
      <c r="G263" s="829"/>
      <c r="H263" s="105"/>
      <c r="I263" s="849"/>
      <c r="J263" s="108"/>
      <c r="K263" s="108"/>
      <c r="L263" s="105"/>
      <c r="M263" s="848"/>
      <c r="N263" s="217"/>
      <c r="O263" s="106"/>
      <c r="P263" s="106"/>
      <c r="Q263" s="840"/>
      <c r="R263" s="106"/>
      <c r="S263" s="852"/>
      <c r="T263" s="106"/>
      <c r="U263" s="106"/>
      <c r="V263" s="1260">
        <f>Table626893456791011347[[#This Row],[Offer Value]]-Table626893456791011347[[#This Row],[PO Value]]</f>
        <v>0</v>
      </c>
      <c r="W263" s="106"/>
      <c r="X263" s="106"/>
      <c r="Y263" s="217"/>
      <c r="Z263" s="257"/>
      <c r="AA263"/>
    </row>
    <row r="264" spans="1:27" s="259" customFormat="1" ht="18">
      <c r="A264" s="289">
        <f>ROW() - ROW(Table626893456791011347[[#Headers],[SL]])</f>
        <v>258</v>
      </c>
      <c r="B264" s="852"/>
      <c r="C264" s="105"/>
      <c r="D264" s="105"/>
      <c r="E264" s="105"/>
      <c r="F264" s="105"/>
      <c r="G264" s="829"/>
      <c r="H264" s="105"/>
      <c r="I264" s="849"/>
      <c r="J264" s="115"/>
      <c r="K264" s="115"/>
      <c r="L264" s="105"/>
      <c r="M264" s="848"/>
      <c r="N264" s="217"/>
      <c r="O264" s="106"/>
      <c r="P264" s="106"/>
      <c r="Q264" s="840"/>
      <c r="R264" s="106"/>
      <c r="S264" s="852"/>
      <c r="T264" s="106"/>
      <c r="U264" s="106"/>
      <c r="V264" s="1260">
        <f>Table626893456791011347[[#This Row],[Offer Value]]-Table626893456791011347[[#This Row],[PO Value]]</f>
        <v>0</v>
      </c>
      <c r="W264" s="106"/>
      <c r="X264" s="106"/>
      <c r="Y264" s="217"/>
      <c r="Z264" s="257"/>
      <c r="AA264"/>
    </row>
    <row r="265" spans="1:27" s="259" customFormat="1" ht="18">
      <c r="A265" s="289">
        <f>ROW() - ROW(Table626893456791011347[[#Headers],[SL]])</f>
        <v>259</v>
      </c>
      <c r="B265" s="852"/>
      <c r="C265" s="105"/>
      <c r="D265" s="105"/>
      <c r="E265" s="105"/>
      <c r="F265" s="105"/>
      <c r="G265" s="829"/>
      <c r="H265" s="105"/>
      <c r="I265" s="849"/>
      <c r="J265" s="115"/>
      <c r="K265" s="115"/>
      <c r="L265" s="105"/>
      <c r="M265" s="848"/>
      <c r="N265" s="217"/>
      <c r="O265" s="106"/>
      <c r="P265" s="106"/>
      <c r="Q265" s="840"/>
      <c r="R265" s="106"/>
      <c r="S265" s="852"/>
      <c r="T265" s="106"/>
      <c r="U265" s="106"/>
      <c r="V265" s="1260">
        <f>Table626893456791011347[[#This Row],[Offer Value]]-Table626893456791011347[[#This Row],[PO Value]]</f>
        <v>0</v>
      </c>
      <c r="W265" s="106"/>
      <c r="X265" s="106"/>
      <c r="Y265" s="217"/>
      <c r="Z265" s="257"/>
      <c r="AA265"/>
    </row>
    <row r="266" spans="1:27" s="259" customFormat="1" ht="18">
      <c r="A266" s="289">
        <f>ROW() - ROW(Table626893456791011347[[#Headers],[SL]])</f>
        <v>260</v>
      </c>
      <c r="B266" s="852"/>
      <c r="C266" s="105"/>
      <c r="D266" s="105"/>
      <c r="E266" s="105"/>
      <c r="F266" s="105"/>
      <c r="G266" s="829"/>
      <c r="H266" s="105"/>
      <c r="I266" s="849"/>
      <c r="J266" s="115"/>
      <c r="K266" s="115"/>
      <c r="L266" s="105"/>
      <c r="M266" s="848"/>
      <c r="N266" s="217"/>
      <c r="O266" s="106"/>
      <c r="P266" s="106"/>
      <c r="Q266" s="840"/>
      <c r="R266" s="106"/>
      <c r="S266" s="852"/>
      <c r="T266" s="106"/>
      <c r="U266" s="106"/>
      <c r="V266" s="1260">
        <f>Table626893456791011347[[#This Row],[Offer Value]]-Table626893456791011347[[#This Row],[PO Value]]</f>
        <v>0</v>
      </c>
      <c r="W266" s="106"/>
      <c r="X266" s="106"/>
      <c r="Y266" s="217"/>
      <c r="Z266" s="257"/>
      <c r="AA266"/>
    </row>
    <row r="267" spans="1:27" s="259" customFormat="1" ht="18">
      <c r="A267" s="289">
        <f>ROW() - ROW(Table626893456791011347[[#Headers],[SL]])</f>
        <v>261</v>
      </c>
      <c r="B267" s="852"/>
      <c r="C267" s="105"/>
      <c r="D267" s="105"/>
      <c r="E267" s="105"/>
      <c r="F267" s="105"/>
      <c r="G267" s="829"/>
      <c r="H267" s="105"/>
      <c r="I267" s="849"/>
      <c r="J267" s="115"/>
      <c r="K267" s="115"/>
      <c r="L267" s="105"/>
      <c r="M267" s="848"/>
      <c r="N267" s="217"/>
      <c r="O267" s="106"/>
      <c r="P267" s="106"/>
      <c r="Q267" s="840"/>
      <c r="R267" s="107"/>
      <c r="S267" s="852"/>
      <c r="T267" s="106"/>
      <c r="U267" s="106"/>
      <c r="V267" s="1260">
        <f>Table626893456791011347[[#This Row],[Offer Value]]-Table626893456791011347[[#This Row],[PO Value]]</f>
        <v>0</v>
      </c>
      <c r="W267" s="106"/>
      <c r="X267" s="106"/>
      <c r="Y267" s="617"/>
      <c r="Z267" s="257"/>
      <c r="AA267"/>
    </row>
    <row r="268" spans="1:27" s="259" customFormat="1" ht="18">
      <c r="A268" s="289">
        <f>ROW() - ROW(Table626893456791011347[[#Headers],[SL]])</f>
        <v>262</v>
      </c>
      <c r="B268" s="852"/>
      <c r="C268" s="105"/>
      <c r="D268" s="105"/>
      <c r="E268" s="105"/>
      <c r="F268" s="105"/>
      <c r="G268" s="829"/>
      <c r="H268" s="105"/>
      <c r="I268" s="849"/>
      <c r="J268" s="115"/>
      <c r="K268" s="115"/>
      <c r="L268" s="105"/>
      <c r="M268" s="848"/>
      <c r="N268" s="217"/>
      <c r="O268" s="106"/>
      <c r="P268" s="106"/>
      <c r="Q268" s="840"/>
      <c r="R268" s="106"/>
      <c r="S268" s="852"/>
      <c r="T268" s="106"/>
      <c r="U268" s="106"/>
      <c r="V268" s="1260">
        <f>Table626893456791011347[[#This Row],[Offer Value]]-Table626893456791011347[[#This Row],[PO Value]]</f>
        <v>0</v>
      </c>
      <c r="W268" s="106"/>
      <c r="X268" s="106"/>
      <c r="Y268" s="217"/>
      <c r="Z268" s="257"/>
      <c r="AA268"/>
    </row>
    <row r="269" spans="1:27" s="259" customFormat="1" ht="18">
      <c r="A269" s="289">
        <f>ROW() - ROW(Table626893456791011347[[#Headers],[SL]])</f>
        <v>263</v>
      </c>
      <c r="B269" s="852"/>
      <c r="C269" s="105"/>
      <c r="D269" s="105"/>
      <c r="E269" s="105"/>
      <c r="F269" s="105"/>
      <c r="G269" s="829"/>
      <c r="H269" s="105"/>
      <c r="I269" s="849"/>
      <c r="J269" s="115"/>
      <c r="K269" s="115"/>
      <c r="L269" s="105"/>
      <c r="M269" s="848"/>
      <c r="N269" s="217"/>
      <c r="O269" s="106"/>
      <c r="P269" s="106"/>
      <c r="Q269" s="840"/>
      <c r="R269" s="106"/>
      <c r="S269" s="852"/>
      <c r="T269" s="106"/>
      <c r="U269" s="106"/>
      <c r="V269" s="1260">
        <f>Table626893456791011347[[#This Row],[Offer Value]]-Table626893456791011347[[#This Row],[PO Value]]</f>
        <v>0</v>
      </c>
      <c r="W269" s="106"/>
      <c r="X269" s="106"/>
      <c r="Y269" s="217"/>
      <c r="Z269" s="257"/>
      <c r="AA269"/>
    </row>
    <row r="270" spans="1:27" s="259" customFormat="1" ht="18">
      <c r="A270" s="289">
        <f>ROW() - ROW(Table626893456791011347[[#Headers],[SL]])</f>
        <v>264</v>
      </c>
      <c r="B270" s="852"/>
      <c r="C270" s="105"/>
      <c r="D270" s="105"/>
      <c r="E270" s="105"/>
      <c r="F270" s="105"/>
      <c r="G270" s="829"/>
      <c r="H270" s="105"/>
      <c r="I270" s="849"/>
      <c r="J270" s="115"/>
      <c r="K270" s="115"/>
      <c r="L270" s="105"/>
      <c r="M270" s="848"/>
      <c r="N270" s="217"/>
      <c r="O270" s="106"/>
      <c r="P270" s="106"/>
      <c r="Q270" s="840"/>
      <c r="R270" s="106"/>
      <c r="S270" s="852"/>
      <c r="T270" s="106"/>
      <c r="U270" s="106"/>
      <c r="V270" s="1260">
        <f>Table626893456791011347[[#This Row],[Offer Value]]-Table626893456791011347[[#This Row],[PO Value]]</f>
        <v>0</v>
      </c>
      <c r="W270" s="106"/>
      <c r="X270" s="106"/>
      <c r="Y270" s="217"/>
      <c r="Z270" s="257"/>
      <c r="AA270"/>
    </row>
    <row r="271" spans="1:27" s="259" customFormat="1" ht="18">
      <c r="A271" s="289">
        <f>ROW() - ROW(Table626893456791011347[[#Headers],[SL]])</f>
        <v>265</v>
      </c>
      <c r="B271" s="852"/>
      <c r="C271" s="105"/>
      <c r="D271" s="105"/>
      <c r="E271" s="105"/>
      <c r="F271" s="105"/>
      <c r="G271" s="829"/>
      <c r="H271" s="105"/>
      <c r="I271" s="849"/>
      <c r="J271" s="115"/>
      <c r="K271" s="115"/>
      <c r="L271" s="105"/>
      <c r="M271" s="848"/>
      <c r="N271" s="217"/>
      <c r="O271" s="106"/>
      <c r="P271" s="106"/>
      <c r="Q271" s="840"/>
      <c r="R271" s="106"/>
      <c r="S271" s="852"/>
      <c r="T271" s="106"/>
      <c r="U271" s="106"/>
      <c r="V271" s="1260">
        <f>Table626893456791011347[[#This Row],[Offer Value]]-Table626893456791011347[[#This Row],[PO Value]]</f>
        <v>0</v>
      </c>
      <c r="W271" s="106"/>
      <c r="X271" s="106"/>
      <c r="Y271" s="217"/>
      <c r="Z271" s="257"/>
      <c r="AA271"/>
    </row>
    <row r="272" spans="1:27" s="259" customFormat="1" ht="18">
      <c r="A272" s="289">
        <f>ROW() - ROW(Table626893456791011347[[#Headers],[SL]])</f>
        <v>266</v>
      </c>
      <c r="B272" s="852"/>
      <c r="C272" s="105"/>
      <c r="D272" s="105"/>
      <c r="E272" s="105"/>
      <c r="F272" s="105"/>
      <c r="G272" s="829"/>
      <c r="H272" s="105"/>
      <c r="I272" s="849"/>
      <c r="J272" s="115"/>
      <c r="K272" s="115"/>
      <c r="L272" s="105"/>
      <c r="M272" s="848"/>
      <c r="N272" s="217"/>
      <c r="O272" s="106"/>
      <c r="P272" s="106"/>
      <c r="Q272" s="840"/>
      <c r="R272" s="107"/>
      <c r="S272" s="852"/>
      <c r="T272" s="106"/>
      <c r="U272" s="106"/>
      <c r="V272" s="1260">
        <f>Table626893456791011347[[#This Row],[Offer Value]]-Table626893456791011347[[#This Row],[PO Value]]</f>
        <v>0</v>
      </c>
      <c r="W272" s="106"/>
      <c r="X272" s="106"/>
      <c r="Y272" s="617"/>
      <c r="Z272" s="257"/>
      <c r="AA272"/>
    </row>
    <row r="273" spans="1:28" s="259" customFormat="1" ht="18">
      <c r="A273" s="289">
        <f>ROW() - ROW(Table626893456791011347[[#Headers],[SL]])</f>
        <v>267</v>
      </c>
      <c r="B273" s="852"/>
      <c r="C273" s="105"/>
      <c r="D273" s="105"/>
      <c r="E273" s="105"/>
      <c r="F273" s="105"/>
      <c r="G273" s="829"/>
      <c r="H273" s="105"/>
      <c r="I273" s="849"/>
      <c r="J273" s="115"/>
      <c r="K273" s="115"/>
      <c r="L273" s="105"/>
      <c r="M273" s="848"/>
      <c r="N273" s="217"/>
      <c r="O273" s="106"/>
      <c r="P273" s="106"/>
      <c r="Q273" s="840"/>
      <c r="R273" s="106"/>
      <c r="S273" s="852"/>
      <c r="T273" s="106"/>
      <c r="U273" s="106"/>
      <c r="V273" s="1260">
        <f>Table626893456791011347[[#This Row],[Offer Value]]-Table626893456791011347[[#This Row],[PO Value]]</f>
        <v>0</v>
      </c>
      <c r="W273" s="106"/>
      <c r="X273" s="106"/>
      <c r="Y273" s="217"/>
      <c r="Z273" s="257"/>
      <c r="AA273"/>
    </row>
    <row r="274" spans="1:28" s="259" customFormat="1" ht="18">
      <c r="A274" s="289">
        <f>ROW() - ROW(Table626893456791011347[[#Headers],[SL]])</f>
        <v>268</v>
      </c>
      <c r="B274" s="852"/>
      <c r="C274" s="105"/>
      <c r="D274" s="105"/>
      <c r="E274" s="105"/>
      <c r="F274" s="105"/>
      <c r="G274" s="829"/>
      <c r="H274" s="105"/>
      <c r="I274" s="849"/>
      <c r="J274" s="115"/>
      <c r="K274" s="115"/>
      <c r="L274" s="105"/>
      <c r="M274" s="848"/>
      <c r="N274" s="217"/>
      <c r="O274" s="106"/>
      <c r="P274" s="106"/>
      <c r="Q274" s="840"/>
      <c r="R274" s="106"/>
      <c r="S274" s="852"/>
      <c r="T274" s="106"/>
      <c r="U274" s="106"/>
      <c r="V274" s="1260">
        <f>Table626893456791011347[[#This Row],[Offer Value]]-Table626893456791011347[[#This Row],[PO Value]]</f>
        <v>0</v>
      </c>
      <c r="W274" s="106"/>
      <c r="X274" s="106"/>
      <c r="Y274" s="217"/>
      <c r="Z274" s="257"/>
      <c r="AA274"/>
    </row>
    <row r="275" spans="1:28" s="259" customFormat="1" ht="18">
      <c r="A275" s="289">
        <f>ROW() - ROW(Table626893456791011347[[#Headers],[SL]])</f>
        <v>269</v>
      </c>
      <c r="B275" s="852"/>
      <c r="C275" s="105"/>
      <c r="D275" s="105"/>
      <c r="E275" s="105"/>
      <c r="F275" s="105"/>
      <c r="G275" s="829"/>
      <c r="H275" s="105"/>
      <c r="I275" s="849"/>
      <c r="J275" s="115"/>
      <c r="K275" s="115"/>
      <c r="L275" s="105"/>
      <c r="M275" s="848"/>
      <c r="N275" s="217"/>
      <c r="O275" s="106"/>
      <c r="P275" s="106"/>
      <c r="Q275" s="840"/>
      <c r="R275" s="106"/>
      <c r="S275" s="852"/>
      <c r="T275" s="106"/>
      <c r="U275" s="106"/>
      <c r="V275" s="1260">
        <f>Table626893456791011347[[#This Row],[Offer Value]]-Table626893456791011347[[#This Row],[PO Value]]</f>
        <v>0</v>
      </c>
      <c r="W275" s="106"/>
      <c r="X275" s="106"/>
      <c r="Y275" s="217"/>
      <c r="Z275" s="257"/>
      <c r="AA275"/>
      <c r="AB275" s="259" t="s">
        <v>3895</v>
      </c>
    </row>
    <row r="276" spans="1:28" s="259" customFormat="1" ht="18">
      <c r="A276" s="289">
        <f>ROW() - ROW(Table626893456791011347[[#Headers],[SL]])</f>
        <v>270</v>
      </c>
      <c r="B276" s="852"/>
      <c r="C276" s="105"/>
      <c r="D276" s="105"/>
      <c r="E276" s="105"/>
      <c r="F276" s="105"/>
      <c r="G276" s="829"/>
      <c r="H276" s="105"/>
      <c r="I276" s="849"/>
      <c r="J276" s="115"/>
      <c r="K276" s="115"/>
      <c r="L276" s="105"/>
      <c r="M276" s="848"/>
      <c r="N276" s="217"/>
      <c r="O276" s="106"/>
      <c r="P276" s="106"/>
      <c r="Q276" s="840"/>
      <c r="R276" s="106"/>
      <c r="S276" s="852"/>
      <c r="T276" s="106"/>
      <c r="U276" s="106"/>
      <c r="V276" s="1260">
        <f>Table626893456791011347[[#This Row],[Offer Value]]-Table626893456791011347[[#This Row],[PO Value]]</f>
        <v>0</v>
      </c>
      <c r="W276" s="106"/>
      <c r="X276" s="106"/>
      <c r="Y276" s="217"/>
      <c r="Z276" s="257"/>
      <c r="AA276"/>
    </row>
    <row r="277" spans="1:28" s="259" customFormat="1" ht="18">
      <c r="A277" s="289">
        <f>ROW() - ROW(Table626893456791011347[[#Headers],[SL]])</f>
        <v>271</v>
      </c>
      <c r="B277" s="852"/>
      <c r="C277" s="105"/>
      <c r="D277" s="105"/>
      <c r="E277" s="105"/>
      <c r="F277" s="105"/>
      <c r="G277" s="829"/>
      <c r="H277" s="105"/>
      <c r="I277" s="849"/>
      <c r="J277" s="115"/>
      <c r="K277" s="115"/>
      <c r="L277" s="105"/>
      <c r="M277" s="848"/>
      <c r="N277" s="217"/>
      <c r="O277" s="106"/>
      <c r="P277" s="106"/>
      <c r="Q277" s="840"/>
      <c r="R277" s="106"/>
      <c r="S277" s="852"/>
      <c r="T277" s="106"/>
      <c r="U277" s="106"/>
      <c r="V277" s="1260">
        <f>Table626893456791011347[[#This Row],[Offer Value]]-Table626893456791011347[[#This Row],[PO Value]]</f>
        <v>0</v>
      </c>
      <c r="W277" s="106"/>
      <c r="X277" s="106"/>
      <c r="Y277" s="217"/>
      <c r="Z277" s="257"/>
      <c r="AA277"/>
    </row>
    <row r="278" spans="1:28" s="259" customFormat="1" ht="18">
      <c r="A278" s="289">
        <f>ROW() - ROW(Table626893456791011347[[#Headers],[SL]])</f>
        <v>272</v>
      </c>
      <c r="B278" s="852"/>
      <c r="C278" s="105"/>
      <c r="D278" s="105"/>
      <c r="E278" s="105"/>
      <c r="F278" s="105"/>
      <c r="G278" s="829"/>
      <c r="H278" s="105"/>
      <c r="I278" s="849"/>
      <c r="J278" s="115"/>
      <c r="K278" s="115"/>
      <c r="L278" s="105"/>
      <c r="M278" s="848"/>
      <c r="N278" s="217"/>
      <c r="O278" s="106"/>
      <c r="P278" s="106"/>
      <c r="Q278" s="840"/>
      <c r="R278" s="107"/>
      <c r="S278" s="852"/>
      <c r="T278" s="106"/>
      <c r="U278" s="106"/>
      <c r="V278" s="1260">
        <f>Table626893456791011347[[#This Row],[Offer Value]]-Table626893456791011347[[#This Row],[PO Value]]</f>
        <v>0</v>
      </c>
      <c r="W278" s="106"/>
      <c r="X278" s="106"/>
      <c r="Y278" s="617"/>
      <c r="Z278" s="257"/>
      <c r="AA278"/>
    </row>
    <row r="279" spans="1:28" s="259" customFormat="1" ht="18">
      <c r="A279" s="289">
        <f>ROW() - ROW(Table626893456791011347[[#Headers],[SL]])</f>
        <v>273</v>
      </c>
      <c r="B279" s="852"/>
      <c r="C279" s="105"/>
      <c r="D279" s="105"/>
      <c r="E279" s="105"/>
      <c r="F279" s="105"/>
      <c r="G279" s="829"/>
      <c r="H279" s="105"/>
      <c r="I279" s="849"/>
      <c r="J279" s="115"/>
      <c r="K279" s="115"/>
      <c r="L279" s="105"/>
      <c r="M279" s="848"/>
      <c r="N279" s="217"/>
      <c r="O279" s="106"/>
      <c r="P279" s="106"/>
      <c r="Q279" s="840"/>
      <c r="R279" s="106"/>
      <c r="S279" s="852"/>
      <c r="T279" s="106"/>
      <c r="U279" s="106"/>
      <c r="V279" s="1260">
        <f>Table626893456791011347[[#This Row],[Offer Value]]-Table626893456791011347[[#This Row],[PO Value]]</f>
        <v>0</v>
      </c>
      <c r="W279" s="106"/>
      <c r="X279" s="106"/>
      <c r="Y279" s="217"/>
      <c r="Z279" s="257"/>
      <c r="AA279"/>
    </row>
    <row r="280" spans="1:28" s="259" customFormat="1" ht="18">
      <c r="A280" s="289">
        <f>ROW() - ROW(Table626893456791011347[[#Headers],[SL]])</f>
        <v>274</v>
      </c>
      <c r="B280" s="852"/>
      <c r="C280" s="105"/>
      <c r="D280" s="105"/>
      <c r="E280" s="105"/>
      <c r="F280" s="105"/>
      <c r="G280" s="829"/>
      <c r="H280" s="105"/>
      <c r="I280" s="849"/>
      <c r="J280" s="115"/>
      <c r="K280" s="115"/>
      <c r="L280" s="105"/>
      <c r="M280" s="848"/>
      <c r="N280" s="217"/>
      <c r="O280" s="106"/>
      <c r="P280" s="106"/>
      <c r="Q280" s="840"/>
      <c r="R280" s="106"/>
      <c r="S280" s="852"/>
      <c r="T280" s="106"/>
      <c r="U280" s="106"/>
      <c r="V280" s="1260">
        <f>Table626893456791011347[[#This Row],[Offer Value]]-Table626893456791011347[[#This Row],[PO Value]]</f>
        <v>0</v>
      </c>
      <c r="W280" s="106"/>
      <c r="X280" s="106"/>
      <c r="Y280" s="217"/>
      <c r="Z280" s="257"/>
      <c r="AA280"/>
    </row>
    <row r="281" spans="1:28" s="259" customFormat="1" ht="18">
      <c r="A281" s="289">
        <f>ROW() - ROW(Table626893456791011347[[#Headers],[SL]])</f>
        <v>275</v>
      </c>
      <c r="B281" s="852"/>
      <c r="C281" s="105"/>
      <c r="D281" s="105"/>
      <c r="E281" s="105"/>
      <c r="F281" s="105"/>
      <c r="G281" s="829"/>
      <c r="H281" s="105"/>
      <c r="I281" s="849"/>
      <c r="J281" s="115"/>
      <c r="K281" s="115"/>
      <c r="L281" s="105"/>
      <c r="M281" s="848"/>
      <c r="N281" s="217"/>
      <c r="O281" s="106"/>
      <c r="P281" s="106"/>
      <c r="Q281" s="840"/>
      <c r="R281" s="107"/>
      <c r="S281" s="852"/>
      <c r="T281" s="106"/>
      <c r="U281" s="106"/>
      <c r="V281" s="1260">
        <f>Table626893456791011347[[#This Row],[Offer Value]]-Table626893456791011347[[#This Row],[PO Value]]</f>
        <v>0</v>
      </c>
      <c r="W281" s="106"/>
      <c r="X281" s="106"/>
      <c r="Y281" s="617"/>
      <c r="Z281" s="257"/>
      <c r="AA281"/>
    </row>
    <row r="282" spans="1:28" s="259" customFormat="1" ht="18">
      <c r="A282" s="289">
        <f>ROW() - ROW(Table626893456791011347[[#Headers],[SL]])</f>
        <v>276</v>
      </c>
      <c r="B282" s="852"/>
      <c r="C282" s="105"/>
      <c r="D282" s="105"/>
      <c r="E282" s="105"/>
      <c r="F282" s="105"/>
      <c r="G282" s="829"/>
      <c r="H282" s="105"/>
      <c r="I282" s="849"/>
      <c r="J282" s="115"/>
      <c r="K282" s="115"/>
      <c r="L282" s="105"/>
      <c r="M282" s="848"/>
      <c r="N282" s="217"/>
      <c r="O282" s="106"/>
      <c r="P282" s="106"/>
      <c r="Q282" s="840"/>
      <c r="R282" s="107"/>
      <c r="S282" s="852"/>
      <c r="T282" s="106"/>
      <c r="U282" s="106"/>
      <c r="V282" s="1260">
        <f>Table626893456791011347[[#This Row],[Offer Value]]-Table626893456791011347[[#This Row],[PO Value]]</f>
        <v>0</v>
      </c>
      <c r="W282" s="106"/>
      <c r="X282" s="106"/>
      <c r="Y282" s="617"/>
      <c r="Z282" s="257"/>
      <c r="AA282"/>
    </row>
    <row r="283" spans="1:28" s="259" customFormat="1" ht="18">
      <c r="A283" s="289">
        <f>ROW() - ROW(Table626893456791011347[[#Headers],[SL]])</f>
        <v>277</v>
      </c>
      <c r="B283" s="852"/>
      <c r="C283" s="105"/>
      <c r="D283" s="105"/>
      <c r="E283" s="105"/>
      <c r="F283" s="105"/>
      <c r="G283" s="829"/>
      <c r="H283" s="105"/>
      <c r="I283" s="849"/>
      <c r="J283" s="115"/>
      <c r="K283" s="115"/>
      <c r="L283" s="105"/>
      <c r="M283" s="848"/>
      <c r="N283" s="217"/>
      <c r="O283" s="106"/>
      <c r="P283" s="106"/>
      <c r="Q283" s="840"/>
      <c r="R283" s="106"/>
      <c r="S283" s="852"/>
      <c r="T283" s="106"/>
      <c r="U283" s="106"/>
      <c r="V283" s="1260">
        <f>Table626893456791011347[[#This Row],[Offer Value]]-Table626893456791011347[[#This Row],[PO Value]]</f>
        <v>0</v>
      </c>
      <c r="W283" s="106"/>
      <c r="X283" s="106"/>
      <c r="Y283" s="217"/>
      <c r="Z283" s="257"/>
      <c r="AA283"/>
    </row>
    <row r="284" spans="1:28" s="259" customFormat="1" ht="18">
      <c r="A284" s="289">
        <f>ROW() - ROW(Table626893456791011347[[#Headers],[SL]])</f>
        <v>278</v>
      </c>
      <c r="B284" s="852"/>
      <c r="C284" s="105"/>
      <c r="D284" s="105"/>
      <c r="E284" s="105"/>
      <c r="F284" s="105"/>
      <c r="G284" s="829"/>
      <c r="H284" s="105"/>
      <c r="I284" s="849"/>
      <c r="J284" s="115"/>
      <c r="K284" s="115"/>
      <c r="L284" s="105"/>
      <c r="M284" s="848"/>
      <c r="N284" s="217"/>
      <c r="O284" s="106"/>
      <c r="P284" s="106"/>
      <c r="Q284" s="840"/>
      <c r="R284" s="107"/>
      <c r="S284" s="852"/>
      <c r="T284" s="106"/>
      <c r="U284" s="106"/>
      <c r="V284" s="1260">
        <f>Table626893456791011347[[#This Row],[Offer Value]]-Table626893456791011347[[#This Row],[PO Value]]</f>
        <v>0</v>
      </c>
      <c r="W284" s="106"/>
      <c r="X284" s="106"/>
      <c r="Y284" s="617"/>
      <c r="Z284" s="257"/>
      <c r="AA284"/>
    </row>
    <row r="285" spans="1:28" s="259" customFormat="1" ht="18">
      <c r="A285" s="289">
        <f>ROW() - ROW(Table626893456791011347[[#Headers],[SL]])</f>
        <v>279</v>
      </c>
      <c r="B285" s="851"/>
      <c r="C285" s="105"/>
      <c r="D285" s="105"/>
      <c r="E285" s="105"/>
      <c r="F285" s="105"/>
      <c r="G285" s="829"/>
      <c r="H285" s="105"/>
      <c r="I285" s="849"/>
      <c r="J285" s="108"/>
      <c r="K285" s="108"/>
      <c r="L285" s="105"/>
      <c r="M285" s="848"/>
      <c r="N285" s="217"/>
      <c r="O285" s="106"/>
      <c r="P285" s="106"/>
      <c r="Q285" s="840"/>
      <c r="R285" s="106"/>
      <c r="S285" s="852"/>
      <c r="T285" s="106"/>
      <c r="U285" s="106"/>
      <c r="V285" s="1260">
        <f>Table626893456791011347[[#This Row],[Offer Value]]-Table626893456791011347[[#This Row],[PO Value]]</f>
        <v>0</v>
      </c>
      <c r="W285" s="106"/>
      <c r="X285" s="106"/>
      <c r="Y285" s="217"/>
      <c r="Z285" s="257"/>
      <c r="AA285"/>
    </row>
    <row r="286" spans="1:28" s="259" customFormat="1" ht="18">
      <c r="A286" s="289">
        <f>ROW() - ROW(Table626893456791011347[[#Headers],[SL]])</f>
        <v>280</v>
      </c>
      <c r="B286" s="851"/>
      <c r="C286" s="105"/>
      <c r="D286" s="105"/>
      <c r="E286" s="105"/>
      <c r="F286" s="105"/>
      <c r="G286" s="829"/>
      <c r="H286" s="105"/>
      <c r="I286" s="849"/>
      <c r="J286" s="108"/>
      <c r="K286" s="108"/>
      <c r="L286" s="105"/>
      <c r="M286" s="848"/>
      <c r="N286" s="217"/>
      <c r="O286" s="106"/>
      <c r="P286" s="106"/>
      <c r="Q286" s="840"/>
      <c r="R286" s="106"/>
      <c r="S286" s="852"/>
      <c r="T286" s="106"/>
      <c r="U286" s="106"/>
      <c r="V286" s="1260">
        <f>Table626893456791011347[[#This Row],[Offer Value]]-Table626893456791011347[[#This Row],[PO Value]]</f>
        <v>0</v>
      </c>
      <c r="W286" s="106"/>
      <c r="X286" s="106"/>
      <c r="Y286" s="217"/>
      <c r="Z286" s="257"/>
      <c r="AA286"/>
    </row>
    <row r="287" spans="1:28" s="259" customFormat="1" ht="18">
      <c r="A287" s="289">
        <f>ROW() - ROW(Table626893456791011347[[#Headers],[SL]])</f>
        <v>281</v>
      </c>
      <c r="B287" s="851"/>
      <c r="C287" s="105"/>
      <c r="D287" s="105"/>
      <c r="E287" s="105"/>
      <c r="F287" s="105"/>
      <c r="G287" s="829"/>
      <c r="H287" s="105"/>
      <c r="I287" s="849"/>
      <c r="J287" s="108"/>
      <c r="K287" s="108"/>
      <c r="L287" s="105"/>
      <c r="M287" s="848"/>
      <c r="N287" s="217"/>
      <c r="O287" s="106"/>
      <c r="P287" s="106"/>
      <c r="Q287" s="840"/>
      <c r="R287" s="106"/>
      <c r="S287" s="852"/>
      <c r="T287" s="106"/>
      <c r="U287" s="106"/>
      <c r="V287" s="1260">
        <f>Table626893456791011347[[#This Row],[Offer Value]]-Table626893456791011347[[#This Row],[PO Value]]</f>
        <v>0</v>
      </c>
      <c r="W287" s="106"/>
      <c r="X287" s="106"/>
      <c r="Y287" s="217"/>
      <c r="Z287" s="257"/>
      <c r="AA287"/>
    </row>
    <row r="288" spans="1:28" s="259" customFormat="1" ht="18">
      <c r="A288" s="289">
        <f>ROW() - ROW(Table626893456791011347[[#Headers],[SL]])</f>
        <v>282</v>
      </c>
      <c r="B288" s="851"/>
      <c r="C288" s="105"/>
      <c r="D288" s="105"/>
      <c r="E288" s="105"/>
      <c r="F288" s="105"/>
      <c r="G288" s="829"/>
      <c r="H288" s="105"/>
      <c r="I288" s="849"/>
      <c r="J288" s="108"/>
      <c r="K288" s="108"/>
      <c r="L288" s="105"/>
      <c r="M288" s="848"/>
      <c r="N288" s="217"/>
      <c r="O288" s="106"/>
      <c r="P288" s="106"/>
      <c r="Q288" s="840"/>
      <c r="R288" s="106"/>
      <c r="S288" s="852"/>
      <c r="T288" s="106"/>
      <c r="U288" s="106"/>
      <c r="V288" s="1260">
        <f>Table626893456791011347[[#This Row],[Offer Value]]-Table626893456791011347[[#This Row],[PO Value]]</f>
        <v>0</v>
      </c>
      <c r="W288" s="106"/>
      <c r="X288" s="106"/>
      <c r="Y288" s="217"/>
      <c r="Z288" s="257"/>
      <c r="AA288"/>
    </row>
    <row r="289" spans="1:28" s="259" customFormat="1" ht="18">
      <c r="A289" s="289">
        <f>ROW() - ROW(Table626893456791011347[[#Headers],[SL]])</f>
        <v>283</v>
      </c>
      <c r="B289" s="851"/>
      <c r="C289" s="105"/>
      <c r="D289" s="105"/>
      <c r="E289" s="105"/>
      <c r="F289" s="105"/>
      <c r="G289" s="829"/>
      <c r="H289" s="105"/>
      <c r="I289" s="849"/>
      <c r="J289" s="108"/>
      <c r="K289" s="108"/>
      <c r="L289" s="105"/>
      <c r="M289" s="848"/>
      <c r="N289" s="217"/>
      <c r="O289" s="106"/>
      <c r="P289" s="106"/>
      <c r="Q289" s="840"/>
      <c r="R289" s="106"/>
      <c r="S289" s="852"/>
      <c r="T289" s="106"/>
      <c r="U289" s="106"/>
      <c r="V289" s="1260">
        <f>Table626893456791011347[[#This Row],[Offer Value]]-Table626893456791011347[[#This Row],[PO Value]]</f>
        <v>0</v>
      </c>
      <c r="W289" s="106"/>
      <c r="X289" s="106"/>
      <c r="Y289" s="217"/>
      <c r="Z289" s="257"/>
      <c r="AA289"/>
    </row>
    <row r="290" spans="1:28" s="259" customFormat="1" ht="18">
      <c r="A290" s="289">
        <f>ROW() - ROW(Table626893456791011347[[#Headers],[SL]])</f>
        <v>284</v>
      </c>
      <c r="B290" s="851"/>
      <c r="C290" s="113"/>
      <c r="D290" s="113"/>
      <c r="E290" s="113"/>
      <c r="F290" s="113"/>
      <c r="G290" s="830"/>
      <c r="H290" s="113"/>
      <c r="I290" s="890"/>
      <c r="J290" s="108"/>
      <c r="K290" s="108"/>
      <c r="L290" s="105"/>
      <c r="M290" s="848"/>
      <c r="N290" s="217"/>
      <c r="O290" s="106"/>
      <c r="P290" s="106"/>
      <c r="Q290" s="840"/>
      <c r="R290" s="106"/>
      <c r="S290" s="852"/>
      <c r="T290" s="106"/>
      <c r="U290" s="106"/>
      <c r="V290" s="1260">
        <f>Table626893456791011347[[#This Row],[Offer Value]]-Table626893456791011347[[#This Row],[PO Value]]</f>
        <v>0</v>
      </c>
      <c r="W290" s="106"/>
      <c r="X290" s="106"/>
      <c r="Y290" s="217"/>
      <c r="Z290" s="257"/>
      <c r="AA290"/>
    </row>
    <row r="291" spans="1:28" s="259" customFormat="1" ht="18">
      <c r="A291" s="289">
        <f>ROW() - ROW(Table626893456791011347[[#Headers],[SL]])</f>
        <v>285</v>
      </c>
      <c r="B291" s="851"/>
      <c r="C291" s="105"/>
      <c r="D291" s="105"/>
      <c r="E291" s="105"/>
      <c r="F291" s="105"/>
      <c r="G291" s="829"/>
      <c r="H291" s="105"/>
      <c r="I291" s="849"/>
      <c r="J291" s="115"/>
      <c r="K291" s="115"/>
      <c r="L291" s="105"/>
      <c r="M291" s="848"/>
      <c r="N291" s="217"/>
      <c r="O291" s="106"/>
      <c r="P291" s="106"/>
      <c r="Q291" s="840"/>
      <c r="R291" s="106"/>
      <c r="S291" s="852"/>
      <c r="T291" s="106"/>
      <c r="U291" s="106"/>
      <c r="V291" s="1260">
        <f>Table626893456791011347[[#This Row],[Offer Value]]-Table626893456791011347[[#This Row],[PO Value]]</f>
        <v>0</v>
      </c>
      <c r="W291" s="106"/>
      <c r="X291" s="106"/>
      <c r="Y291" s="217"/>
      <c r="Z291" s="257"/>
      <c r="AA291"/>
    </row>
    <row r="292" spans="1:28" s="259" customFormat="1" ht="18">
      <c r="A292" s="289">
        <f>ROW() - ROW(Table626893456791011347[[#Headers],[SL]])</f>
        <v>286</v>
      </c>
      <c r="B292" s="851"/>
      <c r="C292" s="105"/>
      <c r="D292" s="105"/>
      <c r="E292" s="105"/>
      <c r="F292" s="105"/>
      <c r="G292" s="829"/>
      <c r="H292" s="105"/>
      <c r="I292" s="849"/>
      <c r="J292" s="115"/>
      <c r="K292" s="115"/>
      <c r="L292" s="105"/>
      <c r="M292" s="848"/>
      <c r="N292" s="217"/>
      <c r="O292" s="106"/>
      <c r="P292" s="106"/>
      <c r="Q292" s="840"/>
      <c r="R292" s="106"/>
      <c r="S292" s="852"/>
      <c r="T292" s="106"/>
      <c r="U292" s="106"/>
      <c r="V292" s="1260">
        <f>Table626893456791011347[[#This Row],[Offer Value]]-Table626893456791011347[[#This Row],[PO Value]]</f>
        <v>0</v>
      </c>
      <c r="W292" s="106"/>
      <c r="X292" s="106"/>
      <c r="Y292" s="217"/>
      <c r="Z292" s="257"/>
      <c r="AA292"/>
    </row>
    <row r="293" spans="1:28" s="259" customFormat="1" ht="18">
      <c r="A293" s="289">
        <f>ROW() - ROW(Table626893456791011347[[#Headers],[SL]])</f>
        <v>287</v>
      </c>
      <c r="B293" s="851"/>
      <c r="C293" s="105"/>
      <c r="D293" s="105"/>
      <c r="E293" s="105"/>
      <c r="F293" s="105"/>
      <c r="G293" s="829"/>
      <c r="H293" s="105"/>
      <c r="I293" s="849"/>
      <c r="J293" s="115"/>
      <c r="K293" s="115"/>
      <c r="L293" s="105"/>
      <c r="M293" s="848"/>
      <c r="N293" s="217"/>
      <c r="O293" s="106"/>
      <c r="P293" s="106"/>
      <c r="Q293" s="840"/>
      <c r="R293" s="106"/>
      <c r="S293" s="852"/>
      <c r="T293" s="106"/>
      <c r="U293" s="106"/>
      <c r="V293" s="1260">
        <f>Table626893456791011347[[#This Row],[Offer Value]]-Table626893456791011347[[#This Row],[PO Value]]</f>
        <v>0</v>
      </c>
      <c r="W293" s="106"/>
      <c r="X293" s="106"/>
      <c r="Y293" s="217"/>
      <c r="Z293" s="257"/>
      <c r="AA293"/>
    </row>
    <row r="294" spans="1:28" s="259" customFormat="1" ht="18">
      <c r="A294" s="289">
        <f>ROW() - ROW(Table626893456791011347[[#Headers],[SL]])</f>
        <v>288</v>
      </c>
      <c r="B294" s="851"/>
      <c r="C294" s="105"/>
      <c r="D294" s="105"/>
      <c r="E294" s="105"/>
      <c r="F294" s="105"/>
      <c r="G294" s="829"/>
      <c r="H294" s="105"/>
      <c r="I294" s="849"/>
      <c r="J294" s="115"/>
      <c r="K294" s="115"/>
      <c r="L294" s="105"/>
      <c r="M294" s="848"/>
      <c r="N294" s="217"/>
      <c r="O294" s="106"/>
      <c r="P294" s="106"/>
      <c r="Q294" s="840"/>
      <c r="R294" s="106"/>
      <c r="S294" s="852"/>
      <c r="T294" s="106"/>
      <c r="U294" s="106"/>
      <c r="V294" s="1260">
        <f>Table626893456791011347[[#This Row],[Offer Value]]-Table626893456791011347[[#This Row],[PO Value]]</f>
        <v>0</v>
      </c>
      <c r="W294" s="106"/>
      <c r="X294" s="106"/>
      <c r="Y294" s="217"/>
      <c r="Z294" s="257"/>
      <c r="AA294"/>
    </row>
    <row r="295" spans="1:28" s="259" customFormat="1" ht="18">
      <c r="A295" s="289">
        <f>ROW() - ROW(Table626893456791011347[[#Headers],[SL]])</f>
        <v>289</v>
      </c>
      <c r="B295" s="851"/>
      <c r="C295" s="105"/>
      <c r="D295" s="105"/>
      <c r="E295" s="105"/>
      <c r="F295" s="105"/>
      <c r="G295" s="829"/>
      <c r="H295" s="105"/>
      <c r="I295" s="849"/>
      <c r="J295" s="115"/>
      <c r="K295" s="115"/>
      <c r="L295" s="105"/>
      <c r="M295" s="848"/>
      <c r="N295" s="217"/>
      <c r="O295" s="106"/>
      <c r="P295" s="106"/>
      <c r="Q295" s="840"/>
      <c r="R295" s="106"/>
      <c r="S295" s="852"/>
      <c r="T295" s="106"/>
      <c r="U295" s="106"/>
      <c r="V295" s="1260">
        <f>Table626893456791011347[[#This Row],[Offer Value]]-Table626893456791011347[[#This Row],[PO Value]]</f>
        <v>0</v>
      </c>
      <c r="W295" s="106"/>
      <c r="X295" s="106"/>
      <c r="Y295" s="217"/>
      <c r="Z295" s="257"/>
      <c r="AA295"/>
    </row>
    <row r="296" spans="1:28" s="259" customFormat="1" ht="18">
      <c r="A296" s="289">
        <f>ROW() - ROW(Table626893456791011347[[#Headers],[SL]])</f>
        <v>290</v>
      </c>
      <c r="B296" s="851"/>
      <c r="C296" s="105"/>
      <c r="D296" s="105"/>
      <c r="E296" s="105"/>
      <c r="F296" s="105"/>
      <c r="G296" s="829"/>
      <c r="H296" s="105"/>
      <c r="I296" s="849"/>
      <c r="J296" s="115"/>
      <c r="K296" s="115"/>
      <c r="L296" s="105"/>
      <c r="M296" s="848"/>
      <c r="N296" s="217"/>
      <c r="O296" s="106"/>
      <c r="P296" s="106"/>
      <c r="Q296" s="840"/>
      <c r="R296" s="106"/>
      <c r="S296" s="852"/>
      <c r="T296" s="106"/>
      <c r="U296" s="106"/>
      <c r="V296" s="1260">
        <f>Table626893456791011347[[#This Row],[Offer Value]]-Table626893456791011347[[#This Row],[PO Value]]</f>
        <v>0</v>
      </c>
      <c r="W296" s="106"/>
      <c r="X296" s="106"/>
      <c r="Y296" s="217"/>
      <c r="Z296" s="257"/>
      <c r="AA296"/>
    </row>
    <row r="297" spans="1:28" s="259" customFormat="1" ht="18">
      <c r="A297" s="289">
        <f>ROW() - ROW(Table626893456791011347[[#Headers],[SL]])</f>
        <v>291</v>
      </c>
      <c r="B297" s="851"/>
      <c r="C297" s="105"/>
      <c r="D297" s="105"/>
      <c r="E297" s="105"/>
      <c r="F297" s="105"/>
      <c r="G297" s="829"/>
      <c r="H297" s="105"/>
      <c r="I297" s="849"/>
      <c r="J297" s="115"/>
      <c r="K297" s="115"/>
      <c r="L297" s="105"/>
      <c r="M297" s="848"/>
      <c r="N297" s="217"/>
      <c r="O297" s="106"/>
      <c r="P297" s="106"/>
      <c r="Q297" s="840"/>
      <c r="R297" s="107"/>
      <c r="S297" s="852"/>
      <c r="T297" s="106"/>
      <c r="U297" s="106"/>
      <c r="V297" s="1260">
        <f>Table626893456791011347[[#This Row],[Offer Value]]-Table626893456791011347[[#This Row],[PO Value]]</f>
        <v>0</v>
      </c>
      <c r="W297" s="106"/>
      <c r="X297" s="106"/>
      <c r="Y297" s="617"/>
      <c r="Z297" s="257"/>
      <c r="AA297"/>
    </row>
    <row r="298" spans="1:28" s="259" customFormat="1" ht="18">
      <c r="A298" s="289">
        <f>ROW() - ROW(Table626893456791011347[[#Headers],[SL]])</f>
        <v>292</v>
      </c>
      <c r="B298" s="851"/>
      <c r="C298" s="105"/>
      <c r="D298" s="105"/>
      <c r="E298" s="105"/>
      <c r="F298" s="105"/>
      <c r="G298" s="829"/>
      <c r="H298" s="105"/>
      <c r="I298" s="849"/>
      <c r="J298" s="115"/>
      <c r="K298" s="115"/>
      <c r="L298" s="105"/>
      <c r="M298" s="848"/>
      <c r="N298" s="217"/>
      <c r="O298" s="106"/>
      <c r="P298" s="106"/>
      <c r="Q298" s="840"/>
      <c r="R298" s="107"/>
      <c r="S298" s="852"/>
      <c r="T298" s="106"/>
      <c r="U298" s="106"/>
      <c r="V298" s="1260">
        <f>Table626893456791011347[[#This Row],[Offer Value]]-Table626893456791011347[[#This Row],[PO Value]]</f>
        <v>0</v>
      </c>
      <c r="W298" s="106"/>
      <c r="X298" s="106"/>
      <c r="Y298" s="617"/>
      <c r="Z298" s="257"/>
      <c r="AA298"/>
    </row>
    <row r="299" spans="1:28" s="259" customFormat="1" ht="18">
      <c r="A299" s="289">
        <f>ROW() - ROW(Table626893456791011347[[#Headers],[SL]])</f>
        <v>293</v>
      </c>
      <c r="B299" s="852"/>
      <c r="C299" s="105"/>
      <c r="D299" s="105"/>
      <c r="E299" s="105"/>
      <c r="F299" s="105"/>
      <c r="G299" s="829"/>
      <c r="H299" s="105"/>
      <c r="I299" s="849"/>
      <c r="J299" s="108"/>
      <c r="K299" s="108"/>
      <c r="L299" s="106"/>
      <c r="M299" s="852"/>
      <c r="N299" s="217"/>
      <c r="O299" s="106"/>
      <c r="P299" s="106"/>
      <c r="Q299" s="840"/>
      <c r="R299" s="106"/>
      <c r="S299" s="852"/>
      <c r="T299" s="106"/>
      <c r="U299" s="106"/>
      <c r="V299" s="1260">
        <f>Table626893456791011347[[#This Row],[Offer Value]]-Table626893456791011347[[#This Row],[PO Value]]</f>
        <v>0</v>
      </c>
      <c r="W299" s="106"/>
      <c r="X299" s="106"/>
      <c r="Y299" s="217"/>
      <c r="Z299" s="257"/>
      <c r="AA299"/>
      <c r="AB299" s="259" t="s">
        <v>3895</v>
      </c>
    </row>
    <row r="300" spans="1:28" s="259" customFormat="1" ht="18">
      <c r="A300" s="289">
        <f>ROW() - ROW(Table626893456791011347[[#Headers],[SL]])</f>
        <v>294</v>
      </c>
      <c r="B300" s="852"/>
      <c r="C300" s="105"/>
      <c r="D300" s="105"/>
      <c r="E300" s="105"/>
      <c r="F300" s="105"/>
      <c r="G300" s="829"/>
      <c r="H300" s="105"/>
      <c r="I300" s="849"/>
      <c r="J300" s="108"/>
      <c r="K300" s="108"/>
      <c r="L300" s="106"/>
      <c r="M300" s="852"/>
      <c r="N300" s="217"/>
      <c r="O300" s="106"/>
      <c r="P300" s="106"/>
      <c r="Q300" s="840"/>
      <c r="R300" s="106"/>
      <c r="S300" s="852"/>
      <c r="T300" s="106"/>
      <c r="U300" s="106"/>
      <c r="V300" s="1260">
        <f>Table626893456791011347[[#This Row],[Offer Value]]-Table626893456791011347[[#This Row],[PO Value]]</f>
        <v>0</v>
      </c>
      <c r="W300" s="106"/>
      <c r="X300" s="106"/>
      <c r="Y300" s="217"/>
      <c r="Z300" s="257"/>
      <c r="AA300"/>
    </row>
    <row r="301" spans="1:28" s="259" customFormat="1" ht="18">
      <c r="A301" s="289">
        <f>ROW() - ROW(Table626893456791011347[[#Headers],[SL]])</f>
        <v>295</v>
      </c>
      <c r="B301" s="852"/>
      <c r="C301" s="105"/>
      <c r="D301" s="105"/>
      <c r="E301" s="105"/>
      <c r="F301" s="105"/>
      <c r="G301" s="829"/>
      <c r="H301" s="105"/>
      <c r="I301" s="849"/>
      <c r="J301" s="108"/>
      <c r="K301" s="108"/>
      <c r="L301" s="106"/>
      <c r="M301" s="852"/>
      <c r="N301" s="217"/>
      <c r="O301" s="106"/>
      <c r="P301" s="106"/>
      <c r="Q301" s="840"/>
      <c r="R301" s="106"/>
      <c r="S301" s="852"/>
      <c r="T301" s="106"/>
      <c r="U301" s="106"/>
      <c r="V301" s="1260">
        <f>Table626893456791011347[[#This Row],[Offer Value]]-Table626893456791011347[[#This Row],[PO Value]]</f>
        <v>0</v>
      </c>
      <c r="W301" s="106"/>
      <c r="X301" s="106"/>
      <c r="Y301" s="217"/>
      <c r="Z301" s="257"/>
      <c r="AA301"/>
    </row>
    <row r="302" spans="1:28" s="259" customFormat="1" ht="18">
      <c r="A302" s="289">
        <f>ROW() - ROW(Table626893456791011347[[#Headers],[SL]])</f>
        <v>296</v>
      </c>
      <c r="B302" s="852"/>
      <c r="C302" s="105"/>
      <c r="D302" s="105"/>
      <c r="E302" s="105"/>
      <c r="F302" s="105"/>
      <c r="G302" s="829"/>
      <c r="H302" s="105"/>
      <c r="I302" s="849"/>
      <c r="J302" s="108"/>
      <c r="K302" s="108"/>
      <c r="L302" s="106"/>
      <c r="M302" s="852"/>
      <c r="N302" s="217"/>
      <c r="O302" s="106"/>
      <c r="P302" s="106"/>
      <c r="Q302" s="840"/>
      <c r="R302" s="106"/>
      <c r="S302" s="852"/>
      <c r="T302" s="106"/>
      <c r="U302" s="106"/>
      <c r="V302" s="1260">
        <f>Table626893456791011347[[#This Row],[Offer Value]]-Table626893456791011347[[#This Row],[PO Value]]</f>
        <v>0</v>
      </c>
      <c r="W302" s="106"/>
      <c r="X302" s="106"/>
      <c r="Y302" s="217"/>
      <c r="Z302" s="257"/>
      <c r="AA302"/>
    </row>
    <row r="303" spans="1:28" s="171" customFormat="1" ht="15.6">
      <c r="A303" s="289">
        <f>ROW() - ROW(Table626893456791011347[[#Headers],[SL]])</f>
        <v>297</v>
      </c>
      <c r="B303" s="852"/>
      <c r="C303" s="105"/>
      <c r="D303" s="105"/>
      <c r="E303" s="105"/>
      <c r="F303" s="105"/>
      <c r="G303" s="829"/>
      <c r="H303" s="105"/>
      <c r="I303" s="849"/>
      <c r="J303" s="108"/>
      <c r="K303" s="108"/>
      <c r="L303" s="106"/>
      <c r="M303" s="852"/>
      <c r="N303" s="217"/>
      <c r="O303" s="106"/>
      <c r="P303" s="106"/>
      <c r="Q303" s="840"/>
      <c r="R303" s="107"/>
      <c r="S303" s="852"/>
      <c r="T303" s="106"/>
      <c r="U303" s="106"/>
      <c r="V303" s="1260">
        <f>Table626893456791011347[[#This Row],[Offer Value]]-Table626893456791011347[[#This Row],[PO Value]]</f>
        <v>0</v>
      </c>
      <c r="W303" s="106"/>
      <c r="X303" s="106"/>
      <c r="Y303" s="617"/>
      <c r="Z303" s="257"/>
      <c r="AA303"/>
    </row>
    <row r="304" spans="1:28" s="171" customFormat="1" ht="15.6">
      <c r="A304" s="289">
        <f>ROW() - ROW(Table626893456791011347[[#Headers],[SL]])</f>
        <v>298</v>
      </c>
      <c r="B304" s="852"/>
      <c r="C304" s="105"/>
      <c r="D304" s="105"/>
      <c r="E304" s="105"/>
      <c r="F304" s="105"/>
      <c r="G304" s="829"/>
      <c r="H304" s="105"/>
      <c r="I304" s="849"/>
      <c r="J304" s="108"/>
      <c r="K304" s="108"/>
      <c r="L304" s="106"/>
      <c r="M304" s="852"/>
      <c r="N304" s="217"/>
      <c r="O304" s="106"/>
      <c r="P304" s="106"/>
      <c r="Q304" s="840"/>
      <c r="R304" s="107"/>
      <c r="S304" s="852"/>
      <c r="T304" s="106"/>
      <c r="U304" s="106"/>
      <c r="V304" s="1260">
        <f>Table626893456791011347[[#This Row],[Offer Value]]-Table626893456791011347[[#This Row],[PO Value]]</f>
        <v>0</v>
      </c>
      <c r="W304" s="106"/>
      <c r="X304" s="106"/>
      <c r="Y304" s="617"/>
      <c r="Z304" s="257"/>
      <c r="AA304"/>
    </row>
    <row r="305" spans="1:27" s="171" customFormat="1" ht="15.6">
      <c r="A305" s="289">
        <f>ROW() - ROW(Table626893456791011347[[#Headers],[SL]])</f>
        <v>299</v>
      </c>
      <c r="B305" s="852"/>
      <c r="C305" s="105"/>
      <c r="D305" s="105"/>
      <c r="E305" s="105"/>
      <c r="F305" s="105"/>
      <c r="G305" s="829"/>
      <c r="H305" s="105"/>
      <c r="I305" s="849"/>
      <c r="J305" s="108"/>
      <c r="K305" s="108"/>
      <c r="L305" s="106"/>
      <c r="M305" s="852"/>
      <c r="N305" s="217"/>
      <c r="O305" s="106"/>
      <c r="P305" s="106"/>
      <c r="Q305" s="840"/>
      <c r="R305" s="106"/>
      <c r="S305" s="852"/>
      <c r="T305" s="106"/>
      <c r="U305" s="106"/>
      <c r="V305" s="1260">
        <f>Table626893456791011347[[#This Row],[Offer Value]]-Table626893456791011347[[#This Row],[PO Value]]</f>
        <v>0</v>
      </c>
      <c r="W305" s="106"/>
      <c r="X305" s="106"/>
      <c r="Y305" s="217"/>
      <c r="Z305" s="257"/>
      <c r="AA305"/>
    </row>
    <row r="306" spans="1:27" s="171" customFormat="1" ht="15.6">
      <c r="A306" s="289">
        <f>ROW() - ROW(Table626893456791011347[[#Headers],[SL]])</f>
        <v>300</v>
      </c>
      <c r="B306" s="852"/>
      <c r="C306" s="105"/>
      <c r="D306" s="105"/>
      <c r="E306" s="105"/>
      <c r="F306" s="105"/>
      <c r="G306" s="829"/>
      <c r="H306" s="105"/>
      <c r="I306" s="849"/>
      <c r="J306" s="108"/>
      <c r="K306" s="108"/>
      <c r="L306" s="106"/>
      <c r="M306" s="852"/>
      <c r="N306" s="217"/>
      <c r="O306" s="106"/>
      <c r="P306" s="106"/>
      <c r="Q306" s="840"/>
      <c r="R306" s="106"/>
      <c r="S306" s="852"/>
      <c r="T306" s="106"/>
      <c r="U306" s="106"/>
      <c r="V306" s="1260">
        <f>Table626893456791011347[[#This Row],[Offer Value]]-Table626893456791011347[[#This Row],[PO Value]]</f>
        <v>0</v>
      </c>
      <c r="W306" s="106"/>
      <c r="X306" s="106"/>
      <c r="Y306" s="217"/>
      <c r="Z306" s="257"/>
      <c r="AA306"/>
    </row>
    <row r="307" spans="1:27" s="171" customFormat="1" ht="15.6">
      <c r="A307" s="289">
        <f>ROW() - ROW(Table626893456791011347[[#Headers],[SL]])</f>
        <v>301</v>
      </c>
      <c r="B307" s="852"/>
      <c r="C307" s="105"/>
      <c r="D307" s="105"/>
      <c r="E307" s="105"/>
      <c r="F307" s="105"/>
      <c r="G307" s="829"/>
      <c r="H307" s="105"/>
      <c r="I307" s="849"/>
      <c r="J307" s="108"/>
      <c r="K307" s="108"/>
      <c r="L307" s="106"/>
      <c r="M307" s="852"/>
      <c r="N307" s="217"/>
      <c r="O307" s="106"/>
      <c r="P307" s="106"/>
      <c r="Q307" s="840"/>
      <c r="R307" s="106"/>
      <c r="S307" s="852"/>
      <c r="T307" s="106"/>
      <c r="U307" s="106"/>
      <c r="V307" s="1260">
        <f>Table626893456791011347[[#This Row],[Offer Value]]-Table626893456791011347[[#This Row],[PO Value]]</f>
        <v>0</v>
      </c>
      <c r="W307" s="106"/>
      <c r="X307" s="106"/>
      <c r="Y307" s="217"/>
      <c r="Z307" s="257"/>
      <c r="AA307"/>
    </row>
    <row r="308" spans="1:27" s="171" customFormat="1" ht="15.6">
      <c r="A308" s="289">
        <f>ROW() - ROW(Table626893456791011347[[#Headers],[SL]])</f>
        <v>302</v>
      </c>
      <c r="B308" s="852"/>
      <c r="C308" s="105"/>
      <c r="D308" s="105"/>
      <c r="E308" s="105"/>
      <c r="F308" s="105"/>
      <c r="G308" s="829"/>
      <c r="H308" s="105"/>
      <c r="I308" s="849"/>
      <c r="J308" s="108"/>
      <c r="K308" s="108"/>
      <c r="L308" s="106"/>
      <c r="M308" s="852"/>
      <c r="N308" s="217"/>
      <c r="O308" s="106"/>
      <c r="P308" s="106"/>
      <c r="Q308" s="840"/>
      <c r="R308" s="106"/>
      <c r="S308" s="852"/>
      <c r="T308" s="106"/>
      <c r="U308" s="106"/>
      <c r="V308" s="1260">
        <f>Table626893456791011347[[#This Row],[Offer Value]]-Table626893456791011347[[#This Row],[PO Value]]</f>
        <v>0</v>
      </c>
      <c r="W308" s="106"/>
      <c r="X308" s="106"/>
      <c r="Y308" s="217"/>
      <c r="Z308" s="257"/>
      <c r="AA308"/>
    </row>
    <row r="309" spans="1:27" s="171" customFormat="1" ht="15.6">
      <c r="A309" s="289">
        <f>ROW() - ROW(Table626893456791011347[[#Headers],[SL]])</f>
        <v>303</v>
      </c>
      <c r="B309" s="852"/>
      <c r="C309" s="105"/>
      <c r="D309" s="105"/>
      <c r="E309" s="105"/>
      <c r="F309" s="105"/>
      <c r="G309" s="829"/>
      <c r="H309" s="105"/>
      <c r="I309" s="849"/>
      <c r="J309" s="108"/>
      <c r="K309" s="108"/>
      <c r="L309" s="106"/>
      <c r="M309" s="852"/>
      <c r="N309" s="217"/>
      <c r="O309" s="106"/>
      <c r="P309" s="106"/>
      <c r="Q309" s="840"/>
      <c r="R309" s="106"/>
      <c r="S309" s="852"/>
      <c r="T309" s="106"/>
      <c r="U309" s="106"/>
      <c r="V309" s="1260">
        <f>Table626893456791011347[[#This Row],[Offer Value]]-Table626893456791011347[[#This Row],[PO Value]]</f>
        <v>0</v>
      </c>
      <c r="W309" s="106"/>
      <c r="X309" s="106"/>
      <c r="Y309" s="217"/>
      <c r="Z309" s="257"/>
      <c r="AA309"/>
    </row>
    <row r="310" spans="1:27" s="171" customFormat="1" ht="15.6">
      <c r="A310" s="289">
        <f>ROW() - ROW(Table626893456791011347[[#Headers],[SL]])</f>
        <v>304</v>
      </c>
      <c r="B310" s="852"/>
      <c r="C310" s="105"/>
      <c r="D310" s="105"/>
      <c r="E310" s="105"/>
      <c r="F310" s="105"/>
      <c r="G310" s="829"/>
      <c r="H310" s="105"/>
      <c r="I310" s="849"/>
      <c r="J310" s="108"/>
      <c r="K310" s="108"/>
      <c r="L310" s="106"/>
      <c r="M310" s="852"/>
      <c r="N310" s="217"/>
      <c r="O310" s="106"/>
      <c r="P310" s="106"/>
      <c r="Q310" s="840"/>
      <c r="R310" s="107"/>
      <c r="S310" s="852"/>
      <c r="T310" s="106"/>
      <c r="U310" s="106"/>
      <c r="V310" s="1260">
        <f>Table626893456791011347[[#This Row],[Offer Value]]-Table626893456791011347[[#This Row],[PO Value]]</f>
        <v>0</v>
      </c>
      <c r="W310" s="106"/>
      <c r="X310" s="106"/>
      <c r="Y310" s="617"/>
      <c r="Z310" s="257"/>
      <c r="AA310"/>
    </row>
    <row r="311" spans="1:27" s="171" customFormat="1" ht="15.6">
      <c r="A311" s="289">
        <f>ROW() - ROW(Table626893456791011347[[#Headers],[SL]])</f>
        <v>305</v>
      </c>
      <c r="B311" s="852"/>
      <c r="C311" s="105"/>
      <c r="D311" s="105"/>
      <c r="E311" s="105"/>
      <c r="F311" s="105"/>
      <c r="G311" s="829"/>
      <c r="H311" s="105"/>
      <c r="I311" s="849"/>
      <c r="J311" s="108"/>
      <c r="K311" s="108"/>
      <c r="L311" s="106"/>
      <c r="M311" s="852"/>
      <c r="N311" s="217"/>
      <c r="O311" s="106"/>
      <c r="P311" s="106"/>
      <c r="Q311" s="840"/>
      <c r="R311" s="106"/>
      <c r="S311" s="852"/>
      <c r="T311" s="106"/>
      <c r="U311" s="106"/>
      <c r="V311" s="1260">
        <f>Table626893456791011347[[#This Row],[Offer Value]]-Table626893456791011347[[#This Row],[PO Value]]</f>
        <v>0</v>
      </c>
      <c r="W311" s="106"/>
      <c r="X311" s="106"/>
      <c r="Y311" s="217"/>
      <c r="Z311" s="257"/>
      <c r="AA311"/>
    </row>
    <row r="312" spans="1:27" s="171" customFormat="1" ht="15.6">
      <c r="A312" s="289">
        <f>ROW() - ROW(Table626893456791011347[[#Headers],[SL]])</f>
        <v>306</v>
      </c>
      <c r="B312" s="852"/>
      <c r="C312" s="105"/>
      <c r="D312" s="105"/>
      <c r="E312" s="105"/>
      <c r="F312" s="105"/>
      <c r="G312" s="829"/>
      <c r="H312" s="105"/>
      <c r="I312" s="849"/>
      <c r="J312" s="108"/>
      <c r="K312" s="108"/>
      <c r="L312" s="106"/>
      <c r="M312" s="852"/>
      <c r="N312" s="217"/>
      <c r="O312" s="106"/>
      <c r="P312" s="106"/>
      <c r="Q312" s="840"/>
      <c r="R312" s="106"/>
      <c r="S312" s="852"/>
      <c r="T312" s="106"/>
      <c r="U312" s="106"/>
      <c r="V312" s="1260">
        <f>Table626893456791011347[[#This Row],[Offer Value]]-Table626893456791011347[[#This Row],[PO Value]]</f>
        <v>0</v>
      </c>
      <c r="W312" s="106"/>
      <c r="X312" s="106"/>
      <c r="Y312" s="217"/>
      <c r="Z312" s="257"/>
      <c r="AA312"/>
    </row>
    <row r="313" spans="1:27" s="171" customFormat="1" ht="15.6">
      <c r="A313" s="289">
        <f>ROW() - ROW(Table626893456791011347[[#Headers],[SL]])</f>
        <v>307</v>
      </c>
      <c r="B313" s="852"/>
      <c r="C313" s="105"/>
      <c r="D313" s="105"/>
      <c r="E313" s="105"/>
      <c r="F313" s="105"/>
      <c r="G313" s="829"/>
      <c r="H313" s="105"/>
      <c r="I313" s="849"/>
      <c r="J313" s="108"/>
      <c r="K313" s="108"/>
      <c r="L313" s="106"/>
      <c r="M313" s="852"/>
      <c r="N313" s="217"/>
      <c r="O313" s="106"/>
      <c r="P313" s="106"/>
      <c r="Q313" s="840"/>
      <c r="R313" s="106"/>
      <c r="S313" s="852"/>
      <c r="T313" s="106"/>
      <c r="U313" s="106"/>
      <c r="V313" s="1260">
        <f>Table626893456791011347[[#This Row],[Offer Value]]-Table626893456791011347[[#This Row],[PO Value]]</f>
        <v>0</v>
      </c>
      <c r="W313" s="106"/>
      <c r="X313" s="106"/>
      <c r="Y313" s="217"/>
      <c r="Z313" s="257"/>
      <c r="AA313"/>
    </row>
    <row r="314" spans="1:27" s="171" customFormat="1" ht="15.6">
      <c r="A314" s="289">
        <f>ROW() - ROW(Table626893456791011347[[#Headers],[SL]])</f>
        <v>308</v>
      </c>
      <c r="B314" s="852"/>
      <c r="C314" s="105"/>
      <c r="D314" s="105"/>
      <c r="E314" s="105"/>
      <c r="F314" s="105"/>
      <c r="G314" s="829"/>
      <c r="H314" s="105"/>
      <c r="I314" s="849"/>
      <c r="J314" s="108"/>
      <c r="K314" s="108"/>
      <c r="L314" s="106"/>
      <c r="M314" s="852"/>
      <c r="N314" s="217"/>
      <c r="O314" s="106"/>
      <c r="P314" s="106"/>
      <c r="Q314" s="840"/>
      <c r="R314" s="106"/>
      <c r="S314" s="852"/>
      <c r="T314" s="106"/>
      <c r="U314" s="106"/>
      <c r="V314" s="1260">
        <f>Table626893456791011347[[#This Row],[Offer Value]]-Table626893456791011347[[#This Row],[PO Value]]</f>
        <v>0</v>
      </c>
      <c r="W314" s="106"/>
      <c r="X314" s="106"/>
      <c r="Y314" s="217"/>
      <c r="Z314" s="257"/>
      <c r="AA314"/>
    </row>
    <row r="315" spans="1:27" s="171" customFormat="1" ht="15.6">
      <c r="A315" s="289">
        <f>ROW() - ROW(Table626893456791011347[[#Headers],[SL]])</f>
        <v>309</v>
      </c>
      <c r="B315" s="852"/>
      <c r="C315" s="105"/>
      <c r="D315" s="105"/>
      <c r="E315" s="105"/>
      <c r="F315" s="105"/>
      <c r="G315" s="829"/>
      <c r="H315" s="105"/>
      <c r="I315" s="849"/>
      <c r="J315" s="108"/>
      <c r="K315" s="108"/>
      <c r="L315" s="106"/>
      <c r="M315" s="852"/>
      <c r="N315" s="217"/>
      <c r="O315" s="106"/>
      <c r="P315" s="106"/>
      <c r="Q315" s="840"/>
      <c r="R315" s="107"/>
      <c r="S315" s="852"/>
      <c r="T315" s="106"/>
      <c r="U315" s="106"/>
      <c r="V315" s="1260">
        <f>Table626893456791011347[[#This Row],[Offer Value]]-Table626893456791011347[[#This Row],[PO Value]]</f>
        <v>0</v>
      </c>
      <c r="W315" s="106"/>
      <c r="X315" s="106"/>
      <c r="Y315" s="617"/>
      <c r="Z315" s="257"/>
      <c r="AA315"/>
    </row>
    <row r="316" spans="1:27" s="171" customFormat="1" ht="15.6">
      <c r="A316" s="289">
        <f>ROW() - ROW(Table626893456791011347[[#Headers],[SL]])</f>
        <v>310</v>
      </c>
      <c r="B316" s="851"/>
      <c r="C316" s="105"/>
      <c r="D316" s="105"/>
      <c r="E316" s="105"/>
      <c r="F316" s="105"/>
      <c r="G316" s="829"/>
      <c r="H316" s="105"/>
      <c r="I316" s="849"/>
      <c r="J316" s="108"/>
      <c r="K316" s="108"/>
      <c r="L316" s="106"/>
      <c r="M316" s="852"/>
      <c r="N316" s="217"/>
      <c r="O316" s="106"/>
      <c r="P316" s="106"/>
      <c r="Q316" s="840"/>
      <c r="R316" s="106"/>
      <c r="S316" s="852"/>
      <c r="T316" s="106"/>
      <c r="U316" s="106"/>
      <c r="V316" s="1260">
        <f>Table626893456791011347[[#This Row],[Offer Value]]-Table626893456791011347[[#This Row],[PO Value]]</f>
        <v>0</v>
      </c>
      <c r="W316" s="106"/>
      <c r="X316" s="106"/>
      <c r="Y316" s="217"/>
      <c r="Z316" s="257"/>
      <c r="AA316"/>
    </row>
    <row r="317" spans="1:27" s="171" customFormat="1" ht="15.6">
      <c r="A317" s="289">
        <f>ROW() - ROW(Table626893456791011347[[#Headers],[SL]])</f>
        <v>311</v>
      </c>
      <c r="B317" s="851"/>
      <c r="C317" s="105"/>
      <c r="D317" s="105"/>
      <c r="E317" s="105"/>
      <c r="F317" s="105"/>
      <c r="G317" s="829"/>
      <c r="H317" s="105"/>
      <c r="I317" s="849"/>
      <c r="J317" s="108"/>
      <c r="K317" s="108"/>
      <c r="L317" s="106"/>
      <c r="M317" s="852"/>
      <c r="N317" s="217"/>
      <c r="O317" s="106"/>
      <c r="P317" s="106"/>
      <c r="Q317" s="840"/>
      <c r="R317" s="106"/>
      <c r="S317" s="852"/>
      <c r="T317" s="106"/>
      <c r="U317" s="106"/>
      <c r="V317" s="1260">
        <f>Table626893456791011347[[#This Row],[Offer Value]]-Table626893456791011347[[#This Row],[PO Value]]</f>
        <v>0</v>
      </c>
      <c r="W317" s="106"/>
      <c r="X317" s="106"/>
      <c r="Y317" s="217"/>
      <c r="Z317" s="257"/>
      <c r="AA317"/>
    </row>
    <row r="318" spans="1:27" s="171" customFormat="1" ht="15.6">
      <c r="A318" s="289">
        <f>ROW() - ROW(Table626893456791011347[[#Headers],[SL]])</f>
        <v>312</v>
      </c>
      <c r="B318" s="851"/>
      <c r="C318" s="105"/>
      <c r="D318" s="105"/>
      <c r="E318" s="105"/>
      <c r="F318" s="105"/>
      <c r="G318" s="829"/>
      <c r="H318" s="105"/>
      <c r="I318" s="849"/>
      <c r="J318" s="108"/>
      <c r="K318" s="108"/>
      <c r="L318" s="106"/>
      <c r="M318" s="852"/>
      <c r="N318" s="217"/>
      <c r="O318" s="106"/>
      <c r="P318" s="106"/>
      <c r="Q318" s="840"/>
      <c r="R318" s="106"/>
      <c r="S318" s="852"/>
      <c r="T318" s="106"/>
      <c r="U318" s="106"/>
      <c r="V318" s="1260">
        <f>Table626893456791011347[[#This Row],[Offer Value]]-Table626893456791011347[[#This Row],[PO Value]]</f>
        <v>0</v>
      </c>
      <c r="W318" s="106"/>
      <c r="X318" s="106"/>
      <c r="Y318" s="217"/>
      <c r="Z318" s="257"/>
      <c r="AA318"/>
    </row>
    <row r="319" spans="1:27" s="171" customFormat="1" ht="15.6">
      <c r="A319" s="289">
        <f>ROW() - ROW(Table626893456791011347[[#Headers],[SL]])</f>
        <v>313</v>
      </c>
      <c r="B319" s="851"/>
      <c r="C319" s="105"/>
      <c r="D319" s="105"/>
      <c r="E319" s="105"/>
      <c r="F319" s="105"/>
      <c r="G319" s="829"/>
      <c r="H319" s="105"/>
      <c r="I319" s="849"/>
      <c r="J319" s="108"/>
      <c r="K319" s="108"/>
      <c r="L319" s="106"/>
      <c r="M319" s="852"/>
      <c r="N319" s="217"/>
      <c r="O319" s="106"/>
      <c r="P319" s="106"/>
      <c r="Q319" s="840"/>
      <c r="R319" s="106"/>
      <c r="S319" s="852"/>
      <c r="T319" s="106"/>
      <c r="U319" s="106"/>
      <c r="V319" s="1260">
        <f>Table626893456791011347[[#This Row],[Offer Value]]-Table626893456791011347[[#This Row],[PO Value]]</f>
        <v>0</v>
      </c>
      <c r="W319" s="106"/>
      <c r="X319" s="106"/>
      <c r="Y319" s="217"/>
      <c r="Z319" s="257"/>
      <c r="AA319"/>
    </row>
    <row r="320" spans="1:27" s="171" customFormat="1" ht="15.6">
      <c r="A320" s="289">
        <f>ROW() - ROW(Table626893456791011347[[#Headers],[SL]])</f>
        <v>314</v>
      </c>
      <c r="B320" s="851"/>
      <c r="C320" s="105"/>
      <c r="D320" s="105"/>
      <c r="E320" s="105"/>
      <c r="F320" s="105"/>
      <c r="G320" s="829"/>
      <c r="H320" s="105"/>
      <c r="I320" s="849"/>
      <c r="J320" s="108"/>
      <c r="K320" s="108"/>
      <c r="L320" s="106"/>
      <c r="M320" s="852"/>
      <c r="N320" s="217"/>
      <c r="O320" s="106"/>
      <c r="P320" s="106"/>
      <c r="Q320" s="840"/>
      <c r="R320" s="106"/>
      <c r="S320" s="852"/>
      <c r="T320" s="106"/>
      <c r="U320" s="106"/>
      <c r="V320" s="1260">
        <f>Table626893456791011347[[#This Row],[Offer Value]]-Table626893456791011347[[#This Row],[PO Value]]</f>
        <v>0</v>
      </c>
      <c r="W320" s="106"/>
      <c r="X320" s="106"/>
      <c r="Y320" s="217"/>
      <c r="Z320" s="257"/>
      <c r="AA320"/>
    </row>
    <row r="321" spans="1:27" s="171" customFormat="1" ht="15.6">
      <c r="A321" s="289">
        <f>ROW() - ROW(Table626893456791011347[[#Headers],[SL]])</f>
        <v>315</v>
      </c>
      <c r="B321" s="851"/>
      <c r="C321" s="105"/>
      <c r="D321" s="105"/>
      <c r="E321" s="105"/>
      <c r="F321" s="105"/>
      <c r="G321" s="829"/>
      <c r="H321" s="105"/>
      <c r="I321" s="849"/>
      <c r="J321" s="108"/>
      <c r="K321" s="108"/>
      <c r="L321" s="106"/>
      <c r="M321" s="852"/>
      <c r="N321" s="217"/>
      <c r="O321" s="106"/>
      <c r="P321" s="106"/>
      <c r="Q321" s="840"/>
      <c r="R321" s="106"/>
      <c r="S321" s="852"/>
      <c r="T321" s="106"/>
      <c r="U321" s="106"/>
      <c r="V321" s="1260">
        <f>Table626893456791011347[[#This Row],[Offer Value]]-Table626893456791011347[[#This Row],[PO Value]]</f>
        <v>0</v>
      </c>
      <c r="W321" s="106"/>
      <c r="X321" s="106"/>
      <c r="Y321" s="217"/>
      <c r="Z321" s="257"/>
      <c r="AA321"/>
    </row>
    <row r="322" spans="1:27" s="171" customFormat="1" ht="15.6">
      <c r="A322" s="289">
        <f>ROW() - ROW(Table626893456791011347[[#Headers],[SL]])</f>
        <v>316</v>
      </c>
      <c r="B322" s="851"/>
      <c r="C322" s="105"/>
      <c r="D322" s="105"/>
      <c r="E322" s="105"/>
      <c r="F322" s="105"/>
      <c r="G322" s="829"/>
      <c r="H322" s="105"/>
      <c r="I322" s="849"/>
      <c r="J322" s="108"/>
      <c r="K322" s="108"/>
      <c r="L322" s="106"/>
      <c r="M322" s="852"/>
      <c r="N322" s="217"/>
      <c r="O322" s="106"/>
      <c r="P322" s="106"/>
      <c r="Q322" s="840"/>
      <c r="R322" s="106"/>
      <c r="S322" s="852"/>
      <c r="T322" s="106"/>
      <c r="U322" s="106"/>
      <c r="V322" s="1260">
        <f>Table626893456791011347[[#This Row],[Offer Value]]-Table626893456791011347[[#This Row],[PO Value]]</f>
        <v>0</v>
      </c>
      <c r="W322" s="106"/>
      <c r="X322" s="106"/>
      <c r="Y322" s="217"/>
      <c r="Z322" s="257"/>
      <c r="AA322"/>
    </row>
    <row r="323" spans="1:27" s="171" customFormat="1" ht="15.6">
      <c r="A323" s="289">
        <f>ROW() - ROW(Table626893456791011347[[#Headers],[SL]])</f>
        <v>317</v>
      </c>
      <c r="B323" s="851"/>
      <c r="C323" s="105"/>
      <c r="D323" s="105"/>
      <c r="E323" s="105"/>
      <c r="F323" s="105"/>
      <c r="G323" s="829"/>
      <c r="H323" s="105"/>
      <c r="I323" s="849"/>
      <c r="J323" s="108"/>
      <c r="K323" s="108"/>
      <c r="L323" s="106"/>
      <c r="M323" s="852"/>
      <c r="N323" s="217"/>
      <c r="O323" s="106"/>
      <c r="P323" s="106"/>
      <c r="Q323" s="840"/>
      <c r="R323" s="106"/>
      <c r="S323" s="852"/>
      <c r="T323" s="106"/>
      <c r="U323" s="106"/>
      <c r="V323" s="1260">
        <f>Table626893456791011347[[#This Row],[Offer Value]]-Table626893456791011347[[#This Row],[PO Value]]</f>
        <v>0</v>
      </c>
      <c r="W323" s="106"/>
      <c r="X323" s="106"/>
      <c r="Y323" s="217"/>
      <c r="Z323" s="257"/>
      <c r="AA323"/>
    </row>
    <row r="324" spans="1:27" s="171" customFormat="1" ht="15.6">
      <c r="A324" s="289">
        <f>ROW() - ROW(Table626893456791011347[[#Headers],[SL]])</f>
        <v>318</v>
      </c>
      <c r="B324" s="851"/>
      <c r="C324" s="105"/>
      <c r="D324" s="105"/>
      <c r="E324" s="105"/>
      <c r="F324" s="105"/>
      <c r="G324" s="829"/>
      <c r="H324" s="105"/>
      <c r="I324" s="849"/>
      <c r="J324" s="108"/>
      <c r="K324" s="108"/>
      <c r="L324" s="106"/>
      <c r="M324" s="852"/>
      <c r="N324" s="217"/>
      <c r="O324" s="106"/>
      <c r="P324" s="106"/>
      <c r="Q324" s="840"/>
      <c r="R324" s="106"/>
      <c r="S324" s="852"/>
      <c r="T324" s="106"/>
      <c r="U324" s="106"/>
      <c r="V324" s="1260">
        <f>Table626893456791011347[[#This Row],[Offer Value]]-Table626893456791011347[[#This Row],[PO Value]]</f>
        <v>0</v>
      </c>
      <c r="W324" s="106"/>
      <c r="X324" s="106"/>
      <c r="Y324" s="217"/>
      <c r="Z324" s="257"/>
      <c r="AA324"/>
    </row>
    <row r="325" spans="1:27" s="171" customFormat="1" ht="15.6">
      <c r="A325" s="289">
        <f>ROW() - ROW(Table626893456791011347[[#Headers],[SL]])</f>
        <v>319</v>
      </c>
      <c r="B325" s="851"/>
      <c r="C325" s="105"/>
      <c r="D325" s="105"/>
      <c r="E325" s="105"/>
      <c r="F325" s="105"/>
      <c r="G325" s="829"/>
      <c r="H325" s="105"/>
      <c r="I325" s="849"/>
      <c r="J325" s="108"/>
      <c r="K325" s="108"/>
      <c r="L325" s="106"/>
      <c r="M325" s="852"/>
      <c r="N325" s="217"/>
      <c r="O325" s="106"/>
      <c r="P325" s="106"/>
      <c r="Q325" s="840"/>
      <c r="R325" s="106"/>
      <c r="S325" s="852"/>
      <c r="T325" s="106"/>
      <c r="U325" s="106"/>
      <c r="V325" s="1260">
        <f>Table626893456791011347[[#This Row],[Offer Value]]-Table626893456791011347[[#This Row],[PO Value]]</f>
        <v>0</v>
      </c>
      <c r="W325" s="106"/>
      <c r="X325" s="106"/>
      <c r="Y325" s="217"/>
      <c r="Z325" s="257"/>
      <c r="AA325"/>
    </row>
    <row r="326" spans="1:27" s="171" customFormat="1" ht="15.6">
      <c r="A326" s="289">
        <f>ROW() - ROW(Table626893456791011347[[#Headers],[SL]])</f>
        <v>320</v>
      </c>
      <c r="B326" s="851"/>
      <c r="C326" s="105"/>
      <c r="D326" s="105"/>
      <c r="E326" s="105"/>
      <c r="F326" s="105"/>
      <c r="G326" s="829"/>
      <c r="H326" s="105"/>
      <c r="I326" s="849"/>
      <c r="J326" s="108"/>
      <c r="K326" s="108"/>
      <c r="L326" s="106"/>
      <c r="M326" s="852"/>
      <c r="N326" s="217"/>
      <c r="O326" s="106"/>
      <c r="P326" s="106"/>
      <c r="Q326" s="840"/>
      <c r="R326" s="106"/>
      <c r="S326" s="852"/>
      <c r="T326" s="106"/>
      <c r="U326" s="106"/>
      <c r="V326" s="1260">
        <f>Table626893456791011347[[#This Row],[Offer Value]]-Table626893456791011347[[#This Row],[PO Value]]</f>
        <v>0</v>
      </c>
      <c r="W326" s="106"/>
      <c r="X326" s="106"/>
      <c r="Y326" s="217"/>
      <c r="Z326" s="257"/>
      <c r="AA326"/>
    </row>
    <row r="327" spans="1:27" s="171" customFormat="1" ht="15.6">
      <c r="A327" s="289">
        <f>ROW() - ROW(Table626893456791011347[[#Headers],[SL]])</f>
        <v>321</v>
      </c>
      <c r="B327" s="851"/>
      <c r="C327" s="105"/>
      <c r="D327" s="105"/>
      <c r="E327" s="105"/>
      <c r="F327" s="105"/>
      <c r="G327" s="829"/>
      <c r="H327" s="105"/>
      <c r="I327" s="849"/>
      <c r="J327" s="108"/>
      <c r="K327" s="108"/>
      <c r="L327" s="106"/>
      <c r="M327" s="852"/>
      <c r="N327" s="217"/>
      <c r="O327" s="106"/>
      <c r="P327" s="106"/>
      <c r="Q327" s="840"/>
      <c r="R327" s="106"/>
      <c r="S327" s="852"/>
      <c r="T327" s="106"/>
      <c r="U327" s="106"/>
      <c r="V327" s="1260">
        <f>Table626893456791011347[[#This Row],[Offer Value]]-Table626893456791011347[[#This Row],[PO Value]]</f>
        <v>0</v>
      </c>
      <c r="W327" s="106"/>
      <c r="X327" s="106"/>
      <c r="Y327" s="217"/>
      <c r="Z327" s="257"/>
      <c r="AA327"/>
    </row>
    <row r="328" spans="1:27" s="171" customFormat="1" ht="15.6">
      <c r="A328" s="289">
        <f>ROW() - ROW(Table626893456791011347[[#Headers],[SL]])</f>
        <v>322</v>
      </c>
      <c r="B328" s="851"/>
      <c r="C328" s="105"/>
      <c r="D328" s="105"/>
      <c r="E328" s="105"/>
      <c r="F328" s="105"/>
      <c r="G328" s="829"/>
      <c r="H328" s="105"/>
      <c r="I328" s="849"/>
      <c r="J328" s="108"/>
      <c r="K328" s="108"/>
      <c r="L328" s="106"/>
      <c r="M328" s="852"/>
      <c r="N328" s="217"/>
      <c r="O328" s="106"/>
      <c r="P328" s="106"/>
      <c r="Q328" s="840"/>
      <c r="R328" s="106"/>
      <c r="S328" s="852"/>
      <c r="T328" s="106"/>
      <c r="U328" s="106"/>
      <c r="V328" s="1260">
        <f>Table626893456791011347[[#This Row],[Offer Value]]-Table626893456791011347[[#This Row],[PO Value]]</f>
        <v>0</v>
      </c>
      <c r="W328" s="106"/>
      <c r="X328" s="106"/>
      <c r="Y328" s="217"/>
      <c r="Z328" s="257"/>
      <c r="AA328"/>
    </row>
    <row r="329" spans="1:27" s="171" customFormat="1" ht="15.6">
      <c r="A329" s="289">
        <f>ROW() - ROW(Table626893456791011347[[#Headers],[SL]])</f>
        <v>323</v>
      </c>
      <c r="B329" s="851"/>
      <c r="C329" s="105"/>
      <c r="D329" s="105"/>
      <c r="E329" s="105"/>
      <c r="F329" s="105"/>
      <c r="G329" s="829"/>
      <c r="H329" s="105"/>
      <c r="I329" s="849"/>
      <c r="J329" s="108"/>
      <c r="K329" s="108"/>
      <c r="L329" s="106"/>
      <c r="M329" s="852"/>
      <c r="N329" s="217"/>
      <c r="O329" s="106"/>
      <c r="P329" s="106"/>
      <c r="Q329" s="840"/>
      <c r="R329" s="106"/>
      <c r="S329" s="852"/>
      <c r="T329" s="106"/>
      <c r="U329" s="106"/>
      <c r="V329" s="1260">
        <f>Table626893456791011347[[#This Row],[Offer Value]]-Table626893456791011347[[#This Row],[PO Value]]</f>
        <v>0</v>
      </c>
      <c r="W329" s="106"/>
      <c r="X329" s="106"/>
      <c r="Y329" s="217"/>
      <c r="Z329" s="257"/>
      <c r="AA329"/>
    </row>
    <row r="330" spans="1:27" s="171" customFormat="1" ht="15.6">
      <c r="A330" s="289">
        <f>ROW() - ROW(Table626893456791011347[[#Headers],[SL]])</f>
        <v>324</v>
      </c>
      <c r="B330" s="851"/>
      <c r="C330" s="105"/>
      <c r="D330" s="105"/>
      <c r="E330" s="105"/>
      <c r="F330" s="105"/>
      <c r="G330" s="829"/>
      <c r="H330" s="105"/>
      <c r="I330" s="849"/>
      <c r="J330" s="108"/>
      <c r="K330" s="108"/>
      <c r="L330" s="106"/>
      <c r="M330" s="852"/>
      <c r="N330" s="217"/>
      <c r="O330" s="106"/>
      <c r="P330" s="106"/>
      <c r="Q330" s="840"/>
      <c r="R330" s="106"/>
      <c r="S330" s="852"/>
      <c r="T330" s="106"/>
      <c r="U330" s="106"/>
      <c r="V330" s="1260">
        <f>Table626893456791011347[[#This Row],[Offer Value]]-Table626893456791011347[[#This Row],[PO Value]]</f>
        <v>0</v>
      </c>
      <c r="W330" s="106"/>
      <c r="X330" s="106"/>
      <c r="Y330" s="217"/>
      <c r="Z330" s="257"/>
      <c r="AA330"/>
    </row>
    <row r="331" spans="1:27" s="171" customFormat="1" ht="15.6">
      <c r="A331" s="289">
        <f>ROW() - ROW(Table626893456791011347[[#Headers],[SL]])</f>
        <v>325</v>
      </c>
      <c r="B331" s="851"/>
      <c r="C331" s="105"/>
      <c r="D331" s="105"/>
      <c r="E331" s="105"/>
      <c r="F331" s="105"/>
      <c r="G331" s="829"/>
      <c r="H331" s="105"/>
      <c r="I331" s="849"/>
      <c r="J331" s="108"/>
      <c r="K331" s="108"/>
      <c r="L331" s="106"/>
      <c r="M331" s="852"/>
      <c r="N331" s="217"/>
      <c r="O331" s="106"/>
      <c r="P331" s="106"/>
      <c r="Q331" s="840"/>
      <c r="R331" s="106"/>
      <c r="S331" s="852"/>
      <c r="T331" s="106"/>
      <c r="U331" s="106"/>
      <c r="V331" s="1260">
        <f>Table626893456791011347[[#This Row],[Offer Value]]-Table626893456791011347[[#This Row],[PO Value]]</f>
        <v>0</v>
      </c>
      <c r="W331" s="106"/>
      <c r="X331" s="106"/>
      <c r="Y331" s="217"/>
      <c r="Z331" s="257"/>
      <c r="AA331"/>
    </row>
    <row r="332" spans="1:27" s="171" customFormat="1" ht="15.6">
      <c r="A332" s="289">
        <f>ROW() - ROW(Table626893456791011347[[#Headers],[SL]])</f>
        <v>326</v>
      </c>
      <c r="B332" s="851"/>
      <c r="C332" s="105"/>
      <c r="D332" s="105"/>
      <c r="E332" s="105"/>
      <c r="F332" s="105"/>
      <c r="G332" s="829"/>
      <c r="H332" s="105"/>
      <c r="I332" s="849"/>
      <c r="J332" s="108"/>
      <c r="K332" s="108"/>
      <c r="L332" s="106"/>
      <c r="M332" s="852"/>
      <c r="N332" s="217"/>
      <c r="O332" s="106"/>
      <c r="P332" s="106"/>
      <c r="Q332" s="840"/>
      <c r="R332" s="106"/>
      <c r="S332" s="852"/>
      <c r="T332" s="106"/>
      <c r="U332" s="106"/>
      <c r="V332" s="1260">
        <f>Table626893456791011347[[#This Row],[Offer Value]]-Table626893456791011347[[#This Row],[PO Value]]</f>
        <v>0</v>
      </c>
      <c r="W332" s="106"/>
      <c r="X332" s="106"/>
      <c r="Y332" s="217"/>
      <c r="Z332" s="257"/>
      <c r="AA332"/>
    </row>
    <row r="333" spans="1:27" s="171" customFormat="1" ht="15.6">
      <c r="A333" s="289">
        <f>ROW() - ROW(Table626893456791011347[[#Headers],[SL]])</f>
        <v>327</v>
      </c>
      <c r="B333" s="851"/>
      <c r="C333" s="105"/>
      <c r="D333" s="105"/>
      <c r="E333" s="105"/>
      <c r="F333" s="105"/>
      <c r="G333" s="829"/>
      <c r="H333" s="105"/>
      <c r="I333" s="849"/>
      <c r="J333" s="108"/>
      <c r="K333" s="108"/>
      <c r="L333" s="106"/>
      <c r="M333" s="852"/>
      <c r="N333" s="217"/>
      <c r="O333" s="106"/>
      <c r="P333" s="106"/>
      <c r="Q333" s="840"/>
      <c r="R333" s="106"/>
      <c r="S333" s="852"/>
      <c r="T333" s="106"/>
      <c r="U333" s="106"/>
      <c r="V333" s="1260">
        <f>Table626893456791011347[[#This Row],[Offer Value]]-Table626893456791011347[[#This Row],[PO Value]]</f>
        <v>0</v>
      </c>
      <c r="W333" s="106"/>
      <c r="X333" s="106"/>
      <c r="Y333" s="217"/>
      <c r="Z333" s="257"/>
      <c r="AA333"/>
    </row>
    <row r="334" spans="1:27" s="171" customFormat="1" ht="15.6">
      <c r="A334" s="289">
        <f>ROW() - ROW(Table626893456791011347[[#Headers],[SL]])</f>
        <v>328</v>
      </c>
      <c r="B334" s="851"/>
      <c r="C334" s="105"/>
      <c r="D334" s="105"/>
      <c r="E334" s="105"/>
      <c r="F334" s="105"/>
      <c r="G334" s="829"/>
      <c r="H334" s="105"/>
      <c r="I334" s="849"/>
      <c r="J334" s="108"/>
      <c r="K334" s="108"/>
      <c r="L334" s="106"/>
      <c r="M334" s="852"/>
      <c r="N334" s="217"/>
      <c r="O334" s="106"/>
      <c r="P334" s="106"/>
      <c r="Q334" s="840"/>
      <c r="R334" s="106"/>
      <c r="S334" s="852"/>
      <c r="T334" s="106"/>
      <c r="U334" s="106"/>
      <c r="V334" s="1260">
        <f>Table626893456791011347[[#This Row],[Offer Value]]-Table626893456791011347[[#This Row],[PO Value]]</f>
        <v>0</v>
      </c>
      <c r="W334" s="106"/>
      <c r="X334" s="106"/>
      <c r="Y334" s="217"/>
      <c r="Z334" s="257"/>
      <c r="AA334"/>
    </row>
    <row r="335" spans="1:27" s="171" customFormat="1" ht="15.6">
      <c r="A335" s="289">
        <f>ROW() - ROW(Table626893456791011347[[#Headers],[SL]])</f>
        <v>329</v>
      </c>
      <c r="B335" s="851"/>
      <c r="C335" s="105"/>
      <c r="D335" s="105"/>
      <c r="E335" s="105"/>
      <c r="F335" s="105"/>
      <c r="G335" s="829"/>
      <c r="H335" s="105"/>
      <c r="I335" s="849"/>
      <c r="J335" s="108"/>
      <c r="K335" s="108"/>
      <c r="L335" s="106"/>
      <c r="M335" s="852"/>
      <c r="N335" s="217"/>
      <c r="O335" s="106"/>
      <c r="P335" s="106"/>
      <c r="Q335" s="840"/>
      <c r="R335" s="107"/>
      <c r="S335" s="852"/>
      <c r="T335" s="106"/>
      <c r="U335" s="106"/>
      <c r="V335" s="1260">
        <f>Table626893456791011347[[#This Row],[Offer Value]]-Table626893456791011347[[#This Row],[PO Value]]</f>
        <v>0</v>
      </c>
      <c r="W335" s="106"/>
      <c r="X335" s="106"/>
      <c r="Y335" s="617"/>
      <c r="Z335" s="257"/>
      <c r="AA335"/>
    </row>
    <row r="336" spans="1:27" s="171" customFormat="1" ht="15.6">
      <c r="A336" s="289">
        <f>ROW() - ROW(Table626893456791011347[[#Headers],[SL]])</f>
        <v>330</v>
      </c>
      <c r="B336" s="851"/>
      <c r="C336" s="105"/>
      <c r="D336" s="105"/>
      <c r="E336" s="105"/>
      <c r="F336" s="105"/>
      <c r="G336" s="829"/>
      <c r="H336" s="105"/>
      <c r="I336" s="849"/>
      <c r="J336" s="108"/>
      <c r="K336" s="108"/>
      <c r="L336" s="106"/>
      <c r="M336" s="852"/>
      <c r="N336" s="217"/>
      <c r="O336" s="106"/>
      <c r="P336" s="106"/>
      <c r="Q336" s="840"/>
      <c r="R336" s="106"/>
      <c r="S336" s="852"/>
      <c r="T336" s="106"/>
      <c r="U336" s="106"/>
      <c r="V336" s="1260">
        <f>Table626893456791011347[[#This Row],[Offer Value]]-Table626893456791011347[[#This Row],[PO Value]]</f>
        <v>0</v>
      </c>
      <c r="W336" s="106"/>
      <c r="X336" s="106"/>
      <c r="Y336" s="217"/>
      <c r="Z336" s="257"/>
      <c r="AA336"/>
    </row>
    <row r="337" spans="1:27" s="171" customFormat="1" ht="15.6">
      <c r="A337" s="289">
        <f>ROW() - ROW(Table626893456791011347[[#Headers],[SL]])</f>
        <v>331</v>
      </c>
      <c r="B337" s="851"/>
      <c r="C337" s="105"/>
      <c r="D337" s="105"/>
      <c r="E337" s="105"/>
      <c r="F337" s="105"/>
      <c r="G337" s="829"/>
      <c r="H337" s="105"/>
      <c r="I337" s="849"/>
      <c r="J337" s="108"/>
      <c r="K337" s="108"/>
      <c r="L337" s="106"/>
      <c r="M337" s="852"/>
      <c r="N337" s="217"/>
      <c r="O337" s="106"/>
      <c r="P337" s="106"/>
      <c r="Q337" s="840"/>
      <c r="R337" s="106"/>
      <c r="S337" s="852"/>
      <c r="T337" s="106"/>
      <c r="U337" s="106"/>
      <c r="V337" s="1260">
        <f>Table626893456791011347[[#This Row],[Offer Value]]-Table626893456791011347[[#This Row],[PO Value]]</f>
        <v>0</v>
      </c>
      <c r="W337" s="106"/>
      <c r="X337" s="106"/>
      <c r="Y337" s="217"/>
      <c r="Z337" s="257"/>
      <c r="AA337"/>
    </row>
    <row r="338" spans="1:27" s="171" customFormat="1" ht="15.6">
      <c r="A338" s="289">
        <f>ROW() - ROW(Table626893456791011347[[#Headers],[SL]])</f>
        <v>332</v>
      </c>
      <c r="B338" s="851"/>
      <c r="C338" s="105"/>
      <c r="D338" s="105"/>
      <c r="E338" s="105"/>
      <c r="F338" s="105"/>
      <c r="G338" s="829"/>
      <c r="H338" s="105"/>
      <c r="I338" s="849"/>
      <c r="J338" s="108"/>
      <c r="K338" s="108"/>
      <c r="L338" s="106"/>
      <c r="M338" s="852"/>
      <c r="N338" s="217"/>
      <c r="O338" s="106"/>
      <c r="P338" s="106"/>
      <c r="Q338" s="840"/>
      <c r="R338" s="106"/>
      <c r="S338" s="852"/>
      <c r="T338" s="106"/>
      <c r="U338" s="106"/>
      <c r="V338" s="1260">
        <f>Table626893456791011347[[#This Row],[Offer Value]]-Table626893456791011347[[#This Row],[PO Value]]</f>
        <v>0</v>
      </c>
      <c r="W338" s="106"/>
      <c r="X338" s="106"/>
      <c r="Y338" s="217"/>
      <c r="Z338" s="257"/>
      <c r="AA338"/>
    </row>
    <row r="339" spans="1:27" s="171" customFormat="1" ht="15.6">
      <c r="A339" s="289">
        <f>ROW() - ROW(Table626893456791011347[[#Headers],[SL]])</f>
        <v>333</v>
      </c>
      <c r="B339" s="851"/>
      <c r="C339" s="105"/>
      <c r="D339" s="105"/>
      <c r="E339" s="105"/>
      <c r="F339" s="105"/>
      <c r="G339" s="829"/>
      <c r="H339" s="105"/>
      <c r="I339" s="849"/>
      <c r="J339" s="108"/>
      <c r="K339" s="108"/>
      <c r="L339" s="106"/>
      <c r="M339" s="852"/>
      <c r="N339" s="217"/>
      <c r="O339" s="106"/>
      <c r="P339" s="106"/>
      <c r="Q339" s="840"/>
      <c r="R339" s="106"/>
      <c r="S339" s="852"/>
      <c r="T339" s="106"/>
      <c r="U339" s="106"/>
      <c r="V339" s="1260">
        <f>Table626893456791011347[[#This Row],[Offer Value]]-Table626893456791011347[[#This Row],[PO Value]]</f>
        <v>0</v>
      </c>
      <c r="W339" s="106"/>
      <c r="X339" s="106"/>
      <c r="Y339" s="217"/>
      <c r="Z339" s="257"/>
      <c r="AA339"/>
    </row>
    <row r="340" spans="1:27" s="171" customFormat="1" ht="15.6">
      <c r="A340" s="289">
        <f>ROW() - ROW(Table626893456791011347[[#Headers],[SL]])</f>
        <v>334</v>
      </c>
      <c r="B340" s="851"/>
      <c r="C340" s="105"/>
      <c r="D340" s="105"/>
      <c r="E340" s="105"/>
      <c r="F340" s="105"/>
      <c r="G340" s="829"/>
      <c r="H340" s="105"/>
      <c r="I340" s="849"/>
      <c r="J340" s="108"/>
      <c r="K340" s="108"/>
      <c r="L340" s="106"/>
      <c r="M340" s="852"/>
      <c r="N340" s="217"/>
      <c r="O340" s="106"/>
      <c r="P340" s="106"/>
      <c r="Q340" s="840"/>
      <c r="R340" s="106"/>
      <c r="S340" s="852"/>
      <c r="T340" s="106"/>
      <c r="U340" s="106"/>
      <c r="V340" s="1260">
        <f>Table626893456791011347[[#This Row],[Offer Value]]-Table626893456791011347[[#This Row],[PO Value]]</f>
        <v>0</v>
      </c>
      <c r="W340" s="106"/>
      <c r="X340" s="106"/>
      <c r="Y340" s="217"/>
      <c r="Z340" s="257"/>
      <c r="AA340"/>
    </row>
    <row r="341" spans="1:27" s="171" customFormat="1" ht="15.6">
      <c r="A341" s="289">
        <f>ROW() - ROW(Table626893456791011347[[#Headers],[SL]])</f>
        <v>335</v>
      </c>
      <c r="B341" s="851"/>
      <c r="C341" s="105"/>
      <c r="D341" s="105"/>
      <c r="E341" s="105"/>
      <c r="F341" s="105"/>
      <c r="G341" s="829"/>
      <c r="H341" s="105"/>
      <c r="I341" s="849"/>
      <c r="J341" s="108"/>
      <c r="K341" s="108"/>
      <c r="L341" s="106"/>
      <c r="M341" s="852"/>
      <c r="N341" s="217"/>
      <c r="O341" s="106"/>
      <c r="P341" s="106"/>
      <c r="Q341" s="840"/>
      <c r="R341" s="106"/>
      <c r="S341" s="852"/>
      <c r="T341" s="106"/>
      <c r="U341" s="106"/>
      <c r="V341" s="1260">
        <f>Table626893456791011347[[#This Row],[Offer Value]]-Table626893456791011347[[#This Row],[PO Value]]</f>
        <v>0</v>
      </c>
      <c r="W341" s="106"/>
      <c r="X341" s="106"/>
      <c r="Y341" s="217"/>
      <c r="Z341" s="257"/>
      <c r="AA341"/>
    </row>
    <row r="342" spans="1:27" s="171" customFormat="1" ht="15.6">
      <c r="A342" s="289">
        <f>ROW() - ROW(Table626893456791011347[[#Headers],[SL]])</f>
        <v>336</v>
      </c>
      <c r="B342" s="851"/>
      <c r="C342" s="105"/>
      <c r="D342" s="105"/>
      <c r="E342" s="105"/>
      <c r="F342" s="105"/>
      <c r="G342" s="829"/>
      <c r="H342" s="105"/>
      <c r="I342" s="849"/>
      <c r="J342" s="108"/>
      <c r="K342" s="108"/>
      <c r="L342" s="106"/>
      <c r="M342" s="852"/>
      <c r="N342" s="217"/>
      <c r="O342" s="106"/>
      <c r="P342" s="106"/>
      <c r="Q342" s="840"/>
      <c r="R342" s="106"/>
      <c r="S342" s="852"/>
      <c r="T342" s="106"/>
      <c r="U342" s="106"/>
      <c r="V342" s="1260">
        <f>Table626893456791011347[[#This Row],[Offer Value]]-Table626893456791011347[[#This Row],[PO Value]]</f>
        <v>0</v>
      </c>
      <c r="W342" s="106"/>
      <c r="X342" s="106"/>
      <c r="Y342" s="217"/>
      <c r="Z342" s="257"/>
      <c r="AA342"/>
    </row>
    <row r="343" spans="1:27" s="171" customFormat="1" ht="15.6">
      <c r="A343" s="289">
        <f>ROW() - ROW(Table626893456791011347[[#Headers],[SL]])</f>
        <v>337</v>
      </c>
      <c r="B343" s="851"/>
      <c r="C343" s="105"/>
      <c r="D343" s="105"/>
      <c r="E343" s="105"/>
      <c r="F343" s="105"/>
      <c r="G343" s="829"/>
      <c r="H343" s="105"/>
      <c r="I343" s="849"/>
      <c r="J343" s="108"/>
      <c r="K343" s="108"/>
      <c r="L343" s="106"/>
      <c r="M343" s="852"/>
      <c r="N343" s="217"/>
      <c r="O343" s="106"/>
      <c r="P343" s="106"/>
      <c r="Q343" s="840"/>
      <c r="R343" s="107"/>
      <c r="S343" s="852"/>
      <c r="T343" s="106"/>
      <c r="U343" s="106"/>
      <c r="V343" s="1260">
        <f>Table626893456791011347[[#This Row],[Offer Value]]-Table626893456791011347[[#This Row],[PO Value]]</f>
        <v>0</v>
      </c>
      <c r="W343" s="106"/>
      <c r="X343" s="106"/>
      <c r="Y343" s="617"/>
      <c r="Z343" s="257"/>
      <c r="AA343"/>
    </row>
    <row r="344" spans="1:27" s="171" customFormat="1" ht="15.6">
      <c r="A344" s="289">
        <f>ROW() - ROW(Table626893456791011347[[#Headers],[SL]])</f>
        <v>338</v>
      </c>
      <c r="B344" s="851"/>
      <c r="C344" s="106"/>
      <c r="D344" s="106"/>
      <c r="E344" s="106"/>
      <c r="F344" s="106"/>
      <c r="G344" s="217"/>
      <c r="H344" s="106"/>
      <c r="I344" s="851"/>
      <c r="J344" s="108"/>
      <c r="K344" s="108"/>
      <c r="L344" s="106"/>
      <c r="M344" s="852"/>
      <c r="N344" s="217"/>
      <c r="O344" s="106"/>
      <c r="P344" s="106"/>
      <c r="Q344" s="840"/>
      <c r="R344" s="106"/>
      <c r="S344" s="852"/>
      <c r="T344" s="106"/>
      <c r="U344" s="106"/>
      <c r="V344" s="1260">
        <f>Table626893456791011347[[#This Row],[Offer Value]]-Table626893456791011347[[#This Row],[PO Value]]</f>
        <v>0</v>
      </c>
      <c r="W344" s="106"/>
      <c r="X344" s="106"/>
      <c r="Y344" s="217"/>
      <c r="Z344" s="257"/>
      <c r="AA344"/>
    </row>
    <row r="345" spans="1:27" s="171" customFormat="1" ht="15.6">
      <c r="A345" s="289">
        <f>ROW() - ROW(Table626893456791011347[[#Headers],[SL]])</f>
        <v>339</v>
      </c>
      <c r="B345" s="851"/>
      <c r="C345" s="106"/>
      <c r="D345" s="106"/>
      <c r="E345" s="106"/>
      <c r="F345" s="106"/>
      <c r="G345" s="217"/>
      <c r="H345" s="106"/>
      <c r="I345" s="851"/>
      <c r="J345" s="108"/>
      <c r="K345" s="108"/>
      <c r="L345" s="106"/>
      <c r="M345" s="852"/>
      <c r="N345" s="217"/>
      <c r="O345" s="106"/>
      <c r="P345" s="106"/>
      <c r="Q345" s="840"/>
      <c r="R345" s="106"/>
      <c r="S345" s="852"/>
      <c r="T345" s="106"/>
      <c r="U345" s="106"/>
      <c r="V345" s="1260">
        <f>Table626893456791011347[[#This Row],[Offer Value]]-Table626893456791011347[[#This Row],[PO Value]]</f>
        <v>0</v>
      </c>
      <c r="W345" s="106"/>
      <c r="X345" s="106"/>
      <c r="Y345" s="217"/>
      <c r="Z345" s="257"/>
      <c r="AA345"/>
    </row>
    <row r="346" spans="1:27" s="171" customFormat="1" ht="15.6">
      <c r="A346" s="289">
        <f>ROW() - ROW(Table626893456791011347[[#Headers],[SL]])</f>
        <v>340</v>
      </c>
      <c r="B346" s="851"/>
      <c r="C346" s="106"/>
      <c r="D346" s="106"/>
      <c r="E346" s="106"/>
      <c r="F346" s="106"/>
      <c r="G346" s="217"/>
      <c r="H346" s="106"/>
      <c r="I346" s="851"/>
      <c r="J346" s="108"/>
      <c r="K346" s="108"/>
      <c r="L346" s="106"/>
      <c r="M346" s="852"/>
      <c r="N346" s="217"/>
      <c r="O346" s="106"/>
      <c r="P346" s="106"/>
      <c r="Q346" s="840"/>
      <c r="R346" s="106"/>
      <c r="S346" s="852"/>
      <c r="T346" s="106"/>
      <c r="U346" s="106"/>
      <c r="V346" s="1260">
        <f>Table626893456791011347[[#This Row],[Offer Value]]-Table626893456791011347[[#This Row],[PO Value]]</f>
        <v>0</v>
      </c>
      <c r="W346" s="106"/>
      <c r="X346" s="106"/>
      <c r="Y346" s="217"/>
      <c r="Z346" s="257"/>
      <c r="AA346"/>
    </row>
    <row r="347" spans="1:27" s="171" customFormat="1" ht="15.6">
      <c r="A347" s="289">
        <f>ROW() - ROW(Table626893456791011347[[#Headers],[SL]])</f>
        <v>341</v>
      </c>
      <c r="B347" s="851"/>
      <c r="C347" s="106"/>
      <c r="D347" s="106"/>
      <c r="E347" s="106"/>
      <c r="F347" s="106"/>
      <c r="G347" s="217"/>
      <c r="H347" s="106"/>
      <c r="I347" s="851"/>
      <c r="J347" s="108"/>
      <c r="K347" s="108"/>
      <c r="L347" s="106"/>
      <c r="M347" s="852"/>
      <c r="N347" s="217"/>
      <c r="O347" s="106"/>
      <c r="P347" s="106"/>
      <c r="Q347" s="840"/>
      <c r="R347" s="106"/>
      <c r="S347" s="852"/>
      <c r="T347" s="106"/>
      <c r="U347" s="106"/>
      <c r="V347" s="1260">
        <f>Table626893456791011347[[#This Row],[Offer Value]]-Table626893456791011347[[#This Row],[PO Value]]</f>
        <v>0</v>
      </c>
      <c r="W347" s="106"/>
      <c r="X347" s="106"/>
      <c r="Y347" s="217"/>
      <c r="Z347" s="257"/>
      <c r="AA347"/>
    </row>
    <row r="348" spans="1:27" s="171" customFormat="1" ht="15.6">
      <c r="A348" s="289">
        <f>ROW() - ROW(Table626893456791011347[[#Headers],[SL]])</f>
        <v>342</v>
      </c>
      <c r="B348" s="851"/>
      <c r="C348" s="106"/>
      <c r="D348" s="106"/>
      <c r="E348" s="106"/>
      <c r="F348" s="106"/>
      <c r="G348" s="217"/>
      <c r="H348" s="106"/>
      <c r="I348" s="851"/>
      <c r="J348" s="108"/>
      <c r="K348" s="108"/>
      <c r="L348" s="106"/>
      <c r="M348" s="852"/>
      <c r="N348" s="217"/>
      <c r="O348" s="106"/>
      <c r="P348" s="106"/>
      <c r="Q348" s="840"/>
      <c r="R348" s="106"/>
      <c r="S348" s="852"/>
      <c r="T348" s="106"/>
      <c r="U348" s="106"/>
      <c r="V348" s="1260">
        <f>Table626893456791011347[[#This Row],[Offer Value]]-Table626893456791011347[[#This Row],[PO Value]]</f>
        <v>0</v>
      </c>
      <c r="W348" s="106"/>
      <c r="X348" s="106"/>
      <c r="Y348" s="217"/>
      <c r="Z348" s="257"/>
      <c r="AA348"/>
    </row>
    <row r="349" spans="1:27" s="171" customFormat="1" ht="15.6">
      <c r="A349" s="289">
        <f>ROW() - ROW(Table626893456791011347[[#Headers],[SL]])</f>
        <v>343</v>
      </c>
      <c r="B349" s="851"/>
      <c r="C349" s="106"/>
      <c r="D349" s="106"/>
      <c r="E349" s="106"/>
      <c r="F349" s="106"/>
      <c r="G349" s="217"/>
      <c r="H349" s="106"/>
      <c r="I349" s="851"/>
      <c r="J349" s="108"/>
      <c r="K349" s="108"/>
      <c r="L349" s="106"/>
      <c r="M349" s="852"/>
      <c r="N349" s="217"/>
      <c r="O349" s="106"/>
      <c r="P349" s="106"/>
      <c r="Q349" s="840"/>
      <c r="R349" s="106"/>
      <c r="S349" s="852"/>
      <c r="T349" s="106"/>
      <c r="U349" s="106"/>
      <c r="V349" s="1260">
        <f>Table626893456791011347[[#This Row],[Offer Value]]-Table626893456791011347[[#This Row],[PO Value]]</f>
        <v>0</v>
      </c>
      <c r="W349" s="106"/>
      <c r="X349" s="106"/>
      <c r="Y349" s="217"/>
      <c r="Z349" s="257"/>
      <c r="AA349"/>
    </row>
    <row r="350" spans="1:27" s="171" customFormat="1" ht="15.6">
      <c r="A350" s="289">
        <f>ROW() - ROW(Table626893456791011347[[#Headers],[SL]])</f>
        <v>344</v>
      </c>
      <c r="B350" s="851"/>
      <c r="C350" s="106"/>
      <c r="D350" s="106"/>
      <c r="E350" s="106"/>
      <c r="F350" s="106"/>
      <c r="G350" s="217"/>
      <c r="H350" s="106"/>
      <c r="I350" s="851"/>
      <c r="J350" s="108"/>
      <c r="K350" s="108"/>
      <c r="L350" s="106"/>
      <c r="M350" s="852"/>
      <c r="N350" s="217"/>
      <c r="O350" s="106"/>
      <c r="P350" s="106"/>
      <c r="Q350" s="840"/>
      <c r="R350" s="106"/>
      <c r="S350" s="852"/>
      <c r="T350" s="106"/>
      <c r="U350" s="106"/>
      <c r="V350" s="1260">
        <f>Table626893456791011347[[#This Row],[Offer Value]]-Table626893456791011347[[#This Row],[PO Value]]</f>
        <v>0</v>
      </c>
      <c r="W350" s="106"/>
      <c r="X350" s="106"/>
      <c r="Y350" s="217"/>
      <c r="Z350" s="257"/>
      <c r="AA350"/>
    </row>
    <row r="351" spans="1:27" s="171" customFormat="1" ht="15.6">
      <c r="A351" s="289">
        <f>ROW() - ROW(Table626893456791011347[[#Headers],[SL]])</f>
        <v>345</v>
      </c>
      <c r="B351" s="851"/>
      <c r="C351" s="106"/>
      <c r="D351" s="106"/>
      <c r="E351" s="106"/>
      <c r="F351" s="106"/>
      <c r="G351" s="217"/>
      <c r="H351" s="106"/>
      <c r="I351" s="851"/>
      <c r="J351" s="108"/>
      <c r="K351" s="108"/>
      <c r="L351" s="106"/>
      <c r="M351" s="852"/>
      <c r="N351" s="217"/>
      <c r="O351" s="106"/>
      <c r="P351" s="106"/>
      <c r="Q351" s="840"/>
      <c r="R351" s="106"/>
      <c r="S351" s="852"/>
      <c r="T351" s="106"/>
      <c r="U351" s="106"/>
      <c r="V351" s="1260">
        <f>Table626893456791011347[[#This Row],[Offer Value]]-Table626893456791011347[[#This Row],[PO Value]]</f>
        <v>0</v>
      </c>
      <c r="W351" s="106"/>
      <c r="X351" s="106"/>
      <c r="Y351" s="217"/>
      <c r="Z351" s="257"/>
      <c r="AA351"/>
    </row>
    <row r="352" spans="1:27" s="171" customFormat="1" ht="15.6">
      <c r="A352" s="289">
        <f>ROW() - ROW(Table626893456791011347[[#Headers],[SL]])</f>
        <v>346</v>
      </c>
      <c r="B352" s="851"/>
      <c r="C352" s="106"/>
      <c r="D352" s="106"/>
      <c r="E352" s="106"/>
      <c r="F352" s="106"/>
      <c r="G352" s="217"/>
      <c r="H352" s="106"/>
      <c r="I352" s="851"/>
      <c r="J352" s="108"/>
      <c r="K352" s="108"/>
      <c r="L352" s="106"/>
      <c r="M352" s="852"/>
      <c r="N352" s="217"/>
      <c r="O352" s="106"/>
      <c r="P352" s="106"/>
      <c r="Q352" s="840"/>
      <c r="R352" s="106"/>
      <c r="S352" s="852"/>
      <c r="T352" s="106"/>
      <c r="U352" s="106"/>
      <c r="V352" s="1260">
        <f>Table626893456791011347[[#This Row],[Offer Value]]-Table626893456791011347[[#This Row],[PO Value]]</f>
        <v>0</v>
      </c>
      <c r="W352" s="106"/>
      <c r="X352" s="106"/>
      <c r="Y352" s="217"/>
      <c r="Z352" s="257"/>
      <c r="AA352"/>
    </row>
    <row r="353" spans="1:27" s="171" customFormat="1" ht="15.6">
      <c r="A353" s="289">
        <f>ROW() - ROW(Table626893456791011347[[#Headers],[SL]])</f>
        <v>347</v>
      </c>
      <c r="B353" s="851"/>
      <c r="C353" s="106"/>
      <c r="D353" s="106"/>
      <c r="E353" s="106"/>
      <c r="F353" s="106"/>
      <c r="G353" s="217"/>
      <c r="H353" s="106"/>
      <c r="I353" s="851"/>
      <c r="J353" s="108"/>
      <c r="K353" s="108"/>
      <c r="L353" s="106"/>
      <c r="M353" s="852"/>
      <c r="N353" s="217"/>
      <c r="O353" s="106"/>
      <c r="P353" s="106"/>
      <c r="Q353" s="840"/>
      <c r="R353" s="106"/>
      <c r="S353" s="852"/>
      <c r="T353" s="106"/>
      <c r="U353" s="106"/>
      <c r="V353" s="1260">
        <f>Table626893456791011347[[#This Row],[Offer Value]]-Table626893456791011347[[#This Row],[PO Value]]</f>
        <v>0</v>
      </c>
      <c r="W353" s="106"/>
      <c r="X353" s="106"/>
      <c r="Y353" s="217"/>
      <c r="Z353" s="257"/>
      <c r="AA353"/>
    </row>
    <row r="354" spans="1:27" s="171" customFormat="1" ht="15.6">
      <c r="A354" s="289">
        <f>ROW() - ROW(Table626893456791011347[[#Headers],[SL]])</f>
        <v>348</v>
      </c>
      <c r="B354" s="851"/>
      <c r="C354" s="106"/>
      <c r="D354" s="106"/>
      <c r="E354" s="106"/>
      <c r="F354" s="106"/>
      <c r="G354" s="217"/>
      <c r="H354" s="106"/>
      <c r="I354" s="851"/>
      <c r="J354" s="108"/>
      <c r="K354" s="108"/>
      <c r="L354" s="106"/>
      <c r="M354" s="852"/>
      <c r="N354" s="217"/>
      <c r="O354" s="106"/>
      <c r="P354" s="106"/>
      <c r="Q354" s="840"/>
      <c r="R354" s="106"/>
      <c r="S354" s="852"/>
      <c r="T354" s="106"/>
      <c r="U354" s="106"/>
      <c r="V354" s="1260">
        <f>Table626893456791011347[[#This Row],[Offer Value]]-Table626893456791011347[[#This Row],[PO Value]]</f>
        <v>0</v>
      </c>
      <c r="W354" s="106"/>
      <c r="X354" s="106"/>
      <c r="Y354" s="217"/>
      <c r="Z354" s="257"/>
      <c r="AA354"/>
    </row>
    <row r="355" spans="1:27" s="171" customFormat="1" ht="15.6">
      <c r="A355" s="289">
        <f>ROW() - ROW(Table626893456791011347[[#Headers],[SL]])</f>
        <v>349</v>
      </c>
      <c r="B355" s="851"/>
      <c r="C355" s="106"/>
      <c r="D355" s="106"/>
      <c r="E355" s="106"/>
      <c r="F355" s="106"/>
      <c r="G355" s="217"/>
      <c r="H355" s="106"/>
      <c r="I355" s="851"/>
      <c r="J355" s="108"/>
      <c r="K355" s="108"/>
      <c r="L355" s="106"/>
      <c r="M355" s="852"/>
      <c r="N355" s="217"/>
      <c r="O355" s="106"/>
      <c r="P355" s="106"/>
      <c r="Q355" s="840"/>
      <c r="R355" s="106"/>
      <c r="S355" s="852"/>
      <c r="T355" s="106"/>
      <c r="U355" s="106"/>
      <c r="V355" s="1260">
        <f>Table626893456791011347[[#This Row],[Offer Value]]-Table626893456791011347[[#This Row],[PO Value]]</f>
        <v>0</v>
      </c>
      <c r="W355" s="106"/>
      <c r="X355" s="106"/>
      <c r="Y355" s="217"/>
      <c r="Z355" s="257"/>
      <c r="AA355"/>
    </row>
    <row r="356" spans="1:27" s="171" customFormat="1" ht="15.6">
      <c r="A356" s="289">
        <f>ROW() - ROW(Table626893456791011347[[#Headers],[SL]])</f>
        <v>350</v>
      </c>
      <c r="B356" s="851"/>
      <c r="C356" s="106"/>
      <c r="D356" s="106"/>
      <c r="E356" s="106"/>
      <c r="F356" s="106"/>
      <c r="G356" s="217"/>
      <c r="H356" s="106"/>
      <c r="I356" s="851"/>
      <c r="J356" s="108"/>
      <c r="K356" s="108"/>
      <c r="L356" s="106"/>
      <c r="M356" s="852"/>
      <c r="N356" s="217"/>
      <c r="O356" s="106"/>
      <c r="P356" s="106"/>
      <c r="Q356" s="840"/>
      <c r="R356" s="106"/>
      <c r="S356" s="852"/>
      <c r="T356" s="106"/>
      <c r="U356" s="106"/>
      <c r="V356" s="1260">
        <f>Table626893456791011347[[#This Row],[Offer Value]]-Table626893456791011347[[#This Row],[PO Value]]</f>
        <v>0</v>
      </c>
      <c r="W356" s="106"/>
      <c r="X356" s="106"/>
      <c r="Y356" s="217"/>
      <c r="Z356" s="257"/>
      <c r="AA356"/>
    </row>
    <row r="357" spans="1:27" s="171" customFormat="1" ht="15.6">
      <c r="A357" s="289">
        <f>ROW() - ROW(Table626893456791011347[[#Headers],[SL]])</f>
        <v>351</v>
      </c>
      <c r="B357" s="851"/>
      <c r="C357" s="106"/>
      <c r="D357" s="106"/>
      <c r="E357" s="106"/>
      <c r="F357" s="106"/>
      <c r="G357" s="217"/>
      <c r="H357" s="106"/>
      <c r="I357" s="851"/>
      <c r="J357" s="108"/>
      <c r="K357" s="108"/>
      <c r="L357" s="106"/>
      <c r="M357" s="852"/>
      <c r="N357" s="217"/>
      <c r="O357" s="106"/>
      <c r="P357" s="106"/>
      <c r="Q357" s="840"/>
      <c r="R357" s="106"/>
      <c r="S357" s="852"/>
      <c r="T357" s="106"/>
      <c r="U357" s="106"/>
      <c r="V357" s="1260">
        <f>Table626893456791011347[[#This Row],[Offer Value]]-Table626893456791011347[[#This Row],[PO Value]]</f>
        <v>0</v>
      </c>
      <c r="W357" s="106"/>
      <c r="X357" s="106"/>
      <c r="Y357" s="217"/>
      <c r="Z357" s="257"/>
      <c r="AA357"/>
    </row>
    <row r="358" spans="1:27" s="171" customFormat="1" ht="15.6">
      <c r="A358" s="289">
        <f>ROW() - ROW(Table626893456791011347[[#Headers],[SL]])</f>
        <v>352</v>
      </c>
      <c r="B358" s="851"/>
      <c r="C358" s="106"/>
      <c r="D358" s="106"/>
      <c r="E358" s="106"/>
      <c r="F358" s="106"/>
      <c r="G358" s="217"/>
      <c r="H358" s="106"/>
      <c r="I358" s="851"/>
      <c r="J358" s="108"/>
      <c r="K358" s="108"/>
      <c r="L358" s="106"/>
      <c r="M358" s="852"/>
      <c r="N358" s="217"/>
      <c r="O358" s="106"/>
      <c r="P358" s="106"/>
      <c r="Q358" s="840"/>
      <c r="R358" s="106"/>
      <c r="S358" s="852"/>
      <c r="T358" s="106"/>
      <c r="U358" s="106"/>
      <c r="V358" s="1260">
        <f>Table626893456791011347[[#This Row],[Offer Value]]-Table626893456791011347[[#This Row],[PO Value]]</f>
        <v>0</v>
      </c>
      <c r="W358" s="106"/>
      <c r="X358" s="106"/>
      <c r="Y358" s="217"/>
      <c r="Z358" s="257"/>
      <c r="AA358"/>
    </row>
    <row r="359" spans="1:27" s="171" customFormat="1" ht="15.6">
      <c r="A359" s="289">
        <f>ROW() - ROW(Table626893456791011347[[#Headers],[SL]])</f>
        <v>353</v>
      </c>
      <c r="B359" s="851"/>
      <c r="C359" s="106"/>
      <c r="D359" s="106"/>
      <c r="E359" s="106"/>
      <c r="F359" s="106"/>
      <c r="G359" s="217"/>
      <c r="H359" s="106"/>
      <c r="I359" s="851"/>
      <c r="J359" s="108"/>
      <c r="K359" s="108"/>
      <c r="L359" s="106"/>
      <c r="M359" s="852"/>
      <c r="N359" s="217"/>
      <c r="O359" s="106"/>
      <c r="P359" s="106"/>
      <c r="Q359" s="840"/>
      <c r="R359" s="106"/>
      <c r="S359" s="852"/>
      <c r="T359" s="106"/>
      <c r="U359" s="106"/>
      <c r="V359" s="1260">
        <f>Table626893456791011347[[#This Row],[Offer Value]]-Table626893456791011347[[#This Row],[PO Value]]</f>
        <v>0</v>
      </c>
      <c r="W359" s="106"/>
      <c r="X359" s="106"/>
      <c r="Y359" s="217"/>
      <c r="Z359" s="257"/>
      <c r="AA359"/>
    </row>
    <row r="360" spans="1:27" s="171" customFormat="1" ht="15.6">
      <c r="A360" s="289">
        <f>ROW() - ROW(Table626893456791011347[[#Headers],[SL]])</f>
        <v>354</v>
      </c>
      <c r="B360" s="851"/>
      <c r="C360" s="106"/>
      <c r="D360" s="106"/>
      <c r="E360" s="106"/>
      <c r="F360" s="106"/>
      <c r="G360" s="217"/>
      <c r="H360" s="106"/>
      <c r="I360" s="851"/>
      <c r="J360" s="108"/>
      <c r="K360" s="108"/>
      <c r="L360" s="106"/>
      <c r="M360" s="852"/>
      <c r="N360" s="217"/>
      <c r="O360" s="106"/>
      <c r="P360" s="106"/>
      <c r="Q360" s="840"/>
      <c r="R360" s="106"/>
      <c r="S360" s="852"/>
      <c r="T360" s="106"/>
      <c r="U360" s="106"/>
      <c r="V360" s="1260">
        <f>Table626893456791011347[[#This Row],[Offer Value]]-Table626893456791011347[[#This Row],[PO Value]]</f>
        <v>0</v>
      </c>
      <c r="W360" s="106"/>
      <c r="X360" s="106"/>
      <c r="Y360" s="217"/>
      <c r="Z360" s="257"/>
      <c r="AA360"/>
    </row>
    <row r="361" spans="1:27" s="171" customFormat="1" ht="15.6">
      <c r="A361" s="289">
        <f>ROW() - ROW(Table626893456791011347[[#Headers],[SL]])</f>
        <v>355</v>
      </c>
      <c r="B361" s="851"/>
      <c r="C361" s="106"/>
      <c r="D361" s="106"/>
      <c r="E361" s="106"/>
      <c r="F361" s="106"/>
      <c r="G361" s="217"/>
      <c r="H361" s="106"/>
      <c r="I361" s="851"/>
      <c r="J361" s="108"/>
      <c r="K361" s="108"/>
      <c r="L361" s="106"/>
      <c r="M361" s="852"/>
      <c r="N361" s="217"/>
      <c r="O361" s="106"/>
      <c r="P361" s="106"/>
      <c r="Q361" s="840"/>
      <c r="R361" s="106"/>
      <c r="S361" s="852"/>
      <c r="T361" s="106"/>
      <c r="U361" s="106"/>
      <c r="V361" s="1260">
        <f>Table626893456791011347[[#This Row],[Offer Value]]-Table626893456791011347[[#This Row],[PO Value]]</f>
        <v>0</v>
      </c>
      <c r="W361" s="106"/>
      <c r="X361" s="106"/>
      <c r="Y361" s="217"/>
      <c r="Z361" s="257"/>
      <c r="AA361"/>
    </row>
    <row r="362" spans="1:27" s="171" customFormat="1" ht="15.6">
      <c r="A362" s="289">
        <f>ROW() - ROW(Table626893456791011347[[#Headers],[SL]])</f>
        <v>356</v>
      </c>
      <c r="B362" s="851"/>
      <c r="C362" s="106"/>
      <c r="D362" s="106"/>
      <c r="E362" s="106"/>
      <c r="F362" s="106"/>
      <c r="G362" s="217"/>
      <c r="H362" s="106"/>
      <c r="I362" s="851"/>
      <c r="J362" s="108"/>
      <c r="K362" s="108"/>
      <c r="L362" s="106"/>
      <c r="M362" s="852"/>
      <c r="N362" s="217"/>
      <c r="O362" s="106"/>
      <c r="P362" s="106"/>
      <c r="Q362" s="840"/>
      <c r="R362" s="106"/>
      <c r="S362" s="852"/>
      <c r="T362" s="106"/>
      <c r="U362" s="106"/>
      <c r="V362" s="1260">
        <f>Table626893456791011347[[#This Row],[Offer Value]]-Table626893456791011347[[#This Row],[PO Value]]</f>
        <v>0</v>
      </c>
      <c r="W362" s="106"/>
      <c r="X362" s="106"/>
      <c r="Y362" s="217"/>
      <c r="Z362" s="257"/>
      <c r="AA362"/>
    </row>
    <row r="363" spans="1:27" s="171" customFormat="1" ht="15.6">
      <c r="A363" s="289">
        <f>ROW() - ROW(Table626893456791011347[[#Headers],[SL]])</f>
        <v>357</v>
      </c>
      <c r="B363" s="851"/>
      <c r="C363" s="106"/>
      <c r="D363" s="106"/>
      <c r="E363" s="106"/>
      <c r="F363" s="106"/>
      <c r="G363" s="217"/>
      <c r="H363" s="106"/>
      <c r="I363" s="851"/>
      <c r="J363" s="108"/>
      <c r="K363" s="108"/>
      <c r="L363" s="106"/>
      <c r="M363" s="852"/>
      <c r="N363" s="217"/>
      <c r="O363" s="106"/>
      <c r="P363" s="106"/>
      <c r="Q363" s="840"/>
      <c r="R363" s="106"/>
      <c r="S363" s="852"/>
      <c r="T363" s="106"/>
      <c r="U363" s="106"/>
      <c r="V363" s="1260">
        <f>Table626893456791011347[[#This Row],[Offer Value]]-Table626893456791011347[[#This Row],[PO Value]]</f>
        <v>0</v>
      </c>
      <c r="W363" s="106"/>
      <c r="X363" s="106"/>
      <c r="Y363" s="217"/>
      <c r="Z363" s="257"/>
      <c r="AA363"/>
    </row>
    <row r="364" spans="1:27" s="171" customFormat="1" ht="15.6">
      <c r="A364" s="289">
        <f>ROW() - ROW(Table626893456791011347[[#Headers],[SL]])</f>
        <v>358</v>
      </c>
      <c r="B364" s="851"/>
      <c r="C364" s="106"/>
      <c r="D364" s="106"/>
      <c r="E364" s="106"/>
      <c r="F364" s="106"/>
      <c r="G364" s="217"/>
      <c r="H364" s="106"/>
      <c r="I364" s="851"/>
      <c r="J364" s="108"/>
      <c r="K364" s="108"/>
      <c r="L364" s="106"/>
      <c r="M364" s="852"/>
      <c r="N364" s="217"/>
      <c r="O364" s="106"/>
      <c r="P364" s="106"/>
      <c r="Q364" s="840"/>
      <c r="R364" s="106"/>
      <c r="S364" s="852"/>
      <c r="T364" s="106"/>
      <c r="U364" s="106"/>
      <c r="V364" s="1260">
        <f>Table626893456791011347[[#This Row],[Offer Value]]-Table626893456791011347[[#This Row],[PO Value]]</f>
        <v>0</v>
      </c>
      <c r="W364" s="106"/>
      <c r="X364" s="106"/>
      <c r="Y364" s="217"/>
      <c r="Z364" s="257"/>
      <c r="AA364"/>
    </row>
    <row r="365" spans="1:27" s="171" customFormat="1" ht="15.6">
      <c r="A365" s="289">
        <f>ROW() - ROW(Table626893456791011347[[#Headers],[SL]])</f>
        <v>359</v>
      </c>
      <c r="B365" s="851"/>
      <c r="C365" s="106"/>
      <c r="D365" s="106"/>
      <c r="E365" s="106"/>
      <c r="F365" s="106"/>
      <c r="G365" s="217"/>
      <c r="H365" s="106"/>
      <c r="I365" s="851"/>
      <c r="J365" s="108"/>
      <c r="K365" s="108"/>
      <c r="L365" s="106"/>
      <c r="M365" s="852"/>
      <c r="N365" s="217"/>
      <c r="O365" s="106"/>
      <c r="P365" s="106"/>
      <c r="Q365" s="840"/>
      <c r="R365" s="106"/>
      <c r="S365" s="852"/>
      <c r="T365" s="106"/>
      <c r="U365" s="106"/>
      <c r="V365" s="1260">
        <f>Table626893456791011347[[#This Row],[Offer Value]]-Table626893456791011347[[#This Row],[PO Value]]</f>
        <v>0</v>
      </c>
      <c r="W365" s="106"/>
      <c r="X365" s="106"/>
      <c r="Y365" s="217"/>
      <c r="Z365" s="257"/>
      <c r="AA365"/>
    </row>
    <row r="366" spans="1:27" s="171" customFormat="1" ht="15.6">
      <c r="A366" s="289">
        <f>ROW() - ROW(Table626893456791011347[[#Headers],[SL]])</f>
        <v>360</v>
      </c>
      <c r="B366" s="851"/>
      <c r="C366" s="106"/>
      <c r="D366" s="106"/>
      <c r="E366" s="106"/>
      <c r="F366" s="106"/>
      <c r="G366" s="217"/>
      <c r="H366" s="106"/>
      <c r="I366" s="851"/>
      <c r="J366" s="108"/>
      <c r="K366" s="108"/>
      <c r="L366" s="106"/>
      <c r="M366" s="852"/>
      <c r="N366" s="217"/>
      <c r="O366" s="106"/>
      <c r="P366" s="106"/>
      <c r="Q366" s="840"/>
      <c r="R366" s="106"/>
      <c r="S366" s="852"/>
      <c r="T366" s="106"/>
      <c r="U366" s="106"/>
      <c r="V366" s="1260">
        <f>Table626893456791011347[[#This Row],[Offer Value]]-Table626893456791011347[[#This Row],[PO Value]]</f>
        <v>0</v>
      </c>
      <c r="W366" s="106"/>
      <c r="X366" s="106"/>
      <c r="Y366" s="217"/>
      <c r="Z366" s="257"/>
      <c r="AA366"/>
    </row>
    <row r="367" spans="1:27" s="171" customFormat="1" ht="15.6">
      <c r="A367" s="289">
        <f>ROW() - ROW(Table626893456791011347[[#Headers],[SL]])</f>
        <v>361</v>
      </c>
      <c r="B367" s="851"/>
      <c r="C367" s="106"/>
      <c r="D367" s="106"/>
      <c r="E367" s="106"/>
      <c r="F367" s="106"/>
      <c r="G367" s="217"/>
      <c r="H367" s="106"/>
      <c r="I367" s="851"/>
      <c r="J367" s="108"/>
      <c r="K367" s="108"/>
      <c r="L367" s="106"/>
      <c r="M367" s="852"/>
      <c r="N367" s="217"/>
      <c r="O367" s="106"/>
      <c r="P367" s="106"/>
      <c r="Q367" s="840"/>
      <c r="R367" s="106"/>
      <c r="S367" s="852"/>
      <c r="T367" s="106"/>
      <c r="U367" s="106"/>
      <c r="V367" s="1260">
        <f>Table626893456791011347[[#This Row],[Offer Value]]-Table626893456791011347[[#This Row],[PO Value]]</f>
        <v>0</v>
      </c>
      <c r="W367" s="106"/>
      <c r="X367" s="106"/>
      <c r="Y367" s="217"/>
      <c r="Z367" s="257"/>
      <c r="AA367"/>
    </row>
    <row r="368" spans="1:27" s="171" customFormat="1" ht="15.6">
      <c r="A368" s="289">
        <f>ROW() - ROW(Table626893456791011347[[#Headers],[SL]])</f>
        <v>362</v>
      </c>
      <c r="B368" s="851"/>
      <c r="C368" s="106"/>
      <c r="D368" s="106"/>
      <c r="E368" s="106"/>
      <c r="F368" s="106"/>
      <c r="G368" s="217"/>
      <c r="H368" s="106"/>
      <c r="I368" s="851"/>
      <c r="J368" s="108"/>
      <c r="K368" s="108"/>
      <c r="L368" s="106"/>
      <c r="M368" s="852"/>
      <c r="N368" s="217"/>
      <c r="O368" s="106"/>
      <c r="P368" s="106"/>
      <c r="Q368" s="840"/>
      <c r="R368" s="106"/>
      <c r="S368" s="852"/>
      <c r="T368" s="106"/>
      <c r="U368" s="106"/>
      <c r="V368" s="1260">
        <f>Table626893456791011347[[#This Row],[Offer Value]]-Table626893456791011347[[#This Row],[PO Value]]</f>
        <v>0</v>
      </c>
      <c r="W368" s="106"/>
      <c r="X368" s="106"/>
      <c r="Y368" s="217"/>
      <c r="Z368" s="257"/>
      <c r="AA368"/>
    </row>
    <row r="369" spans="1:27" s="171" customFormat="1" ht="15.6">
      <c r="A369" s="289">
        <f>ROW() - ROW(Table626893456791011347[[#Headers],[SL]])</f>
        <v>363</v>
      </c>
      <c r="B369" s="851"/>
      <c r="C369" s="106"/>
      <c r="D369" s="106"/>
      <c r="E369" s="106"/>
      <c r="F369" s="106"/>
      <c r="G369" s="217"/>
      <c r="H369" s="106"/>
      <c r="I369" s="851"/>
      <c r="J369" s="108"/>
      <c r="K369" s="108"/>
      <c r="L369" s="106"/>
      <c r="M369" s="852"/>
      <c r="N369" s="217"/>
      <c r="O369" s="106"/>
      <c r="P369" s="106"/>
      <c r="Q369" s="840"/>
      <c r="R369" s="106"/>
      <c r="S369" s="852"/>
      <c r="T369" s="106"/>
      <c r="U369" s="106"/>
      <c r="V369" s="1260">
        <f>Table626893456791011347[[#This Row],[Offer Value]]-Table626893456791011347[[#This Row],[PO Value]]</f>
        <v>0</v>
      </c>
      <c r="W369" s="106"/>
      <c r="X369" s="106"/>
      <c r="Y369" s="217"/>
      <c r="Z369" s="257"/>
      <c r="AA369"/>
    </row>
    <row r="370" spans="1:27" s="171" customFormat="1" ht="15.6">
      <c r="A370" s="289">
        <f>ROW() - ROW(Table626893456791011347[[#Headers],[SL]])</f>
        <v>364</v>
      </c>
      <c r="B370" s="851"/>
      <c r="C370" s="106"/>
      <c r="D370" s="106"/>
      <c r="E370" s="106"/>
      <c r="F370" s="106"/>
      <c r="G370" s="217"/>
      <c r="H370" s="106"/>
      <c r="I370" s="851"/>
      <c r="J370" s="108"/>
      <c r="K370" s="108"/>
      <c r="L370" s="106"/>
      <c r="M370" s="852"/>
      <c r="N370" s="217"/>
      <c r="O370" s="106"/>
      <c r="P370" s="106"/>
      <c r="Q370" s="840"/>
      <c r="R370" s="106"/>
      <c r="S370" s="852"/>
      <c r="T370" s="106"/>
      <c r="U370" s="106"/>
      <c r="V370" s="1260">
        <f>Table626893456791011347[[#This Row],[Offer Value]]-Table626893456791011347[[#This Row],[PO Value]]</f>
        <v>0</v>
      </c>
      <c r="W370" s="106"/>
      <c r="X370" s="106"/>
      <c r="Y370" s="217"/>
      <c r="Z370" s="257"/>
      <c r="AA370"/>
    </row>
    <row r="371" spans="1:27" s="171" customFormat="1" ht="15.6">
      <c r="A371" s="289">
        <f>ROW() - ROW(Table626893456791011347[[#Headers],[SL]])</f>
        <v>365</v>
      </c>
      <c r="B371" s="851"/>
      <c r="C371" s="106"/>
      <c r="D371" s="106"/>
      <c r="E371" s="106"/>
      <c r="F371" s="106"/>
      <c r="G371" s="217"/>
      <c r="H371" s="106"/>
      <c r="I371" s="851"/>
      <c r="J371" s="108"/>
      <c r="K371" s="108"/>
      <c r="L371" s="106"/>
      <c r="M371" s="852"/>
      <c r="N371" s="217"/>
      <c r="O371" s="106"/>
      <c r="P371" s="106"/>
      <c r="Q371" s="840"/>
      <c r="R371" s="106"/>
      <c r="S371" s="852"/>
      <c r="T371" s="106"/>
      <c r="U371" s="106"/>
      <c r="V371" s="1260">
        <f>Table626893456791011347[[#This Row],[Offer Value]]-Table626893456791011347[[#This Row],[PO Value]]</f>
        <v>0</v>
      </c>
      <c r="W371" s="106"/>
      <c r="X371" s="106"/>
      <c r="Y371" s="217"/>
      <c r="Z371" s="257"/>
      <c r="AA371"/>
    </row>
    <row r="372" spans="1:27" s="171" customFormat="1" ht="15.6">
      <c r="A372" s="289">
        <f>ROW() - ROW(Table626893456791011347[[#Headers],[SL]])</f>
        <v>366</v>
      </c>
      <c r="B372" s="851"/>
      <c r="C372" s="106"/>
      <c r="D372" s="106"/>
      <c r="E372" s="106"/>
      <c r="F372" s="106"/>
      <c r="G372" s="217"/>
      <c r="H372" s="106"/>
      <c r="I372" s="851"/>
      <c r="J372" s="108"/>
      <c r="K372" s="108"/>
      <c r="L372" s="106"/>
      <c r="M372" s="852"/>
      <c r="N372" s="217"/>
      <c r="O372" s="106"/>
      <c r="P372" s="106"/>
      <c r="Q372" s="840"/>
      <c r="R372" s="106"/>
      <c r="S372" s="852"/>
      <c r="T372" s="106"/>
      <c r="U372" s="106"/>
      <c r="V372" s="1260">
        <f>Table626893456791011347[[#This Row],[Offer Value]]-Table626893456791011347[[#This Row],[PO Value]]</f>
        <v>0</v>
      </c>
      <c r="W372" s="106"/>
      <c r="X372" s="106"/>
      <c r="Y372" s="217"/>
      <c r="Z372" s="257"/>
      <c r="AA372"/>
    </row>
    <row r="373" spans="1:27" s="171" customFormat="1" ht="15.6">
      <c r="A373" s="289">
        <f>ROW() - ROW(Table626893456791011347[[#Headers],[SL]])</f>
        <v>367</v>
      </c>
      <c r="B373" s="851"/>
      <c r="C373" s="106"/>
      <c r="D373" s="106"/>
      <c r="E373" s="106"/>
      <c r="F373" s="106"/>
      <c r="G373" s="217"/>
      <c r="H373" s="106"/>
      <c r="I373" s="851"/>
      <c r="J373" s="108"/>
      <c r="K373" s="108"/>
      <c r="L373" s="106"/>
      <c r="M373" s="852"/>
      <c r="N373" s="217"/>
      <c r="O373" s="106"/>
      <c r="P373" s="106"/>
      <c r="Q373" s="840"/>
      <c r="R373" s="106"/>
      <c r="S373" s="852"/>
      <c r="T373" s="106"/>
      <c r="U373" s="106"/>
      <c r="V373" s="1260">
        <f>Table626893456791011347[[#This Row],[Offer Value]]-Table626893456791011347[[#This Row],[PO Value]]</f>
        <v>0</v>
      </c>
      <c r="W373" s="106"/>
      <c r="X373" s="106"/>
      <c r="Y373" s="217"/>
      <c r="Z373" s="257"/>
      <c r="AA373"/>
    </row>
    <row r="374" spans="1:27" s="171" customFormat="1" ht="15.6">
      <c r="A374" s="289">
        <f>ROW() - ROW(Table626893456791011347[[#Headers],[SL]])</f>
        <v>368</v>
      </c>
      <c r="B374" s="851"/>
      <c r="C374" s="106"/>
      <c r="D374" s="106"/>
      <c r="E374" s="106"/>
      <c r="F374" s="106"/>
      <c r="G374" s="217"/>
      <c r="H374" s="106"/>
      <c r="I374" s="851"/>
      <c r="J374" s="108"/>
      <c r="K374" s="108"/>
      <c r="L374" s="106"/>
      <c r="M374" s="852"/>
      <c r="N374" s="217"/>
      <c r="O374" s="106"/>
      <c r="P374" s="106"/>
      <c r="Q374" s="840"/>
      <c r="R374" s="106"/>
      <c r="S374" s="852"/>
      <c r="T374" s="106"/>
      <c r="U374" s="106"/>
      <c r="V374" s="1260">
        <f>Table626893456791011347[[#This Row],[Offer Value]]-Table626893456791011347[[#This Row],[PO Value]]</f>
        <v>0</v>
      </c>
      <c r="W374" s="106"/>
      <c r="X374" s="106"/>
      <c r="Y374" s="217"/>
      <c r="Z374" s="257"/>
      <c r="AA374"/>
    </row>
    <row r="375" spans="1:27" s="171" customFormat="1" ht="15.6">
      <c r="A375" s="289">
        <f>ROW() - ROW(Table626893456791011347[[#Headers],[SL]])</f>
        <v>369</v>
      </c>
      <c r="B375" s="851"/>
      <c r="C375" s="106"/>
      <c r="D375" s="106"/>
      <c r="E375" s="106"/>
      <c r="F375" s="106"/>
      <c r="G375" s="217"/>
      <c r="H375" s="106"/>
      <c r="I375" s="851"/>
      <c r="J375" s="108"/>
      <c r="K375" s="108"/>
      <c r="L375" s="106"/>
      <c r="M375" s="852"/>
      <c r="N375" s="217"/>
      <c r="O375" s="106"/>
      <c r="P375" s="106"/>
      <c r="Q375" s="840"/>
      <c r="R375" s="106"/>
      <c r="S375" s="852"/>
      <c r="T375" s="106"/>
      <c r="U375" s="106"/>
      <c r="V375" s="1260">
        <f>Table626893456791011347[[#This Row],[Offer Value]]-Table626893456791011347[[#This Row],[PO Value]]</f>
        <v>0</v>
      </c>
      <c r="W375" s="106"/>
      <c r="X375" s="106"/>
      <c r="Y375" s="217"/>
      <c r="Z375" s="257"/>
      <c r="AA375"/>
    </row>
    <row r="376" spans="1:27" s="171" customFormat="1" ht="15.6">
      <c r="A376" s="289">
        <f>ROW() - ROW(Table626893456791011347[[#Headers],[SL]])</f>
        <v>370</v>
      </c>
      <c r="B376" s="851"/>
      <c r="C376" s="110"/>
      <c r="D376" s="110"/>
      <c r="E376" s="110"/>
      <c r="F376" s="110"/>
      <c r="G376" s="604"/>
      <c r="H376" s="110"/>
      <c r="I376" s="891"/>
      <c r="J376" s="108"/>
      <c r="K376" s="108"/>
      <c r="L376" s="106"/>
      <c r="M376" s="852"/>
      <c r="N376" s="217"/>
      <c r="O376" s="106"/>
      <c r="P376" s="106"/>
      <c r="Q376" s="840"/>
      <c r="R376" s="106"/>
      <c r="S376" s="852"/>
      <c r="T376" s="106"/>
      <c r="U376" s="106"/>
      <c r="V376" s="1260">
        <f>Table626893456791011347[[#This Row],[Offer Value]]-Table626893456791011347[[#This Row],[PO Value]]</f>
        <v>0</v>
      </c>
      <c r="W376" s="106"/>
      <c r="X376" s="106"/>
      <c r="Y376" s="217"/>
      <c r="Z376" s="257"/>
      <c r="AA376"/>
    </row>
    <row r="377" spans="1:27" s="171" customFormat="1" ht="15.6">
      <c r="A377" s="289">
        <f>ROW() - ROW(Table626893456791011347[[#Headers],[SL]])</f>
        <v>371</v>
      </c>
      <c r="B377" s="851"/>
      <c r="C377" s="106"/>
      <c r="D377" s="106"/>
      <c r="E377" s="106"/>
      <c r="F377" s="106"/>
      <c r="G377" s="217"/>
      <c r="H377" s="106"/>
      <c r="I377" s="851"/>
      <c r="J377" s="108"/>
      <c r="K377" s="108"/>
      <c r="L377" s="106"/>
      <c r="M377" s="852"/>
      <c r="N377" s="217"/>
      <c r="O377" s="106"/>
      <c r="P377" s="106"/>
      <c r="Q377" s="840"/>
      <c r="R377" s="106"/>
      <c r="S377" s="852"/>
      <c r="T377" s="106"/>
      <c r="U377" s="106"/>
      <c r="V377" s="1260">
        <f>Table626893456791011347[[#This Row],[Offer Value]]-Table626893456791011347[[#This Row],[PO Value]]</f>
        <v>0</v>
      </c>
      <c r="W377" s="106"/>
      <c r="X377" s="106"/>
      <c r="Y377" s="217"/>
      <c r="Z377" s="257"/>
      <c r="AA377"/>
    </row>
    <row r="378" spans="1:27" s="171" customFormat="1" ht="15.6">
      <c r="A378" s="289">
        <f>ROW() - ROW(Table626893456791011347[[#Headers],[SL]])</f>
        <v>372</v>
      </c>
      <c r="B378" s="851"/>
      <c r="C378" s="106"/>
      <c r="D378" s="106"/>
      <c r="E378" s="106"/>
      <c r="F378" s="106"/>
      <c r="G378" s="217"/>
      <c r="H378" s="106"/>
      <c r="I378" s="851"/>
      <c r="J378" s="108"/>
      <c r="K378" s="108"/>
      <c r="L378" s="106"/>
      <c r="M378" s="852"/>
      <c r="N378" s="217"/>
      <c r="O378" s="106"/>
      <c r="P378" s="106"/>
      <c r="Q378" s="840"/>
      <c r="R378" s="106"/>
      <c r="S378" s="852"/>
      <c r="T378" s="106"/>
      <c r="U378" s="106"/>
      <c r="V378" s="1260">
        <f>Table626893456791011347[[#This Row],[Offer Value]]-Table626893456791011347[[#This Row],[PO Value]]</f>
        <v>0</v>
      </c>
      <c r="W378" s="106"/>
      <c r="X378" s="106"/>
      <c r="Y378" s="217"/>
      <c r="Z378" s="257"/>
      <c r="AA378"/>
    </row>
    <row r="379" spans="1:27" s="171" customFormat="1" ht="15.6">
      <c r="A379" s="289">
        <f>ROW() - ROW(Table626893456791011347[[#Headers],[SL]])</f>
        <v>373</v>
      </c>
      <c r="B379" s="851"/>
      <c r="C379" s="106"/>
      <c r="D379" s="106"/>
      <c r="E379" s="106"/>
      <c r="F379" s="106"/>
      <c r="G379" s="217"/>
      <c r="H379" s="106"/>
      <c r="I379" s="851"/>
      <c r="J379" s="108"/>
      <c r="K379" s="108"/>
      <c r="L379" s="106"/>
      <c r="M379" s="852"/>
      <c r="N379" s="217"/>
      <c r="O379" s="106"/>
      <c r="P379" s="106"/>
      <c r="Q379" s="840"/>
      <c r="R379" s="106"/>
      <c r="S379" s="852"/>
      <c r="T379" s="106"/>
      <c r="U379" s="106"/>
      <c r="V379" s="1260">
        <f>Table626893456791011347[[#This Row],[Offer Value]]-Table626893456791011347[[#This Row],[PO Value]]</f>
        <v>0</v>
      </c>
      <c r="W379" s="106"/>
      <c r="X379" s="106"/>
      <c r="Y379" s="217"/>
      <c r="Z379" s="257"/>
      <c r="AA379"/>
    </row>
    <row r="380" spans="1:27" s="171" customFormat="1" ht="15.6">
      <c r="A380" s="289">
        <f>ROW() - ROW(Table626893456791011347[[#Headers],[SL]])</f>
        <v>374</v>
      </c>
      <c r="B380" s="851"/>
      <c r="C380" s="106"/>
      <c r="D380" s="106"/>
      <c r="E380" s="106"/>
      <c r="F380" s="106"/>
      <c r="G380" s="217"/>
      <c r="H380" s="106"/>
      <c r="I380" s="851"/>
      <c r="J380" s="108"/>
      <c r="K380" s="108"/>
      <c r="L380" s="106"/>
      <c r="M380" s="852"/>
      <c r="N380" s="217"/>
      <c r="O380" s="106"/>
      <c r="P380" s="106"/>
      <c r="Q380" s="840"/>
      <c r="R380" s="106"/>
      <c r="S380" s="852"/>
      <c r="T380" s="106"/>
      <c r="U380" s="106"/>
      <c r="V380" s="1260">
        <f>Table626893456791011347[[#This Row],[Offer Value]]-Table626893456791011347[[#This Row],[PO Value]]</f>
        <v>0</v>
      </c>
      <c r="W380" s="106"/>
      <c r="X380" s="106"/>
      <c r="Y380" s="217"/>
      <c r="Z380" s="257"/>
      <c r="AA380"/>
    </row>
    <row r="381" spans="1:27" s="171" customFormat="1" ht="15.6">
      <c r="A381" s="289">
        <f>ROW() - ROW(Table626893456791011347[[#Headers],[SL]])</f>
        <v>375</v>
      </c>
      <c r="B381" s="851"/>
      <c r="C381" s="106"/>
      <c r="D381" s="106"/>
      <c r="E381" s="106"/>
      <c r="F381" s="106"/>
      <c r="G381" s="217"/>
      <c r="H381" s="106"/>
      <c r="I381" s="851"/>
      <c r="J381" s="108"/>
      <c r="K381" s="108"/>
      <c r="L381" s="106"/>
      <c r="M381" s="852"/>
      <c r="N381" s="217"/>
      <c r="O381" s="106"/>
      <c r="P381" s="106"/>
      <c r="Q381" s="840"/>
      <c r="R381" s="106"/>
      <c r="S381" s="852"/>
      <c r="T381" s="106"/>
      <c r="U381" s="106"/>
      <c r="V381" s="1260">
        <f>Table626893456791011347[[#This Row],[Offer Value]]-Table626893456791011347[[#This Row],[PO Value]]</f>
        <v>0</v>
      </c>
      <c r="W381" s="106"/>
      <c r="X381" s="106"/>
      <c r="Y381" s="217"/>
      <c r="Z381" s="257"/>
      <c r="AA381"/>
    </row>
    <row r="382" spans="1:27" s="171" customFormat="1" ht="15.6">
      <c r="A382" s="289">
        <f>ROW() - ROW(Table626893456791011347[[#Headers],[SL]])</f>
        <v>376</v>
      </c>
      <c r="B382" s="851"/>
      <c r="C382" s="106"/>
      <c r="D382" s="106"/>
      <c r="E382" s="106"/>
      <c r="F382" s="106"/>
      <c r="G382" s="217"/>
      <c r="H382" s="106"/>
      <c r="I382" s="851"/>
      <c r="J382" s="108"/>
      <c r="K382" s="108"/>
      <c r="L382" s="106"/>
      <c r="M382" s="852"/>
      <c r="N382" s="217"/>
      <c r="O382" s="106"/>
      <c r="P382" s="106"/>
      <c r="Q382" s="840"/>
      <c r="R382" s="106"/>
      <c r="S382" s="852"/>
      <c r="T382" s="106"/>
      <c r="U382" s="106"/>
      <c r="V382" s="1260">
        <f>Table626893456791011347[[#This Row],[Offer Value]]-Table626893456791011347[[#This Row],[PO Value]]</f>
        <v>0</v>
      </c>
      <c r="W382" s="106"/>
      <c r="X382" s="106"/>
      <c r="Y382" s="217"/>
      <c r="Z382" s="257"/>
      <c r="AA382"/>
    </row>
    <row r="383" spans="1:27" s="171" customFormat="1" ht="15.6">
      <c r="A383" s="289">
        <f>ROW() - ROW(Table626893456791011347[[#Headers],[SL]])</f>
        <v>377</v>
      </c>
      <c r="B383" s="851"/>
      <c r="C383" s="106"/>
      <c r="D383" s="106"/>
      <c r="E383" s="106"/>
      <c r="F383" s="106"/>
      <c r="G383" s="217"/>
      <c r="H383" s="106"/>
      <c r="I383" s="851"/>
      <c r="J383" s="108"/>
      <c r="K383" s="108"/>
      <c r="L383" s="106"/>
      <c r="M383" s="852"/>
      <c r="N383" s="217"/>
      <c r="O383" s="106"/>
      <c r="P383" s="106"/>
      <c r="Q383" s="840"/>
      <c r="R383" s="106"/>
      <c r="S383" s="852"/>
      <c r="T383" s="106"/>
      <c r="U383" s="106"/>
      <c r="V383" s="1260">
        <f>Table626893456791011347[[#This Row],[Offer Value]]-Table626893456791011347[[#This Row],[PO Value]]</f>
        <v>0</v>
      </c>
      <c r="W383" s="106"/>
      <c r="X383" s="106"/>
      <c r="Y383" s="217"/>
      <c r="Z383" s="257"/>
      <c r="AA383"/>
    </row>
    <row r="384" spans="1:27" s="171" customFormat="1" ht="15.6">
      <c r="A384" s="289">
        <f>ROW() - ROW(Table626893456791011347[[#Headers],[SL]])</f>
        <v>378</v>
      </c>
      <c r="B384" s="851"/>
      <c r="C384" s="106"/>
      <c r="D384" s="106"/>
      <c r="E384" s="106"/>
      <c r="F384" s="106"/>
      <c r="G384" s="217"/>
      <c r="H384" s="106"/>
      <c r="I384" s="851"/>
      <c r="J384" s="108"/>
      <c r="K384" s="108"/>
      <c r="L384" s="106"/>
      <c r="M384" s="852"/>
      <c r="N384" s="217"/>
      <c r="O384" s="106"/>
      <c r="P384" s="106"/>
      <c r="Q384" s="840"/>
      <c r="R384" s="106"/>
      <c r="S384" s="852"/>
      <c r="T384" s="106"/>
      <c r="U384" s="106"/>
      <c r="V384" s="1260">
        <f>Table626893456791011347[[#This Row],[Offer Value]]-Table626893456791011347[[#This Row],[PO Value]]</f>
        <v>0</v>
      </c>
      <c r="W384" s="106"/>
      <c r="X384" s="106"/>
      <c r="Y384" s="217"/>
      <c r="Z384" s="257"/>
      <c r="AA384"/>
    </row>
    <row r="385" spans="1:27" s="171" customFormat="1" ht="15.6">
      <c r="A385" s="289">
        <f>ROW() - ROW(Table626893456791011347[[#Headers],[SL]])</f>
        <v>379</v>
      </c>
      <c r="B385" s="851"/>
      <c r="C385" s="106"/>
      <c r="D385" s="106"/>
      <c r="E385" s="106"/>
      <c r="F385" s="106"/>
      <c r="G385" s="217"/>
      <c r="H385" s="106"/>
      <c r="I385" s="851"/>
      <c r="J385" s="108"/>
      <c r="K385" s="108"/>
      <c r="L385" s="106"/>
      <c r="M385" s="852"/>
      <c r="N385" s="217"/>
      <c r="O385" s="106"/>
      <c r="P385" s="106"/>
      <c r="Q385" s="840"/>
      <c r="R385" s="106"/>
      <c r="S385" s="852"/>
      <c r="T385" s="106"/>
      <c r="U385" s="106"/>
      <c r="V385" s="1260">
        <f>Table626893456791011347[[#This Row],[Offer Value]]-Table626893456791011347[[#This Row],[PO Value]]</f>
        <v>0</v>
      </c>
      <c r="W385" s="106"/>
      <c r="X385" s="106"/>
      <c r="Y385" s="217"/>
      <c r="Z385" s="257"/>
      <c r="AA385"/>
    </row>
    <row r="386" spans="1:27" s="171" customFormat="1" ht="15.6">
      <c r="A386" s="289">
        <f>ROW() - ROW(Table626893456791011347[[#Headers],[SL]])</f>
        <v>380</v>
      </c>
      <c r="B386" s="851"/>
      <c r="C386" s="106"/>
      <c r="D386" s="106"/>
      <c r="E386" s="106"/>
      <c r="F386" s="106"/>
      <c r="G386" s="217"/>
      <c r="H386" s="106"/>
      <c r="I386" s="851"/>
      <c r="J386" s="108"/>
      <c r="K386" s="108"/>
      <c r="L386" s="106"/>
      <c r="M386" s="852"/>
      <c r="N386" s="217"/>
      <c r="O386" s="106"/>
      <c r="P386" s="106"/>
      <c r="Q386" s="840"/>
      <c r="R386" s="106"/>
      <c r="S386" s="852"/>
      <c r="T386" s="106"/>
      <c r="U386" s="106"/>
      <c r="V386" s="1260">
        <f>Table626893456791011347[[#This Row],[Offer Value]]-Table626893456791011347[[#This Row],[PO Value]]</f>
        <v>0</v>
      </c>
      <c r="W386" s="106"/>
      <c r="X386" s="106"/>
      <c r="Y386" s="217"/>
      <c r="Z386" s="257"/>
      <c r="AA386"/>
    </row>
    <row r="387" spans="1:27" s="171" customFormat="1" ht="15.6">
      <c r="A387" s="289">
        <f>ROW() - ROW(Table626893456791011347[[#Headers],[SL]])</f>
        <v>381</v>
      </c>
      <c r="B387" s="851"/>
      <c r="C387" s="106"/>
      <c r="D387" s="106"/>
      <c r="E387" s="106"/>
      <c r="F387" s="106"/>
      <c r="G387" s="217"/>
      <c r="H387" s="106"/>
      <c r="I387" s="851"/>
      <c r="J387" s="108"/>
      <c r="K387" s="108"/>
      <c r="L387" s="106"/>
      <c r="M387" s="852"/>
      <c r="N387" s="217"/>
      <c r="O387" s="106"/>
      <c r="P387" s="106"/>
      <c r="Q387" s="840"/>
      <c r="R387" s="106"/>
      <c r="S387" s="852"/>
      <c r="T387" s="106"/>
      <c r="U387" s="106"/>
      <c r="V387" s="1260">
        <f>Table626893456791011347[[#This Row],[Offer Value]]-Table626893456791011347[[#This Row],[PO Value]]</f>
        <v>0</v>
      </c>
      <c r="W387" s="106"/>
      <c r="X387" s="106"/>
      <c r="Y387" s="217"/>
      <c r="Z387" s="257"/>
      <c r="AA387"/>
    </row>
    <row r="388" spans="1:27" s="171" customFormat="1" ht="15.6">
      <c r="A388" s="289">
        <f>ROW() - ROW(Table626893456791011347[[#Headers],[SL]])</f>
        <v>382</v>
      </c>
      <c r="B388" s="851"/>
      <c r="C388" s="106"/>
      <c r="D388" s="106"/>
      <c r="E388" s="106"/>
      <c r="F388" s="106"/>
      <c r="G388" s="217"/>
      <c r="H388" s="106"/>
      <c r="I388" s="851"/>
      <c r="J388" s="108"/>
      <c r="K388" s="108"/>
      <c r="L388" s="106"/>
      <c r="M388" s="852"/>
      <c r="N388" s="217"/>
      <c r="O388" s="106"/>
      <c r="P388" s="106"/>
      <c r="Q388" s="840"/>
      <c r="R388" s="106"/>
      <c r="S388" s="852"/>
      <c r="T388" s="106"/>
      <c r="U388" s="106"/>
      <c r="V388" s="1260">
        <f>Table626893456791011347[[#This Row],[Offer Value]]-Table626893456791011347[[#This Row],[PO Value]]</f>
        <v>0</v>
      </c>
      <c r="W388" s="106"/>
      <c r="X388" s="106"/>
      <c r="Y388" s="217"/>
      <c r="Z388" s="257"/>
      <c r="AA388"/>
    </row>
    <row r="389" spans="1:27" s="171" customFormat="1" ht="15.6">
      <c r="A389" s="289">
        <f>ROW() - ROW(Table626893456791011347[[#Headers],[SL]])</f>
        <v>383</v>
      </c>
      <c r="B389" s="851"/>
      <c r="C389" s="106"/>
      <c r="D389" s="106"/>
      <c r="E389" s="106"/>
      <c r="F389" s="106"/>
      <c r="G389" s="217"/>
      <c r="H389" s="106"/>
      <c r="I389" s="851"/>
      <c r="J389" s="108"/>
      <c r="K389" s="108"/>
      <c r="L389" s="106"/>
      <c r="M389" s="852"/>
      <c r="N389" s="217"/>
      <c r="O389" s="106"/>
      <c r="P389" s="106"/>
      <c r="Q389" s="840"/>
      <c r="R389" s="106"/>
      <c r="S389" s="852"/>
      <c r="T389" s="106"/>
      <c r="U389" s="106"/>
      <c r="V389" s="1260">
        <f>Table626893456791011347[[#This Row],[Offer Value]]-Table626893456791011347[[#This Row],[PO Value]]</f>
        <v>0</v>
      </c>
      <c r="W389" s="106"/>
      <c r="X389" s="106"/>
      <c r="Y389" s="217"/>
      <c r="Z389" s="257"/>
      <c r="AA389"/>
    </row>
    <row r="390" spans="1:27" s="171" customFormat="1" ht="15.6">
      <c r="A390" s="289">
        <f>ROW() - ROW(Table626893456791011347[[#Headers],[SL]])</f>
        <v>384</v>
      </c>
      <c r="B390" s="851"/>
      <c r="C390" s="106"/>
      <c r="D390" s="106"/>
      <c r="E390" s="106"/>
      <c r="F390" s="106"/>
      <c r="G390" s="217"/>
      <c r="H390" s="106"/>
      <c r="I390" s="851"/>
      <c r="J390" s="108"/>
      <c r="K390" s="108"/>
      <c r="L390" s="106"/>
      <c r="M390" s="852"/>
      <c r="N390" s="217"/>
      <c r="O390" s="106"/>
      <c r="P390" s="106"/>
      <c r="Q390" s="840"/>
      <c r="R390" s="106"/>
      <c r="S390" s="852"/>
      <c r="T390" s="106"/>
      <c r="U390" s="106"/>
      <c r="V390" s="1260">
        <f>Table626893456791011347[[#This Row],[Offer Value]]-Table626893456791011347[[#This Row],[PO Value]]</f>
        <v>0</v>
      </c>
      <c r="W390" s="106"/>
      <c r="X390" s="106"/>
      <c r="Y390" s="217"/>
      <c r="Z390" s="257"/>
      <c r="AA390"/>
    </row>
    <row r="391" spans="1:27" s="171" customFormat="1" ht="15.6">
      <c r="A391" s="289">
        <f>ROW() - ROW(Table626893456791011347[[#Headers],[SL]])</f>
        <v>385</v>
      </c>
      <c r="B391" s="851"/>
      <c r="C391" s="106"/>
      <c r="D391" s="106"/>
      <c r="E391" s="106"/>
      <c r="F391" s="106"/>
      <c r="G391" s="217"/>
      <c r="H391" s="106"/>
      <c r="I391" s="851"/>
      <c r="J391" s="108"/>
      <c r="K391" s="108"/>
      <c r="L391" s="106"/>
      <c r="M391" s="852"/>
      <c r="N391" s="217"/>
      <c r="O391" s="106"/>
      <c r="P391" s="106"/>
      <c r="Q391" s="840"/>
      <c r="R391" s="106"/>
      <c r="S391" s="852"/>
      <c r="T391" s="106"/>
      <c r="U391" s="106"/>
      <c r="V391" s="1260">
        <f>Table626893456791011347[[#This Row],[Offer Value]]-Table626893456791011347[[#This Row],[PO Value]]</f>
        <v>0</v>
      </c>
      <c r="W391" s="106"/>
      <c r="X391" s="106"/>
      <c r="Y391" s="217"/>
      <c r="Z391" s="257"/>
      <c r="AA391"/>
    </row>
    <row r="392" spans="1:27" s="171" customFormat="1" ht="15.6">
      <c r="A392" s="289">
        <f>ROW() - ROW(Table626893456791011347[[#Headers],[SL]])</f>
        <v>386</v>
      </c>
      <c r="B392" s="851"/>
      <c r="C392" s="106"/>
      <c r="D392" s="106"/>
      <c r="E392" s="106"/>
      <c r="F392" s="106"/>
      <c r="G392" s="217"/>
      <c r="H392" s="106"/>
      <c r="I392" s="851"/>
      <c r="J392" s="108"/>
      <c r="K392" s="108"/>
      <c r="L392" s="106"/>
      <c r="M392" s="852"/>
      <c r="N392" s="217"/>
      <c r="O392" s="106"/>
      <c r="P392" s="106"/>
      <c r="Q392" s="840"/>
      <c r="R392" s="106"/>
      <c r="S392" s="852"/>
      <c r="T392" s="106"/>
      <c r="U392" s="106"/>
      <c r="V392" s="1260">
        <f>Table626893456791011347[[#This Row],[Offer Value]]-Table626893456791011347[[#This Row],[PO Value]]</f>
        <v>0</v>
      </c>
      <c r="W392" s="106"/>
      <c r="X392" s="106"/>
      <c r="Y392" s="217"/>
      <c r="Z392" s="257"/>
      <c r="AA392"/>
    </row>
    <row r="393" spans="1:27" s="171" customFormat="1" ht="15.6">
      <c r="A393" s="289">
        <f>ROW() - ROW(Table626893456791011347[[#Headers],[SL]])</f>
        <v>387</v>
      </c>
      <c r="B393" s="851"/>
      <c r="C393" s="106"/>
      <c r="D393" s="106"/>
      <c r="E393" s="106"/>
      <c r="F393" s="106"/>
      <c r="G393" s="217"/>
      <c r="H393" s="106"/>
      <c r="I393" s="851"/>
      <c r="J393" s="108"/>
      <c r="K393" s="108"/>
      <c r="L393" s="106"/>
      <c r="M393" s="852"/>
      <c r="N393" s="217"/>
      <c r="O393" s="106"/>
      <c r="P393" s="106"/>
      <c r="Q393" s="840"/>
      <c r="R393" s="106"/>
      <c r="S393" s="852"/>
      <c r="T393" s="106"/>
      <c r="U393" s="106"/>
      <c r="V393" s="1260">
        <f>Table626893456791011347[[#This Row],[Offer Value]]-Table626893456791011347[[#This Row],[PO Value]]</f>
        <v>0</v>
      </c>
      <c r="W393" s="106"/>
      <c r="X393" s="106"/>
      <c r="Y393" s="217"/>
      <c r="Z393" s="257"/>
      <c r="AA393"/>
    </row>
    <row r="394" spans="1:27" s="171" customFormat="1" ht="15.6">
      <c r="A394" s="289">
        <f>ROW() - ROW(Table626893456791011347[[#Headers],[SL]])</f>
        <v>388</v>
      </c>
      <c r="B394" s="851"/>
      <c r="C394" s="106"/>
      <c r="D394" s="106"/>
      <c r="E394" s="106"/>
      <c r="F394" s="106"/>
      <c r="G394" s="217"/>
      <c r="H394" s="106"/>
      <c r="I394" s="851"/>
      <c r="J394" s="108"/>
      <c r="K394" s="108"/>
      <c r="L394" s="106"/>
      <c r="M394" s="852"/>
      <c r="N394" s="217"/>
      <c r="O394" s="106"/>
      <c r="P394" s="106"/>
      <c r="Q394" s="840"/>
      <c r="R394" s="106"/>
      <c r="S394" s="852"/>
      <c r="T394" s="106"/>
      <c r="U394" s="106"/>
      <c r="V394" s="1260">
        <f>Table626893456791011347[[#This Row],[Offer Value]]-Table626893456791011347[[#This Row],[PO Value]]</f>
        <v>0</v>
      </c>
      <c r="W394" s="106"/>
      <c r="X394" s="106"/>
      <c r="Y394" s="217"/>
      <c r="Z394" s="257"/>
      <c r="AA394"/>
    </row>
    <row r="395" spans="1:27" s="171" customFormat="1" ht="15.6">
      <c r="A395" s="289">
        <f>ROW() - ROW(Table626893456791011347[[#Headers],[SL]])</f>
        <v>389</v>
      </c>
      <c r="B395" s="851"/>
      <c r="C395" s="106"/>
      <c r="D395" s="106"/>
      <c r="E395" s="106"/>
      <c r="F395" s="106"/>
      <c r="G395" s="217"/>
      <c r="H395" s="106"/>
      <c r="I395" s="851"/>
      <c r="J395" s="108"/>
      <c r="K395" s="108"/>
      <c r="L395" s="106"/>
      <c r="M395" s="852"/>
      <c r="N395" s="217"/>
      <c r="O395" s="106"/>
      <c r="P395" s="106"/>
      <c r="Q395" s="840"/>
      <c r="R395" s="106"/>
      <c r="S395" s="852"/>
      <c r="T395" s="106"/>
      <c r="U395" s="106"/>
      <c r="V395" s="1260">
        <f>Table626893456791011347[[#This Row],[Offer Value]]-Table626893456791011347[[#This Row],[PO Value]]</f>
        <v>0</v>
      </c>
      <c r="W395" s="106"/>
      <c r="X395" s="106"/>
      <c r="Y395" s="217"/>
      <c r="Z395" s="257"/>
      <c r="AA395"/>
    </row>
    <row r="396" spans="1:27" s="171" customFormat="1" ht="15.6">
      <c r="A396" s="289">
        <f>ROW() - ROW(Table626893456791011347[[#Headers],[SL]])</f>
        <v>390</v>
      </c>
      <c r="B396" s="851"/>
      <c r="C396" s="106"/>
      <c r="D396" s="106"/>
      <c r="E396" s="106"/>
      <c r="F396" s="106"/>
      <c r="G396" s="217"/>
      <c r="H396" s="106"/>
      <c r="I396" s="851"/>
      <c r="J396" s="108"/>
      <c r="K396" s="108"/>
      <c r="L396" s="106"/>
      <c r="M396" s="852"/>
      <c r="N396" s="217"/>
      <c r="O396" s="106"/>
      <c r="P396" s="106"/>
      <c r="Q396" s="840"/>
      <c r="R396" s="106"/>
      <c r="S396" s="852"/>
      <c r="T396" s="106"/>
      <c r="U396" s="106"/>
      <c r="V396" s="1260">
        <f>Table626893456791011347[[#This Row],[Offer Value]]-Table626893456791011347[[#This Row],[PO Value]]</f>
        <v>0</v>
      </c>
      <c r="W396" s="106"/>
      <c r="X396" s="106"/>
      <c r="Y396" s="217"/>
      <c r="Z396" s="257"/>
      <c r="AA396"/>
    </row>
    <row r="397" spans="1:27" s="171" customFormat="1" ht="15.6">
      <c r="A397" s="289">
        <f>ROW() - ROW(Table626893456791011347[[#Headers],[SL]])</f>
        <v>391</v>
      </c>
      <c r="B397" s="851"/>
      <c r="C397" s="106"/>
      <c r="D397" s="106"/>
      <c r="E397" s="106"/>
      <c r="F397" s="106"/>
      <c r="G397" s="217"/>
      <c r="H397" s="106"/>
      <c r="I397" s="851"/>
      <c r="J397" s="108"/>
      <c r="K397" s="108"/>
      <c r="L397" s="106"/>
      <c r="M397" s="852"/>
      <c r="N397" s="217"/>
      <c r="O397" s="106"/>
      <c r="P397" s="106"/>
      <c r="Q397" s="840"/>
      <c r="R397" s="106"/>
      <c r="S397" s="852"/>
      <c r="T397" s="106"/>
      <c r="U397" s="106"/>
      <c r="V397" s="1260">
        <f>Table626893456791011347[[#This Row],[Offer Value]]-Table626893456791011347[[#This Row],[PO Value]]</f>
        <v>0</v>
      </c>
      <c r="W397" s="106"/>
      <c r="X397" s="106"/>
      <c r="Y397" s="217"/>
      <c r="Z397" s="257"/>
      <c r="AA397"/>
    </row>
    <row r="398" spans="1:27" s="171" customFormat="1" ht="15.6">
      <c r="A398" s="289">
        <f>ROW() - ROW(Table626893456791011347[[#Headers],[SL]])</f>
        <v>392</v>
      </c>
      <c r="B398" s="851"/>
      <c r="C398" s="106"/>
      <c r="D398" s="106"/>
      <c r="E398" s="106"/>
      <c r="F398" s="106"/>
      <c r="G398" s="217"/>
      <c r="H398" s="106"/>
      <c r="I398" s="851"/>
      <c r="J398" s="108"/>
      <c r="K398" s="108"/>
      <c r="L398" s="106"/>
      <c r="M398" s="852"/>
      <c r="N398" s="217"/>
      <c r="O398" s="106"/>
      <c r="P398" s="106"/>
      <c r="Q398" s="840"/>
      <c r="R398" s="106"/>
      <c r="S398" s="852"/>
      <c r="T398" s="106"/>
      <c r="U398" s="106"/>
      <c r="V398" s="1260">
        <f>Table626893456791011347[[#This Row],[Offer Value]]-Table626893456791011347[[#This Row],[PO Value]]</f>
        <v>0</v>
      </c>
      <c r="W398" s="106"/>
      <c r="X398" s="106"/>
      <c r="Y398" s="217"/>
      <c r="Z398" s="257"/>
      <c r="AA398"/>
    </row>
    <row r="399" spans="1:27" s="171" customFormat="1" ht="15.6">
      <c r="A399" s="289">
        <f>ROW() - ROW(Table626893456791011347[[#Headers],[SL]])</f>
        <v>393</v>
      </c>
      <c r="B399" s="851"/>
      <c r="C399" s="106"/>
      <c r="D399" s="106"/>
      <c r="E399" s="106"/>
      <c r="F399" s="106"/>
      <c r="G399" s="217"/>
      <c r="H399" s="106"/>
      <c r="I399" s="851"/>
      <c r="J399" s="108"/>
      <c r="K399" s="108"/>
      <c r="L399" s="106"/>
      <c r="M399" s="852"/>
      <c r="N399" s="217"/>
      <c r="O399" s="106"/>
      <c r="P399" s="106"/>
      <c r="Q399" s="840"/>
      <c r="R399" s="106"/>
      <c r="S399" s="852"/>
      <c r="T399" s="106"/>
      <c r="U399" s="106"/>
      <c r="V399" s="1260">
        <f>Table626893456791011347[[#This Row],[Offer Value]]-Table626893456791011347[[#This Row],[PO Value]]</f>
        <v>0</v>
      </c>
      <c r="W399" s="106"/>
      <c r="X399" s="106"/>
      <c r="Y399" s="217"/>
      <c r="Z399" s="257"/>
      <c r="AA399"/>
    </row>
    <row r="400" spans="1:27" s="171" customFormat="1" ht="15.6">
      <c r="A400" s="289">
        <f>ROW() - ROW(Table626893456791011347[[#Headers],[SL]])</f>
        <v>394</v>
      </c>
      <c r="B400" s="851"/>
      <c r="C400" s="106"/>
      <c r="D400" s="106"/>
      <c r="E400" s="106"/>
      <c r="F400" s="106"/>
      <c r="G400" s="217"/>
      <c r="H400" s="106"/>
      <c r="I400" s="851"/>
      <c r="J400" s="108"/>
      <c r="K400" s="108"/>
      <c r="L400" s="106"/>
      <c r="M400" s="852"/>
      <c r="N400" s="217"/>
      <c r="O400" s="106"/>
      <c r="P400" s="106"/>
      <c r="Q400" s="840"/>
      <c r="R400" s="106"/>
      <c r="S400" s="852"/>
      <c r="T400" s="106"/>
      <c r="U400" s="106"/>
      <c r="V400" s="1260">
        <f>Table626893456791011347[[#This Row],[Offer Value]]-Table626893456791011347[[#This Row],[PO Value]]</f>
        <v>0</v>
      </c>
      <c r="W400" s="106"/>
      <c r="X400" s="106"/>
      <c r="Y400" s="217"/>
      <c r="Z400" s="257"/>
      <c r="AA400"/>
    </row>
    <row r="401" spans="1:27" s="171" customFormat="1" ht="15.6">
      <c r="A401" s="289">
        <f>ROW() - ROW(Table626893456791011347[[#Headers],[SL]])</f>
        <v>395</v>
      </c>
      <c r="B401" s="851"/>
      <c r="C401" s="106"/>
      <c r="D401" s="106"/>
      <c r="E401" s="106"/>
      <c r="F401" s="106"/>
      <c r="G401" s="217"/>
      <c r="H401" s="106"/>
      <c r="I401" s="851"/>
      <c r="J401" s="108"/>
      <c r="K401" s="108"/>
      <c r="L401" s="106"/>
      <c r="M401" s="852"/>
      <c r="N401" s="217"/>
      <c r="O401" s="106"/>
      <c r="P401" s="106"/>
      <c r="Q401" s="840"/>
      <c r="R401" s="106"/>
      <c r="S401" s="852"/>
      <c r="T401" s="106"/>
      <c r="U401" s="106"/>
      <c r="V401" s="1260">
        <f>Table626893456791011347[[#This Row],[Offer Value]]-Table626893456791011347[[#This Row],[PO Value]]</f>
        <v>0</v>
      </c>
      <c r="W401" s="106"/>
      <c r="X401" s="106"/>
      <c r="Y401" s="217"/>
      <c r="Z401" s="257"/>
      <c r="AA401"/>
    </row>
    <row r="402" spans="1:27" s="171" customFormat="1" ht="15.6">
      <c r="A402" s="289">
        <f>ROW() - ROW(Table626893456791011347[[#Headers],[SL]])</f>
        <v>396</v>
      </c>
      <c r="B402" s="851"/>
      <c r="C402" s="106"/>
      <c r="D402" s="106"/>
      <c r="E402" s="106"/>
      <c r="F402" s="106"/>
      <c r="G402" s="217"/>
      <c r="H402" s="106"/>
      <c r="I402" s="851"/>
      <c r="J402" s="108"/>
      <c r="K402" s="108"/>
      <c r="L402" s="106"/>
      <c r="M402" s="852"/>
      <c r="N402" s="217"/>
      <c r="O402" s="106"/>
      <c r="P402" s="106"/>
      <c r="Q402" s="840"/>
      <c r="R402" s="106"/>
      <c r="S402" s="852"/>
      <c r="T402" s="106"/>
      <c r="U402" s="106"/>
      <c r="V402" s="1260">
        <f>Table626893456791011347[[#This Row],[Offer Value]]-Table626893456791011347[[#This Row],[PO Value]]</f>
        <v>0</v>
      </c>
      <c r="W402" s="106"/>
      <c r="X402" s="106"/>
      <c r="Y402" s="217"/>
      <c r="Z402" s="257"/>
      <c r="AA402"/>
    </row>
    <row r="403" spans="1:27" s="171" customFormat="1" ht="15.6">
      <c r="A403" s="289">
        <f>ROW() - ROW(Table626893456791011347[[#Headers],[SL]])</f>
        <v>397</v>
      </c>
      <c r="B403" s="851"/>
      <c r="C403" s="106"/>
      <c r="D403" s="106"/>
      <c r="E403" s="106"/>
      <c r="F403" s="106"/>
      <c r="G403" s="217"/>
      <c r="H403" s="106"/>
      <c r="I403" s="851"/>
      <c r="J403" s="108"/>
      <c r="K403" s="108"/>
      <c r="L403" s="106"/>
      <c r="M403" s="852"/>
      <c r="N403" s="217"/>
      <c r="O403" s="106"/>
      <c r="P403" s="106"/>
      <c r="Q403" s="840"/>
      <c r="R403" s="106"/>
      <c r="S403" s="852"/>
      <c r="T403" s="106"/>
      <c r="U403" s="106"/>
      <c r="V403" s="1260">
        <f>Table626893456791011347[[#This Row],[Offer Value]]-Table626893456791011347[[#This Row],[PO Value]]</f>
        <v>0</v>
      </c>
      <c r="W403" s="106"/>
      <c r="X403" s="106"/>
      <c r="Y403" s="217"/>
      <c r="Z403" s="257"/>
      <c r="AA403"/>
    </row>
    <row r="404" spans="1:27" s="171" customFormat="1" ht="15.6">
      <c r="A404" s="289">
        <f>ROW() - ROW(Table626893456791011347[[#Headers],[SL]])</f>
        <v>398</v>
      </c>
      <c r="B404" s="851"/>
      <c r="C404" s="106"/>
      <c r="D404" s="106"/>
      <c r="E404" s="106"/>
      <c r="F404" s="106"/>
      <c r="G404" s="217"/>
      <c r="H404" s="106"/>
      <c r="I404" s="851"/>
      <c r="J404" s="108"/>
      <c r="K404" s="108"/>
      <c r="L404" s="106"/>
      <c r="M404" s="852"/>
      <c r="N404" s="217"/>
      <c r="O404" s="106"/>
      <c r="P404" s="106"/>
      <c r="Q404" s="840"/>
      <c r="R404" s="106"/>
      <c r="S404" s="852"/>
      <c r="T404" s="106"/>
      <c r="U404" s="106"/>
      <c r="V404" s="1260">
        <f>Table626893456791011347[[#This Row],[Offer Value]]-Table626893456791011347[[#This Row],[PO Value]]</f>
        <v>0</v>
      </c>
      <c r="W404" s="106"/>
      <c r="X404" s="106"/>
      <c r="Y404" s="217"/>
      <c r="Z404" s="257"/>
      <c r="AA404"/>
    </row>
    <row r="405" spans="1:27" s="171" customFormat="1" ht="15.6">
      <c r="A405" s="289">
        <f>ROW() - ROW(Table626893456791011347[[#Headers],[SL]])</f>
        <v>399</v>
      </c>
      <c r="B405" s="851"/>
      <c r="C405" s="106"/>
      <c r="D405" s="106"/>
      <c r="E405" s="106"/>
      <c r="F405" s="106"/>
      <c r="G405" s="217"/>
      <c r="H405" s="106"/>
      <c r="I405" s="851"/>
      <c r="J405" s="108"/>
      <c r="K405" s="108"/>
      <c r="L405" s="106"/>
      <c r="M405" s="852"/>
      <c r="N405" s="217"/>
      <c r="O405" s="106"/>
      <c r="P405" s="106"/>
      <c r="Q405" s="840"/>
      <c r="R405" s="106"/>
      <c r="S405" s="852"/>
      <c r="T405" s="106"/>
      <c r="U405" s="106"/>
      <c r="V405" s="1260">
        <f>Table626893456791011347[[#This Row],[Offer Value]]-Table626893456791011347[[#This Row],[PO Value]]</f>
        <v>0</v>
      </c>
      <c r="W405" s="106"/>
      <c r="X405" s="106"/>
      <c r="Y405" s="217"/>
      <c r="Z405" s="257"/>
      <c r="AA405"/>
    </row>
    <row r="406" spans="1:27" s="171" customFormat="1" ht="15.6">
      <c r="A406" s="289">
        <f>ROW() - ROW(Table626893456791011347[[#Headers],[SL]])</f>
        <v>400</v>
      </c>
      <c r="B406" s="851"/>
      <c r="C406" s="106"/>
      <c r="D406" s="106"/>
      <c r="E406" s="106"/>
      <c r="F406" s="106"/>
      <c r="G406" s="217"/>
      <c r="H406" s="106"/>
      <c r="I406" s="851"/>
      <c r="J406" s="108"/>
      <c r="K406" s="108"/>
      <c r="L406" s="106"/>
      <c r="M406" s="852"/>
      <c r="N406" s="217"/>
      <c r="O406" s="106"/>
      <c r="P406" s="106"/>
      <c r="Q406" s="840"/>
      <c r="R406" s="106"/>
      <c r="S406" s="852"/>
      <c r="T406" s="106"/>
      <c r="U406" s="106"/>
      <c r="V406" s="1260">
        <f>Table626893456791011347[[#This Row],[Offer Value]]-Table626893456791011347[[#This Row],[PO Value]]</f>
        <v>0</v>
      </c>
      <c r="W406" s="106"/>
      <c r="X406" s="106"/>
      <c r="Y406" s="217"/>
      <c r="Z406" s="257"/>
      <c r="AA406"/>
    </row>
    <row r="407" spans="1:27" s="171" customFormat="1" ht="15.6">
      <c r="A407" s="289">
        <f>ROW() - ROW(Table626893456791011347[[#Headers],[SL]])</f>
        <v>401</v>
      </c>
      <c r="B407" s="851"/>
      <c r="C407" s="106"/>
      <c r="D407" s="106"/>
      <c r="E407" s="106"/>
      <c r="F407" s="106"/>
      <c r="G407" s="217"/>
      <c r="H407" s="106"/>
      <c r="I407" s="851"/>
      <c r="J407" s="108"/>
      <c r="K407" s="108"/>
      <c r="L407" s="106"/>
      <c r="M407" s="852"/>
      <c r="N407" s="217"/>
      <c r="O407" s="106"/>
      <c r="P407" s="106"/>
      <c r="Q407" s="840"/>
      <c r="R407" s="106"/>
      <c r="S407" s="852"/>
      <c r="T407" s="106"/>
      <c r="U407" s="106"/>
      <c r="V407" s="1260">
        <f>Table626893456791011347[[#This Row],[Offer Value]]-Table626893456791011347[[#This Row],[PO Value]]</f>
        <v>0</v>
      </c>
      <c r="W407" s="106"/>
      <c r="X407" s="106"/>
      <c r="Y407" s="217"/>
      <c r="Z407" s="257"/>
      <c r="AA407"/>
    </row>
    <row r="408" spans="1:27" s="171" customFormat="1" ht="15.6">
      <c r="A408" s="289">
        <f>ROW() - ROW(Table626893456791011347[[#Headers],[SL]])</f>
        <v>402</v>
      </c>
      <c r="B408" s="851"/>
      <c r="C408" s="106"/>
      <c r="D408" s="106"/>
      <c r="E408" s="106"/>
      <c r="F408" s="106"/>
      <c r="G408" s="217"/>
      <c r="H408" s="106"/>
      <c r="I408" s="851"/>
      <c r="J408" s="108"/>
      <c r="K408" s="108"/>
      <c r="L408" s="106"/>
      <c r="M408" s="852"/>
      <c r="N408" s="217"/>
      <c r="O408" s="106"/>
      <c r="P408" s="106"/>
      <c r="Q408" s="840"/>
      <c r="R408" s="106"/>
      <c r="S408" s="852"/>
      <c r="T408" s="106"/>
      <c r="U408" s="106"/>
      <c r="V408" s="1260">
        <f>Table626893456791011347[[#This Row],[Offer Value]]-Table626893456791011347[[#This Row],[PO Value]]</f>
        <v>0</v>
      </c>
      <c r="W408" s="106"/>
      <c r="X408" s="106"/>
      <c r="Y408" s="217"/>
      <c r="Z408" s="257"/>
      <c r="AA408"/>
    </row>
    <row r="409" spans="1:27" ht="21.75" customHeight="1">
      <c r="A409" s="289">
        <f>ROW() - ROW(Table626893456791011347[[#Headers],[SL]])</f>
        <v>403</v>
      </c>
      <c r="B409" s="851"/>
      <c r="C409" s="106"/>
      <c r="D409" s="106"/>
      <c r="E409" s="106"/>
      <c r="F409" s="106"/>
      <c r="G409" s="217"/>
      <c r="H409" s="106"/>
      <c r="I409" s="851"/>
      <c r="J409" s="108"/>
      <c r="K409" s="108"/>
      <c r="L409" s="106"/>
      <c r="M409" s="852"/>
      <c r="N409" s="217"/>
      <c r="O409" s="106"/>
      <c r="P409" s="106"/>
      <c r="Q409" s="840"/>
      <c r="R409" s="106"/>
      <c r="S409" s="852"/>
      <c r="T409" s="106"/>
      <c r="U409" s="106"/>
      <c r="V409" s="1260">
        <f>Table626893456791011347[[#This Row],[Offer Value]]-Table626893456791011347[[#This Row],[PO Value]]</f>
        <v>0</v>
      </c>
      <c r="W409" s="106"/>
      <c r="X409" s="106"/>
      <c r="Y409" s="217"/>
      <c r="Z409" s="257"/>
    </row>
    <row r="410" spans="1:27" ht="21.75" customHeight="1">
      <c r="A410" s="289">
        <f>ROW() - ROW(Table626893456791011347[[#Headers],[SL]])</f>
        <v>404</v>
      </c>
      <c r="B410" s="851"/>
      <c r="C410" s="106"/>
      <c r="D410" s="106"/>
      <c r="E410" s="106"/>
      <c r="F410" s="106"/>
      <c r="G410" s="217"/>
      <c r="H410" s="106"/>
      <c r="I410" s="851"/>
      <c r="J410" s="108"/>
      <c r="K410" s="108"/>
      <c r="L410" s="106"/>
      <c r="M410" s="852"/>
      <c r="N410" s="217"/>
      <c r="O410" s="106"/>
      <c r="P410" s="106"/>
      <c r="Q410" s="840"/>
      <c r="R410" s="106"/>
      <c r="S410" s="852"/>
      <c r="T410" s="106"/>
      <c r="U410" s="106"/>
      <c r="V410" s="1260">
        <f>Table626893456791011347[[#This Row],[Offer Value]]-Table626893456791011347[[#This Row],[PO Value]]</f>
        <v>0</v>
      </c>
      <c r="W410" s="106"/>
      <c r="X410" s="106"/>
      <c r="Y410" s="217"/>
      <c r="Z410" s="257"/>
    </row>
    <row r="411" spans="1:27" ht="21.75" customHeight="1">
      <c r="A411" s="289">
        <f>ROW() - ROW(Table626893456791011347[[#Headers],[SL]])</f>
        <v>405</v>
      </c>
      <c r="B411" s="851"/>
      <c r="C411" s="106"/>
      <c r="D411" s="106"/>
      <c r="E411" s="106"/>
      <c r="F411" s="106"/>
      <c r="G411" s="217"/>
      <c r="H411" s="106"/>
      <c r="I411" s="851"/>
      <c r="J411" s="108"/>
      <c r="K411" s="108"/>
      <c r="L411" s="106"/>
      <c r="M411" s="852"/>
      <c r="N411" s="217"/>
      <c r="O411" s="106"/>
      <c r="P411" s="106"/>
      <c r="Q411" s="840"/>
      <c r="R411" s="106"/>
      <c r="S411" s="852"/>
      <c r="T411" s="106"/>
      <c r="U411" s="106"/>
      <c r="V411" s="1260">
        <f>Table626893456791011347[[#This Row],[Offer Value]]-Table626893456791011347[[#This Row],[PO Value]]</f>
        <v>0</v>
      </c>
      <c r="W411" s="106"/>
      <c r="X411" s="106"/>
      <c r="Y411" s="217"/>
      <c r="Z411" s="257"/>
    </row>
    <row r="412" spans="1:27" ht="21.75" customHeight="1">
      <c r="A412" s="289">
        <f>ROW() - ROW(Table626893456791011347[[#Headers],[SL]])</f>
        <v>406</v>
      </c>
      <c r="B412" s="851"/>
      <c r="C412" s="106"/>
      <c r="D412" s="106"/>
      <c r="E412" s="106"/>
      <c r="F412" s="106"/>
      <c r="G412" s="217"/>
      <c r="H412" s="106"/>
      <c r="I412" s="851"/>
      <c r="J412" s="106"/>
      <c r="K412" s="106"/>
      <c r="L412" s="106"/>
      <c r="M412" s="852"/>
      <c r="N412" s="823"/>
      <c r="O412" s="128"/>
      <c r="P412" s="106"/>
      <c r="Q412" s="840"/>
      <c r="R412" s="129"/>
      <c r="S412" s="1018"/>
      <c r="T412" s="106"/>
      <c r="U412" s="129"/>
      <c r="V412" s="1260">
        <f>Table626893456791011347[[#This Row],[Offer Value]]-Table626893456791011347[[#This Row],[PO Value]]</f>
        <v>0</v>
      </c>
      <c r="W412" s="106"/>
      <c r="X412" s="106"/>
      <c r="Y412" s="620"/>
      <c r="Z412" s="354"/>
    </row>
    <row r="413" spans="1:27" ht="21.75" customHeight="1">
      <c r="A413" s="118">
        <f>ROW() - ROW(Table626893456791011347[[#Headers],[SL]])</f>
        <v>407</v>
      </c>
      <c r="B413" s="2515"/>
      <c r="C413" s="120"/>
      <c r="D413" s="120"/>
      <c r="E413" s="120"/>
      <c r="F413" s="120"/>
      <c r="G413" s="835"/>
      <c r="H413" s="120"/>
      <c r="I413" s="123"/>
      <c r="J413" s="121"/>
      <c r="K413" s="121"/>
      <c r="L413" s="120"/>
      <c r="M413" s="125"/>
      <c r="N413" s="824"/>
      <c r="O413" s="131"/>
      <c r="P413" s="123"/>
      <c r="Q413" s="842"/>
      <c r="R413" s="206"/>
      <c r="S413" s="125"/>
      <c r="T413" s="123"/>
      <c r="U413" s="131"/>
      <c r="V413" s="1260">
        <f>Table626893456791011347[[#This Row],[Offer Value]]-Table626893456791011347[[#This Row],[PO Value]]</f>
        <v>0</v>
      </c>
      <c r="W413" s="123"/>
      <c r="X413" s="123"/>
      <c r="Y413" s="621"/>
      <c r="Z413" s="39"/>
    </row>
    <row r="414" spans="1:27" ht="21.75" customHeight="1">
      <c r="A414" s="118">
        <f>ROW() - ROW(Table626893456791011347[[#Headers],[SL]])</f>
        <v>408</v>
      </c>
      <c r="B414" s="2515"/>
      <c r="C414" s="120"/>
      <c r="D414" s="120"/>
      <c r="E414" s="120"/>
      <c r="F414" s="120"/>
      <c r="G414" s="835"/>
      <c r="H414" s="120"/>
      <c r="I414" s="123"/>
      <c r="J414" s="121"/>
      <c r="K414" s="121"/>
      <c r="L414" s="120"/>
      <c r="M414" s="125"/>
      <c r="N414" s="824"/>
      <c r="O414" s="131"/>
      <c r="P414" s="123"/>
      <c r="Q414" s="842"/>
      <c r="R414" s="206"/>
      <c r="S414" s="125"/>
      <c r="T414" s="123"/>
      <c r="U414" s="131"/>
      <c r="V414" s="1260">
        <f>Table626893456791011347[[#This Row],[Offer Value]]-Table626893456791011347[[#This Row],[PO Value]]</f>
        <v>0</v>
      </c>
      <c r="W414" s="123"/>
      <c r="X414" s="123"/>
      <c r="Y414" s="621"/>
      <c r="Z414" s="39"/>
    </row>
    <row r="415" spans="1:27" ht="21.75" customHeight="1">
      <c r="A415" s="118">
        <f>ROW() - ROW(Table626893456791011347[[#Headers],[SL]])</f>
        <v>409</v>
      </c>
      <c r="B415" s="2504"/>
      <c r="C415" s="120"/>
      <c r="D415" s="120"/>
      <c r="E415" s="120"/>
      <c r="F415" s="120"/>
      <c r="G415" s="835"/>
      <c r="H415" s="120"/>
      <c r="I415" s="123"/>
      <c r="J415" s="121"/>
      <c r="K415" s="121"/>
      <c r="L415" s="120"/>
      <c r="M415" s="125"/>
      <c r="N415" s="824"/>
      <c r="O415" s="131"/>
      <c r="P415" s="123"/>
      <c r="Q415" s="842"/>
      <c r="R415" s="206"/>
      <c r="S415" s="125"/>
      <c r="T415" s="131"/>
      <c r="U415" s="131"/>
      <c r="V415" s="1260">
        <f>Table626893456791011347[[#This Row],[Offer Value]]-Table626893456791011347[[#This Row],[PO Value]]</f>
        <v>0</v>
      </c>
      <c r="W415" s="123"/>
      <c r="X415" s="123"/>
      <c r="Y415" s="621"/>
      <c r="Z415" s="39"/>
    </row>
    <row r="416" spans="1:27" ht="21.75" customHeight="1">
      <c r="A416" s="118">
        <f>ROW() - ROW(Table626893456791011347[[#Headers],[SL]])</f>
        <v>410</v>
      </c>
      <c r="B416" s="2515"/>
      <c r="C416" s="120"/>
      <c r="D416" s="120"/>
      <c r="E416" s="120"/>
      <c r="F416" s="120"/>
      <c r="G416" s="835"/>
      <c r="H416" s="120"/>
      <c r="I416" s="123"/>
      <c r="J416" s="121"/>
      <c r="K416" s="121"/>
      <c r="L416" s="120"/>
      <c r="M416" s="125"/>
      <c r="N416" s="824"/>
      <c r="O416" s="131"/>
      <c r="P416" s="123"/>
      <c r="Q416" s="842"/>
      <c r="R416" s="206"/>
      <c r="S416" s="125"/>
      <c r="T416" s="123"/>
      <c r="U416" s="131"/>
      <c r="V416" s="1260">
        <f>Table626893456791011347[[#This Row],[Offer Value]]-Table626893456791011347[[#This Row],[PO Value]]</f>
        <v>0</v>
      </c>
      <c r="W416" s="123"/>
      <c r="X416" s="123"/>
      <c r="Y416" s="621"/>
      <c r="Z416" s="39"/>
    </row>
    <row r="417" spans="1:26" ht="21.75" customHeight="1">
      <c r="A417" s="33">
        <f>ROW() - ROW(Table626893456791011347[[#Headers],[SL]])</f>
        <v>411</v>
      </c>
      <c r="B417" s="2514"/>
      <c r="C417" s="35"/>
      <c r="D417" s="35"/>
      <c r="E417" s="35"/>
      <c r="F417" s="35"/>
      <c r="G417" s="836"/>
      <c r="H417" s="35"/>
      <c r="I417" s="39"/>
      <c r="J417" s="36"/>
      <c r="K417" s="36"/>
      <c r="L417" s="35"/>
      <c r="M417" s="40"/>
      <c r="N417" s="825"/>
      <c r="O417" s="38"/>
      <c r="P417" s="39"/>
      <c r="Q417" s="843"/>
      <c r="R417" s="288"/>
      <c r="S417" s="40"/>
      <c r="T417" s="39"/>
      <c r="U417" s="41"/>
      <c r="V417" s="1260">
        <f>Table626893456791011347[[#This Row],[Offer Value]]-Table626893456791011347[[#This Row],[PO Value]]</f>
        <v>0</v>
      </c>
      <c r="W417" s="39"/>
      <c r="X417" s="39"/>
      <c r="Y417" s="622"/>
      <c r="Z417" s="39"/>
    </row>
    <row r="418" spans="1:26" ht="21.75" customHeight="1">
      <c r="A418" s="33">
        <f>ROW() - ROW(Table626893456791011347[[#Headers],[SL]])</f>
        <v>412</v>
      </c>
      <c r="B418" s="2514"/>
      <c r="C418" s="35"/>
      <c r="D418" s="35"/>
      <c r="E418" s="35"/>
      <c r="F418" s="35"/>
      <c r="G418" s="836"/>
      <c r="H418" s="35"/>
      <c r="I418" s="39"/>
      <c r="J418" s="36"/>
      <c r="K418" s="36"/>
      <c r="L418" s="35"/>
      <c r="M418" s="40"/>
      <c r="N418" s="825"/>
      <c r="O418" s="38"/>
      <c r="P418" s="39"/>
      <c r="Q418" s="843"/>
      <c r="R418" s="288"/>
      <c r="S418" s="40"/>
      <c r="T418" s="39"/>
      <c r="U418" s="41"/>
      <c r="V418" s="1260">
        <f>Table626893456791011347[[#This Row],[Offer Value]]-Table626893456791011347[[#This Row],[PO Value]]</f>
        <v>0</v>
      </c>
      <c r="W418" s="39"/>
      <c r="X418" s="39"/>
      <c r="Y418" s="622"/>
      <c r="Z418" s="39"/>
    </row>
    <row r="419" spans="1:26" ht="21.75" customHeight="1">
      <c r="A419" s="33">
        <f>ROW() - ROW(Table626893456791011347[[#Headers],[SL]])</f>
        <v>413</v>
      </c>
      <c r="B419" s="2514"/>
      <c r="C419" s="35"/>
      <c r="D419" s="35"/>
      <c r="E419" s="35"/>
      <c r="F419" s="35"/>
      <c r="G419" s="836"/>
      <c r="H419" s="35"/>
      <c r="I419" s="39"/>
      <c r="J419" s="36"/>
      <c r="K419" s="36"/>
      <c r="L419" s="35"/>
      <c r="M419" s="40"/>
      <c r="N419" s="825"/>
      <c r="O419" s="38"/>
      <c r="P419" s="39"/>
      <c r="Q419" s="843"/>
      <c r="R419" s="288"/>
      <c r="S419" s="40"/>
      <c r="T419" s="39"/>
      <c r="U419" s="41"/>
      <c r="V419" s="1260">
        <f>Table626893456791011347[[#This Row],[Offer Value]]-Table626893456791011347[[#This Row],[PO Value]]</f>
        <v>0</v>
      </c>
      <c r="W419" s="39"/>
      <c r="X419" s="39"/>
      <c r="Y419" s="622"/>
      <c r="Z419" s="39"/>
    </row>
    <row r="420" spans="1:26" ht="21.75" customHeight="1">
      <c r="A420" s="33">
        <f>ROW() - ROW(Table626893456791011347[[#Headers],[SL]])</f>
        <v>414</v>
      </c>
      <c r="B420" s="2514"/>
      <c r="C420" s="35"/>
      <c r="D420" s="35"/>
      <c r="E420" s="35"/>
      <c r="F420" s="35"/>
      <c r="G420" s="836"/>
      <c r="H420" s="35"/>
      <c r="I420" s="39"/>
      <c r="J420" s="36"/>
      <c r="K420" s="36"/>
      <c r="L420" s="35"/>
      <c r="M420" s="40"/>
      <c r="N420" s="825"/>
      <c r="O420" s="38"/>
      <c r="P420" s="39"/>
      <c r="Q420" s="843"/>
      <c r="R420" s="288"/>
      <c r="S420" s="40"/>
      <c r="T420" s="39"/>
      <c r="U420" s="41"/>
      <c r="V420" s="1260">
        <f>Table626893456791011347[[#This Row],[Offer Value]]-Table626893456791011347[[#This Row],[PO Value]]</f>
        <v>0</v>
      </c>
      <c r="W420" s="39"/>
      <c r="X420" s="39"/>
      <c r="Y420" s="622"/>
      <c r="Z420" s="39"/>
    </row>
    <row r="421" spans="1:26" ht="21.75" customHeight="1">
      <c r="A421" s="33">
        <f>ROW() - ROW(Table626893456791011347[[#Headers],[SL]])</f>
        <v>415</v>
      </c>
      <c r="B421" s="2514"/>
      <c r="C421" s="35"/>
      <c r="D421" s="35"/>
      <c r="E421" s="35"/>
      <c r="F421" s="35"/>
      <c r="G421" s="836"/>
      <c r="H421" s="35"/>
      <c r="I421" s="39"/>
      <c r="J421" s="36"/>
      <c r="K421" s="36"/>
      <c r="L421" s="35"/>
      <c r="M421" s="40"/>
      <c r="N421" s="825"/>
      <c r="O421" s="38"/>
      <c r="P421" s="39"/>
      <c r="Q421" s="843"/>
      <c r="R421" s="288"/>
      <c r="S421" s="40"/>
      <c r="T421" s="39"/>
      <c r="U421" s="41"/>
      <c r="V421" s="1260">
        <f>Table626893456791011347[[#This Row],[Offer Value]]-Table626893456791011347[[#This Row],[PO Value]]</f>
        <v>0</v>
      </c>
      <c r="W421" s="39"/>
      <c r="X421" s="39"/>
      <c r="Y421" s="622"/>
      <c r="Z421" s="39"/>
    </row>
    <row r="422" spans="1:26" ht="21.75" customHeight="1">
      <c r="A422" s="33">
        <f>ROW() - ROW(Table626893456791011347[[#Headers],[SL]])</f>
        <v>416</v>
      </c>
      <c r="B422" s="2514"/>
      <c r="C422" s="35"/>
      <c r="D422" s="35"/>
      <c r="E422" s="35"/>
      <c r="F422" s="35"/>
      <c r="G422" s="836"/>
      <c r="H422" s="35"/>
      <c r="I422" s="39"/>
      <c r="J422" s="36"/>
      <c r="K422" s="36"/>
      <c r="L422" s="35"/>
      <c r="M422" s="40"/>
      <c r="N422" s="825"/>
      <c r="O422" s="38"/>
      <c r="P422" s="39"/>
      <c r="Q422" s="843"/>
      <c r="R422" s="288"/>
      <c r="S422" s="40"/>
      <c r="T422" s="39"/>
      <c r="U422" s="41"/>
      <c r="V422" s="1260">
        <f>Table626893456791011347[[#This Row],[Offer Value]]-Table626893456791011347[[#This Row],[PO Value]]</f>
        <v>0</v>
      </c>
      <c r="W422" s="39"/>
      <c r="X422" s="39"/>
      <c r="Y422" s="622"/>
      <c r="Z422" s="39"/>
    </row>
    <row r="423" spans="1:26" ht="21.75" customHeight="1">
      <c r="A423" s="33">
        <f>ROW() - ROW(Table626893456791011347[[#Headers],[SL]])</f>
        <v>417</v>
      </c>
      <c r="B423" s="2514"/>
      <c r="C423" s="35"/>
      <c r="D423" s="35"/>
      <c r="E423" s="35"/>
      <c r="F423" s="35"/>
      <c r="G423" s="836"/>
      <c r="H423" s="35"/>
      <c r="I423" s="39"/>
      <c r="J423" s="36"/>
      <c r="K423" s="36"/>
      <c r="L423" s="35"/>
      <c r="M423" s="40"/>
      <c r="N423" s="825"/>
      <c r="O423" s="38"/>
      <c r="P423" s="39"/>
      <c r="Q423" s="843"/>
      <c r="R423" s="288"/>
      <c r="S423" s="40"/>
      <c r="T423" s="39"/>
      <c r="U423" s="41"/>
      <c r="V423" s="1260">
        <f>Table626893456791011347[[#This Row],[Offer Value]]-Table626893456791011347[[#This Row],[PO Value]]</f>
        <v>0</v>
      </c>
      <c r="W423" s="39"/>
      <c r="X423" s="39"/>
      <c r="Y423" s="622"/>
      <c r="Z423" s="39"/>
    </row>
    <row r="424" spans="1:26" ht="21.75" customHeight="1">
      <c r="A424" s="33">
        <f>ROW() - ROW(Table626893456791011347[[#Headers],[SL]])</f>
        <v>418</v>
      </c>
      <c r="B424" s="2514"/>
      <c r="C424" s="35"/>
      <c r="D424" s="35"/>
      <c r="E424" s="35"/>
      <c r="F424" s="35"/>
      <c r="G424" s="836"/>
      <c r="H424" s="35"/>
      <c r="I424" s="39"/>
      <c r="J424" s="36"/>
      <c r="K424" s="36"/>
      <c r="L424" s="35"/>
      <c r="M424" s="40"/>
      <c r="N424" s="825"/>
      <c r="O424" s="38"/>
      <c r="P424" s="39"/>
      <c r="Q424" s="843"/>
      <c r="R424" s="288"/>
      <c r="S424" s="40"/>
      <c r="T424" s="39"/>
      <c r="U424" s="41"/>
      <c r="V424" s="1260">
        <f>Table626893456791011347[[#This Row],[Offer Value]]-Table626893456791011347[[#This Row],[PO Value]]</f>
        <v>0</v>
      </c>
      <c r="W424" s="39"/>
      <c r="X424" s="39"/>
      <c r="Y424" s="622"/>
      <c r="Z424" s="39"/>
    </row>
    <row r="425" spans="1:26" ht="21.75" customHeight="1">
      <c r="A425" s="33">
        <f>ROW() - ROW(Table626893456791011347[[#Headers],[SL]])</f>
        <v>419</v>
      </c>
      <c r="B425" s="2514"/>
      <c r="C425" s="35"/>
      <c r="D425" s="35"/>
      <c r="E425" s="35"/>
      <c r="F425" s="35"/>
      <c r="G425" s="836"/>
      <c r="H425" s="35"/>
      <c r="I425" s="39"/>
      <c r="J425" s="36"/>
      <c r="K425" s="36"/>
      <c r="L425" s="35"/>
      <c r="M425" s="40"/>
      <c r="N425" s="825"/>
      <c r="O425" s="38"/>
      <c r="P425" s="39"/>
      <c r="Q425" s="843"/>
      <c r="R425" s="288"/>
      <c r="S425" s="40"/>
      <c r="T425" s="39"/>
      <c r="U425" s="41"/>
      <c r="V425" s="1260">
        <f>Table626893456791011347[[#This Row],[Offer Value]]-Table626893456791011347[[#This Row],[PO Value]]</f>
        <v>0</v>
      </c>
      <c r="W425" s="39"/>
      <c r="X425" s="39"/>
      <c r="Y425" s="622"/>
      <c r="Z425" s="39"/>
    </row>
    <row r="426" spans="1:26" ht="21.75" customHeight="1">
      <c r="A426" s="797">
        <f>ROW() - ROW(Table626893456791011347[[#Headers],[SL]])</f>
        <v>420</v>
      </c>
      <c r="B426" s="7"/>
      <c r="C426" s="44"/>
      <c r="D426" s="44"/>
      <c r="E426" s="44"/>
      <c r="F426" s="44"/>
      <c r="G426" s="615"/>
      <c r="H426" s="44"/>
      <c r="I426" s="7"/>
      <c r="J426" s="44"/>
      <c r="K426" s="44"/>
      <c r="L426" s="44"/>
      <c r="M426" s="45"/>
      <c r="N426" s="825"/>
      <c r="O426" s="38"/>
      <c r="P426" s="7"/>
      <c r="Q426" s="844"/>
      <c r="R426" s="290"/>
      <c r="S426" s="46"/>
      <c r="T426" s="7"/>
      <c r="U426" s="47"/>
      <c r="V426" s="1260">
        <f>Table626893456791011347[[#This Row],[Offer Value]]-Table626893456791011347[[#This Row],[PO Value]]</f>
        <v>0</v>
      </c>
      <c r="W426" s="7"/>
      <c r="X426" s="7"/>
      <c r="Y426" s="624"/>
      <c r="Z426" s="7"/>
    </row>
    <row r="427" spans="1:26" ht="21.75" customHeight="1">
      <c r="A427" s="1">
        <f>ROW() - ROW(Table626893456791011347[[#Headers],[SL]])</f>
        <v>421</v>
      </c>
      <c r="O427" s="5"/>
      <c r="P427"/>
      <c r="T427"/>
      <c r="U427"/>
      <c r="V427" s="1260">
        <f>Table626893456791011347[[#This Row],[Offer Value]]-Table626893456791011347[[#This Row],[PO Value]]</f>
        <v>0</v>
      </c>
      <c r="W427" s="1"/>
      <c r="Y427" s="428"/>
      <c r="Z427"/>
    </row>
    <row r="428" spans="1:26" ht="21.75" customHeight="1">
      <c r="A428" s="1">
        <f>ROW() - ROW(Table626893456791011347[[#Headers],[SL]])</f>
        <v>422</v>
      </c>
      <c r="O428" s="5"/>
      <c r="P428"/>
      <c r="T428"/>
      <c r="U428"/>
      <c r="V428" s="1260">
        <f>Table626893456791011347[[#This Row],[Offer Value]]-Table626893456791011347[[#This Row],[PO Value]]</f>
        <v>0</v>
      </c>
      <c r="W428" s="1"/>
      <c r="Y428" s="428"/>
      <c r="Z428"/>
    </row>
    <row r="429" spans="1:26" ht="21.75" customHeight="1">
      <c r="A429" s="1">
        <f>ROW() - ROW(Table626893456791011347[[#Headers],[SL]])</f>
        <v>423</v>
      </c>
      <c r="O429" s="5"/>
      <c r="P429"/>
      <c r="T429"/>
      <c r="U429"/>
      <c r="V429" s="1260">
        <f>Table626893456791011347[[#This Row],[Offer Value]]-Table626893456791011347[[#This Row],[PO Value]]</f>
        <v>0</v>
      </c>
      <c r="W429" s="1"/>
      <c r="Y429" s="428"/>
      <c r="Z429"/>
    </row>
    <row r="430" spans="1:26" ht="21.75" customHeight="1">
      <c r="A430" s="1">
        <f>ROW() - ROW(Table626893456791011347[[#Headers],[SL]])</f>
        <v>424</v>
      </c>
      <c r="O430" s="5"/>
      <c r="P430"/>
      <c r="T430"/>
      <c r="U430"/>
      <c r="V430" s="1260">
        <f>Table626893456791011347[[#This Row],[Offer Value]]-Table626893456791011347[[#This Row],[PO Value]]</f>
        <v>0</v>
      </c>
      <c r="W430" s="1"/>
      <c r="Y430" s="428"/>
      <c r="Z430"/>
    </row>
    <row r="431" spans="1:26" ht="21.75" customHeight="1">
      <c r="A431" s="1">
        <f>ROW() - ROW(Table626893456791011347[[#Headers],[SL]])</f>
        <v>425</v>
      </c>
      <c r="O431" s="5"/>
      <c r="P431"/>
      <c r="T431"/>
      <c r="U431"/>
      <c r="V431" s="1260">
        <f>Table626893456791011347[[#This Row],[Offer Value]]-Table626893456791011347[[#This Row],[PO Value]]</f>
        <v>0</v>
      </c>
      <c r="W431" s="1"/>
      <c r="Y431" s="428"/>
      <c r="Z431"/>
    </row>
    <row r="432" spans="1:26" ht="21.75" customHeight="1">
      <c r="A432" s="1">
        <f>ROW() - ROW(Table626893456791011347[[#Headers],[SL]])</f>
        <v>426</v>
      </c>
      <c r="O432" s="5"/>
      <c r="P432"/>
      <c r="T432"/>
      <c r="U432"/>
      <c r="V432" s="1260">
        <f>Table626893456791011347[[#This Row],[Offer Value]]-Table626893456791011347[[#This Row],[PO Value]]</f>
        <v>0</v>
      </c>
      <c r="W432" s="1"/>
      <c r="Y432" s="428"/>
      <c r="Z432"/>
    </row>
    <row r="433" spans="1:27" ht="21.75" customHeight="1">
      <c r="A433" s="1">
        <f>ROW() - ROW(Table626893456791011347[[#Headers],[SL]])</f>
        <v>427</v>
      </c>
      <c r="O433" s="5"/>
      <c r="P433"/>
      <c r="T433"/>
      <c r="U433"/>
      <c r="V433" s="1260">
        <f>Table626893456791011347[[#This Row],[Offer Value]]-Table626893456791011347[[#This Row],[PO Value]]</f>
        <v>0</v>
      </c>
      <c r="W433" s="1"/>
      <c r="Y433" s="428"/>
      <c r="Z433"/>
    </row>
    <row r="434" spans="1:27" ht="21.75" customHeight="1">
      <c r="A434" s="1">
        <f>ROW() - ROW(Table626893456791011347[[#Headers],[SL]])</f>
        <v>428</v>
      </c>
      <c r="O434" s="5"/>
      <c r="P434"/>
      <c r="T434"/>
      <c r="U434"/>
      <c r="V434" s="1260">
        <f>Table626893456791011347[[#This Row],[Offer Value]]-Table626893456791011347[[#This Row],[PO Value]]</f>
        <v>0</v>
      </c>
      <c r="W434" s="1"/>
      <c r="Y434" s="428"/>
      <c r="Z434"/>
    </row>
    <row r="435" spans="1:27" ht="21.75" customHeight="1">
      <c r="A435" s="1">
        <f>ROW() - ROW(Table626893456791011347[[#Headers],[SL]])</f>
        <v>429</v>
      </c>
      <c r="O435" s="5"/>
      <c r="P435"/>
      <c r="T435"/>
      <c r="U435"/>
      <c r="V435" s="1260">
        <f>Table626893456791011347[[#This Row],[Offer Value]]-Table626893456791011347[[#This Row],[PO Value]]</f>
        <v>0</v>
      </c>
      <c r="W435" s="1"/>
      <c r="Y435" s="428"/>
      <c r="Z435"/>
    </row>
    <row r="436" spans="1:27" ht="21.75" customHeight="1">
      <c r="A436" s="1">
        <f>ROW() - ROW(Table626893456791011347[[#Headers],[SL]])</f>
        <v>430</v>
      </c>
      <c r="O436" s="5"/>
      <c r="P436"/>
      <c r="T436"/>
      <c r="U436"/>
      <c r="V436" s="1260">
        <f>Table626893456791011347[[#This Row],[Offer Value]]-Table626893456791011347[[#This Row],[PO Value]]</f>
        <v>0</v>
      </c>
      <c r="W436" s="1"/>
      <c r="Y436" s="428"/>
      <c r="Z436"/>
    </row>
    <row r="437" spans="1:27" ht="21.75" customHeight="1">
      <c r="A437" s="1">
        <f>ROW() - ROW(Table626893456791011347[[#Headers],[SL]])</f>
        <v>431</v>
      </c>
      <c r="O437" s="5"/>
      <c r="P437"/>
      <c r="T437"/>
      <c r="U437"/>
      <c r="V437" s="1260">
        <f>Table626893456791011347[[#This Row],[Offer Value]]-Table626893456791011347[[#This Row],[PO Value]]</f>
        <v>0</v>
      </c>
      <c r="W437" s="1"/>
      <c r="Y437" s="428"/>
      <c r="Z437"/>
    </row>
    <row r="438" spans="1:27" ht="21.75" customHeight="1">
      <c r="A438" s="1">
        <f>ROW() - ROW(Table626893456791011347[[#Headers],[SL]])</f>
        <v>432</v>
      </c>
      <c r="O438" s="5"/>
      <c r="P438"/>
      <c r="T438"/>
      <c r="U438"/>
      <c r="V438" s="1260">
        <f>Table626893456791011347[[#This Row],[Offer Value]]-Table626893456791011347[[#This Row],[PO Value]]</f>
        <v>0</v>
      </c>
      <c r="W438" s="1"/>
      <c r="Y438" s="428"/>
      <c r="Z438"/>
    </row>
    <row r="439" spans="1:27" ht="21.75" customHeight="1">
      <c r="A439" s="1">
        <f>ROW() - ROW(Table626893456791011347[[#Headers],[SL]])</f>
        <v>433</v>
      </c>
      <c r="O439" s="5"/>
      <c r="P439"/>
      <c r="T439"/>
      <c r="U439"/>
      <c r="V439" s="1260">
        <f>Table626893456791011347[[#This Row],[Offer Value]]-Table626893456791011347[[#This Row],[PO Value]]</f>
        <v>0</v>
      </c>
      <c r="W439" s="1"/>
      <c r="Y439" s="428"/>
      <c r="Z439"/>
    </row>
    <row r="440" spans="1:27" ht="21.75" customHeight="1">
      <c r="A440" s="1">
        <f>ROW() - ROW(Table626893456791011347[[#Headers],[SL]])</f>
        <v>434</v>
      </c>
      <c r="O440" s="5"/>
      <c r="P440"/>
      <c r="T440"/>
      <c r="U440"/>
      <c r="V440" s="1260">
        <f>Table626893456791011347[[#This Row],[Offer Value]]-Table626893456791011347[[#This Row],[PO Value]]</f>
        <v>0</v>
      </c>
      <c r="W440" s="1"/>
      <c r="Y440" s="428"/>
      <c r="Z440"/>
    </row>
    <row r="441" spans="1:27" ht="21.75" customHeight="1">
      <c r="A441" s="1">
        <f>ROW() - ROW(Table626893456791011347[[#Headers],[SL]])</f>
        <v>435</v>
      </c>
      <c r="O441" s="5"/>
      <c r="P441"/>
      <c r="T441"/>
      <c r="U441"/>
      <c r="V441" s="1260">
        <f>Table626893456791011347[[#This Row],[Offer Value]]-Table626893456791011347[[#This Row],[PO Value]]</f>
        <v>0</v>
      </c>
      <c r="W441" s="1"/>
      <c r="Y441" s="428"/>
      <c r="Z441"/>
    </row>
    <row r="442" spans="1:27" ht="21.75" customHeight="1">
      <c r="A442" s="798">
        <f>ROW() - ROW(Table626893456791011347[[#Headers],[SL]])</f>
        <v>436</v>
      </c>
      <c r="B442" s="2516"/>
      <c r="C442" s="474"/>
      <c r="D442" s="474"/>
      <c r="E442" s="474"/>
      <c r="F442" s="474"/>
      <c r="G442" s="837"/>
      <c r="H442" s="474"/>
      <c r="I442" s="1917"/>
      <c r="J442" s="475"/>
      <c r="K442" s="475"/>
      <c r="L442" s="474"/>
      <c r="M442" s="853"/>
      <c r="N442" s="826"/>
      <c r="O442" s="477"/>
      <c r="P442" s="477"/>
      <c r="Q442" s="845"/>
      <c r="R442" s="476"/>
      <c r="S442" s="853"/>
      <c r="T442" s="476"/>
      <c r="U442" s="477"/>
      <c r="V442" s="1260">
        <f>Table626893456791011347[[#This Row],[Offer Value]]-Table626893456791011347[[#This Row],[PO Value]]</f>
        <v>0</v>
      </c>
      <c r="W442" s="474"/>
      <c r="X442" s="478"/>
      <c r="Y442" s="647"/>
      <c r="Z442" s="44"/>
      <c r="AA442" s="7"/>
    </row>
    <row r="443" spans="1:27" ht="21.75" customHeight="1">
      <c r="A443" s="798">
        <f>ROW() - ROW(Table626893456791011347[[#Headers],[SL]])</f>
        <v>437</v>
      </c>
      <c r="B443" s="2516"/>
      <c r="C443" s="474"/>
      <c r="D443" s="474"/>
      <c r="E443" s="474"/>
      <c r="F443" s="474"/>
      <c r="G443" s="837"/>
      <c r="H443" s="474"/>
      <c r="I443" s="1917"/>
      <c r="J443" s="475"/>
      <c r="K443" s="475"/>
      <c r="L443" s="474"/>
      <c r="M443" s="853"/>
      <c r="N443" s="826"/>
      <c r="O443" s="477"/>
      <c r="P443" s="477"/>
      <c r="Q443" s="845"/>
      <c r="R443" s="476"/>
      <c r="S443" s="853"/>
      <c r="T443" s="476"/>
      <c r="U443" s="477"/>
      <c r="V443" s="284">
        <f>Table626893456791011347[[#This Row],[PO Value]]-Table626893456791011347[[#This Row],[Offer Value]]</f>
        <v>0</v>
      </c>
      <c r="W443" s="474"/>
      <c r="X443" s="478"/>
      <c r="Y443" s="647"/>
      <c r="Z443" s="44"/>
      <c r="AA443" s="7"/>
    </row>
    <row r="444" spans="1:27" ht="21.75" customHeight="1">
      <c r="A444" s="798">
        <f>ROW() - ROW(Table626893456791011347[[#Headers],[SL]])</f>
        <v>438</v>
      </c>
      <c r="B444" s="2516"/>
      <c r="C444" s="474"/>
      <c r="D444" s="474"/>
      <c r="E444" s="474"/>
      <c r="F444" s="474"/>
      <c r="G444" s="837"/>
      <c r="H444" s="474"/>
      <c r="I444" s="1917"/>
      <c r="J444" s="475"/>
      <c r="K444" s="475"/>
      <c r="L444" s="474"/>
      <c r="M444" s="853"/>
      <c r="N444" s="826"/>
      <c r="O444" s="477"/>
      <c r="P444" s="477"/>
      <c r="Q444" s="845"/>
      <c r="R444" s="476"/>
      <c r="S444" s="853"/>
      <c r="T444" s="476"/>
      <c r="U444" s="477"/>
      <c r="V444" s="284">
        <f>Table626893456791011347[[#This Row],[PO Value]]-Table626893456791011347[[#This Row],[Offer Value]]</f>
        <v>0</v>
      </c>
      <c r="W444" s="474"/>
      <c r="X444" s="478"/>
      <c r="Y444" s="647"/>
      <c r="Z444" s="44"/>
      <c r="AA444" s="7"/>
    </row>
    <row r="445" spans="1:27" ht="21.75" customHeight="1">
      <c r="A445" s="798">
        <f>ROW() - ROW(Table626893456791011347[[#Headers],[SL]])</f>
        <v>439</v>
      </c>
      <c r="B445" s="2516"/>
      <c r="C445" s="474"/>
      <c r="D445" s="474"/>
      <c r="E445" s="474"/>
      <c r="F445" s="474"/>
      <c r="G445" s="837"/>
      <c r="H445" s="474"/>
      <c r="I445" s="1917"/>
      <c r="J445" s="475"/>
      <c r="K445" s="475"/>
      <c r="L445" s="474"/>
      <c r="M445" s="853"/>
      <c r="N445" s="826"/>
      <c r="O445" s="477"/>
      <c r="P445" s="477"/>
      <c r="Q445" s="845"/>
      <c r="R445" s="476"/>
      <c r="S445" s="853"/>
      <c r="T445" s="476"/>
      <c r="U445" s="477"/>
      <c r="V445" s="284">
        <f>Table626893456791011347[[#This Row],[PO Value]]-Table626893456791011347[[#This Row],[Offer Value]]</f>
        <v>0</v>
      </c>
      <c r="W445" s="474"/>
      <c r="X445" s="478"/>
      <c r="Y445" s="647"/>
      <c r="Z445" s="44"/>
      <c r="AA445" s="7"/>
    </row>
    <row r="446" spans="1:27" ht="21.75" customHeight="1">
      <c r="A446" s="118">
        <f>ROW() - ROW(Table626893456791011347[[#Headers],[SL]])</f>
        <v>440</v>
      </c>
      <c r="B446" s="2515"/>
      <c r="C446" s="120"/>
      <c r="D446" s="120"/>
      <c r="E446" s="120"/>
      <c r="F446" s="120"/>
      <c r="G446" s="835"/>
      <c r="H446" s="120"/>
      <c r="I446" s="123"/>
      <c r="J446" s="1404"/>
      <c r="K446" s="1404"/>
      <c r="L446" s="120"/>
      <c r="M446" s="125"/>
      <c r="N446" s="1405"/>
      <c r="O446" s="1406"/>
      <c r="P446" s="1406"/>
      <c r="Q446" s="842"/>
      <c r="R446" s="206"/>
      <c r="S446" s="125"/>
      <c r="T446" s="206"/>
      <c r="U446" s="1406"/>
      <c r="V446" s="979">
        <f>Table626893456791011347[[#This Row],[PO Value]]-Table626893456791011347[[#This Row],[Offer Value]]</f>
        <v>0</v>
      </c>
      <c r="W446" s="120"/>
      <c r="X446" s="1407"/>
      <c r="Y446" s="206"/>
    </row>
    <row r="449" spans="7:7" ht="21.75" customHeight="1">
      <c r="G449" s="1438"/>
    </row>
    <row r="450" spans="7:7" ht="21.75" customHeight="1">
      <c r="G450" s="1438"/>
    </row>
    <row r="451" spans="7:7" ht="21.75" customHeight="1">
      <c r="G451" s="1438"/>
    </row>
    <row r="452" spans="7:7" ht="21.75" customHeight="1">
      <c r="G452" s="1438"/>
    </row>
    <row r="465" spans="6:8" ht="21.75" customHeight="1">
      <c r="F465" s="105"/>
      <c r="G465" s="829"/>
      <c r="H465" s="105"/>
    </row>
    <row r="466" spans="6:8" ht="21.75" customHeight="1">
      <c r="F466" s="105"/>
      <c r="G466" s="829"/>
      <c r="H466" s="105"/>
    </row>
    <row r="467" spans="6:8" ht="21.75" customHeight="1">
      <c r="F467" s="105"/>
      <c r="G467" s="829"/>
      <c r="H467" s="105"/>
    </row>
    <row r="468" spans="6:8" ht="21.75" customHeight="1">
      <c r="F468" s="105"/>
      <c r="G468" s="829"/>
      <c r="H468" s="105"/>
    </row>
    <row r="469" spans="6:8" ht="21.75" customHeight="1">
      <c r="F469" s="105"/>
      <c r="G469" s="829"/>
      <c r="H469" s="105"/>
    </row>
    <row r="470" spans="6:8" ht="21.75" customHeight="1">
      <c r="F470" s="105"/>
      <c r="G470" s="829"/>
      <c r="H470" s="105"/>
    </row>
    <row r="471" spans="6:8" ht="21.75" customHeight="1">
      <c r="F471" s="105"/>
      <c r="G471" s="829"/>
      <c r="H471" s="105"/>
    </row>
    <row r="472" spans="6:8" ht="21.75" customHeight="1">
      <c r="F472" s="105"/>
      <c r="G472" s="829"/>
      <c r="H472" s="105"/>
    </row>
    <row r="473" spans="6:8" ht="21.75" customHeight="1">
      <c r="F473" s="105"/>
      <c r="G473" s="829"/>
      <c r="H473" s="105"/>
    </row>
    <row r="474" spans="6:8" ht="21.75" customHeight="1">
      <c r="F474" s="105"/>
      <c r="G474" s="829"/>
      <c r="H474" s="105"/>
    </row>
  </sheetData>
  <protectedRanges>
    <protectedRange algorithmName="SHA-512" hashValue="gZNXA0xZZvTr4mVrHIcpl3r4WknbgyiSuZM8Zwe6fcCo6m50g+9tuYL4OsRqTmMCamLLkXw2Bc4O6xBZbTITuA==" saltValue="Pwr0R4fjAsfkJJiQFB5rBQ==" spinCount="100000" sqref="A7:T7 O18:P18 B19:B21 O19:O30 M26:M27 W19:W36 W40 W9:AA17 A8:B17 V7:AA8 D8:T17 V63:W63 D78:I78 V9:V62 B23:B24 V64:V446" name="Range1"/>
    <protectedRange algorithmName="SHA-512" hashValue="gZNXA0xZZvTr4mVrHIcpl3r4WknbgyiSuZM8Zwe6fcCo6m50g+9tuYL4OsRqTmMCamLLkXw2Bc4O6xBZbTITuA==" saltValue="Pwr0R4fjAsfkJJiQFB5rBQ==" spinCount="100000" sqref="U7:U17" name="Range1_1"/>
    <protectedRange algorithmName="SHA-512" hashValue="gZNXA0xZZvTr4mVrHIcpl3r4WknbgyiSuZM8Zwe6fcCo6m50g+9tuYL4OsRqTmMCamLLkXw2Bc4O6xBZbTITuA==" saltValue="Pwr0R4fjAsfkJJiQFB5rBQ==" spinCount="100000" sqref="U19" name="Range1_2"/>
  </protectedRanges>
  <mergeCells count="1">
    <mergeCell ref="Z5:AA5"/>
  </mergeCells>
  <conditionalFormatting sqref="L64:L65">
    <cfRule type="duplicateValues" dxfId="68" priority="20"/>
  </conditionalFormatting>
  <conditionalFormatting sqref="L68">
    <cfRule type="duplicateValues" dxfId="67" priority="19"/>
  </conditionalFormatting>
  <conditionalFormatting sqref="L69">
    <cfRule type="duplicateValues" dxfId="66" priority="10"/>
  </conditionalFormatting>
  <conditionalFormatting sqref="L70">
    <cfRule type="duplicateValues" dxfId="65" priority="9"/>
  </conditionalFormatting>
  <conditionalFormatting sqref="L71">
    <cfRule type="duplicateValues" dxfId="64" priority="2"/>
  </conditionalFormatting>
  <conditionalFormatting sqref="L72">
    <cfRule type="duplicateValues" dxfId="63" priority="7"/>
  </conditionalFormatting>
  <conditionalFormatting sqref="L73">
    <cfRule type="duplicateValues" dxfId="62" priority="6"/>
  </conditionalFormatting>
  <conditionalFormatting sqref="L74">
    <cfRule type="duplicateValues" dxfId="61" priority="4"/>
  </conditionalFormatting>
  <conditionalFormatting sqref="L75">
    <cfRule type="duplicateValues" dxfId="60" priority="66"/>
  </conditionalFormatting>
  <conditionalFormatting sqref="L76">
    <cfRule type="duplicateValues" dxfId="59" priority="3"/>
  </conditionalFormatting>
  <conditionalFormatting sqref="L150:L176 L219:L221 L241:L441 L77:L84">
    <cfRule type="duplicateValues" dxfId="58" priority="34"/>
  </conditionalFormatting>
  <conditionalFormatting sqref="L442:L1048576 L1:L6">
    <cfRule type="duplicateValues" dxfId="57" priority="37"/>
  </conditionalFormatting>
  <conditionalFormatting sqref="R72:R74 R101 R92:R93 R78:R88 R103:R105 R96:R97 R107 R109:R441">
    <cfRule type="duplicateValues" dxfId="56" priority="92"/>
  </conditionalFormatting>
  <dataValidations count="3">
    <dataValidation type="list" allowBlank="1" showInputMessage="1" showErrorMessage="1" error="Do not enter any oteh products" sqref="K417:K425" xr:uid="{88F16FFA-AB50-47EE-9218-A9B9F55DB182}">
      <formula1>#REF!</formula1>
    </dataValidation>
    <dataValidation type="list" allowBlank="1" showInputMessage="1" showErrorMessage="1" error="Do not Enter any other text except Month" sqref="T413:T414 T416:T425 P417:P425" xr:uid="{D1A32C81-DB35-40EC-B435-47BAB3C97AAA}">
      <formula1>#REF!</formula1>
    </dataValidation>
    <dataValidation type="custom" allowBlank="1" showInputMessage="1" showErrorMessage="1" errorTitle="Error" error="Entered data format is wrong" promptTitle="Enter Date format : 01/10/2021 " sqref="B413:B668" xr:uid="{A77CDB29-A244-4848-BD2F-E2E32DD3CAC1}">
      <formula1>AND(ISNUMBER(B413),LEFT(CELL("format",B413),1)="D")</formula1>
    </dataValidation>
  </dataValidations>
  <hyperlinks>
    <hyperlink ref="H18" r:id="rId1" xr:uid="{DC83C41A-D97B-4F01-BAA3-5D94A52B1E9A}"/>
    <hyperlink ref="H109" r:id="rId2" xr:uid="{4D0C7B8D-7C2A-4DD4-8000-B9A61000E40F}"/>
    <hyperlink ref="H110" r:id="rId3" xr:uid="{F87EF842-F259-436F-A6A4-B36689765FB4}"/>
    <hyperlink ref="H111" r:id="rId4" xr:uid="{1914D0EF-2DB6-4C20-9479-CDC4EF81DF1E}"/>
    <hyperlink ref="H39" r:id="rId5" xr:uid="{D6F84825-0365-4093-8371-00ACDF12E884}"/>
    <hyperlink ref="H56" r:id="rId6" xr:uid="{2B64D5D9-7551-4C66-99C5-5DE944A2EA7E}"/>
    <hyperlink ref="H46" r:id="rId7" xr:uid="{A602F630-2276-45DE-9792-7907BBF8E308}"/>
    <hyperlink ref="H47" r:id="rId8" xr:uid="{12D362B4-D69C-4C26-AABB-8253EAB064CF}"/>
    <hyperlink ref="H67" r:id="rId9" xr:uid="{B0065E6E-CED7-41E6-B6B8-E29B513A166D}"/>
    <hyperlink ref="H76" r:id="rId10" xr:uid="{F6E608B4-DA26-4A22-96F5-DE12EA1D6F31}"/>
    <hyperlink ref="H57" r:id="rId11" xr:uid="{15061811-FD4F-412C-A890-03126A0D93A8}"/>
    <hyperlink ref="H85" r:id="rId12" xr:uid="{97DDABD6-8852-4BDD-B399-A5DBBD002A42}"/>
    <hyperlink ref="H65" r:id="rId13" xr:uid="{226392CE-2BBD-42FF-852B-328C8F544D92}"/>
    <hyperlink ref="H99" r:id="rId14" xr:uid="{AD4C7EB1-706A-4BBF-9AE7-5C3B01E56061}"/>
    <hyperlink ref="H19" r:id="rId15" display="mailto:gokuldass.venkatesan@zf.com" xr:uid="{44CAF75B-A328-4129-BE9B-BA363187825C}"/>
    <hyperlink ref="H61" r:id="rId16" xr:uid="{539E3C27-B493-4954-A3E3-4B09C1F1FE36}"/>
    <hyperlink ref="H62" r:id="rId17" xr:uid="{D32D4FAF-ADFC-4E81-86B2-74D11A0B7C5E}"/>
    <hyperlink ref="H7" r:id="rId18" display="mailto:gokuldass.venkatesan@zf.com" xr:uid="{844E2241-8C27-45F0-AB56-F4A060C65D77}"/>
    <hyperlink ref="H25" r:id="rId19" xr:uid="{D4C81E64-BD0C-4EAC-833B-7F571EF54753}"/>
    <hyperlink ref="H26" r:id="rId20" display="mailto:abinaya.r@timken.com" xr:uid="{B6831B9A-7B8C-4228-A677-D29FEF2A0DDD}"/>
    <hyperlink ref="H27" r:id="rId21" display="mailto:abinaya.r@timken.com" xr:uid="{BE2164BB-FF3F-4D09-B325-45F8E14C5BF1}"/>
    <hyperlink ref="H28" r:id="rId22" display="mailto:abinaya.r@timken.com" xr:uid="{B3F43036-44D8-46A5-AC81-1B5CE9E333D2}"/>
    <hyperlink ref="H29" r:id="rId23" display="mailto:abinaya.r@timken.com" xr:uid="{6038E87D-3C1F-428F-9CC6-1D938EFC7815}"/>
    <hyperlink ref="H30" r:id="rId24" display="mailto:abinaya.r@timken.com" xr:uid="{7339ECC3-4C8C-4DA7-A5E4-A05B07DEC161}"/>
    <hyperlink ref="H20" r:id="rId25" xr:uid="{CF70E8BC-C66A-4D28-B943-9DE308C12A7C}"/>
    <hyperlink ref="H21" r:id="rId26" xr:uid="{3EC49C80-7841-4961-8E9F-5DFB257BCBCD}"/>
    <hyperlink ref="H22" r:id="rId27" xr:uid="{2CF6FDAF-64FB-4B72-BCCE-FF9B864BD486}"/>
    <hyperlink ref="H78" r:id="rId28" xr:uid="{67296298-E2D9-4974-B747-7217DD60A1D2}"/>
    <hyperlink ref="H70" r:id="rId29" xr:uid="{DE341522-379A-4AD6-B815-CBF3441B861C}"/>
    <hyperlink ref="H118" r:id="rId30" xr:uid="{276146FA-CDB5-4493-AC6C-90DD535E66FE}"/>
    <hyperlink ref="H37" r:id="rId31" xr:uid="{D5F1FDDC-5A5E-4926-9D1B-EB17BC07238F}"/>
    <hyperlink ref="H38" r:id="rId32" xr:uid="{BEB08B63-0FAF-49F8-9D89-CA7FC6A4F0C1}"/>
    <hyperlink ref="H51" r:id="rId33" xr:uid="{91A69F40-1D98-4B14-9DB0-E341963C8305}"/>
    <hyperlink ref="H52" r:id="rId34" xr:uid="{1C06E143-9E0F-47A9-999E-56763760B605}"/>
    <hyperlink ref="H101" r:id="rId35" xr:uid="{301E8859-6F99-46EA-9EAC-8ABF744B6A6F}"/>
    <hyperlink ref="H69" r:id="rId36" xr:uid="{9C5BA880-9F07-47A0-831D-A7D942180E87}"/>
    <hyperlink ref="H66" r:id="rId37" xr:uid="{1BBFA9D5-934A-45FB-9C24-549228212A21}"/>
    <hyperlink ref="H87" r:id="rId38" xr:uid="{219858B7-E65E-4537-9CD3-9C2D84422649}"/>
    <hyperlink ref="H60" r:id="rId39" display="mailto:abinaya.r@timken.com" xr:uid="{A00381C4-5D6F-4183-AD78-82C6B65B2F2B}"/>
    <hyperlink ref="H77" r:id="rId40" display="mailto:gokuldass.venkatesan@zf.com" xr:uid="{D8922C3D-20B1-43AF-8FD7-4FC10E6398BA}"/>
    <hyperlink ref="H13" r:id="rId41" xr:uid="{CAC539E6-E4B7-4C41-8060-AD9452B7D784}"/>
    <hyperlink ref="H11" r:id="rId42" xr:uid="{17E1EE09-EE0F-46A6-BD53-6C42A342A130}"/>
    <hyperlink ref="H9" r:id="rId43" xr:uid="{767E88F6-4233-42F5-BAF2-22507866442D}"/>
    <hyperlink ref="H72" r:id="rId44" xr:uid="{8D0F4DD9-2575-4431-99B4-D8DDE173608A}"/>
    <hyperlink ref="H117" r:id="rId45" xr:uid="{5819B93D-E637-4497-B61F-C4324EC72ED4}"/>
    <hyperlink ref="H53" r:id="rId46" xr:uid="{788F0604-F4AD-44BA-AF0D-EC49360B5953}"/>
    <hyperlink ref="H44" r:id="rId47" xr:uid="{6803D9A6-325C-47A2-9D4B-AA28BD5373B8}"/>
    <hyperlink ref="H73" r:id="rId48" xr:uid="{346C92F5-A61A-45EA-8592-485B15AF3C7E}"/>
    <hyperlink ref="H108" r:id="rId49" display="mailto:abinaya.r@timken.com" xr:uid="{C762DDBE-502B-4F4E-ABFC-1AB569E4AAAD}"/>
    <hyperlink ref="H103" r:id="rId50" xr:uid="{A910014A-257B-4DDB-B02C-3D0E7B23F417}"/>
    <hyperlink ref="H58" r:id="rId51" xr:uid="{1C4F0ACA-B157-4064-B571-1C616A861899}"/>
    <hyperlink ref="H116" r:id="rId52" xr:uid="{9B08AFB1-70E2-436D-80D2-8E50BC23DF9C}"/>
    <hyperlink ref="H88" r:id="rId53" display="mailto:bharthasarathi@elgi.com" xr:uid="{DE866AFE-AD51-4DC7-8385-B5EED22E150C}"/>
    <hyperlink ref="H112" r:id="rId54" xr:uid="{9B77EA04-A42D-4AD3-B8E3-334EC99DC06E}"/>
    <hyperlink ref="H75" r:id="rId55" xr:uid="{865B7940-748B-47F2-B964-CC2EEBCAED86}"/>
    <hyperlink ref="H15" r:id="rId56" display="mailto:logistics@addison.co.in" xr:uid="{ADE571E0-27EB-4828-A81C-AADEDD0B843F}"/>
    <hyperlink ref="H45" r:id="rId57" xr:uid="{A05EF8E2-0983-4AB5-8688-27166A6D82DF}"/>
    <hyperlink ref="H17" r:id="rId58" xr:uid="{546F19B6-4639-400B-80E6-FE71DC28B52A}"/>
    <hyperlink ref="H92" r:id="rId59" xr:uid="{91356EF1-0F62-467D-A46C-455C8482169D}"/>
    <hyperlink ref="H105" r:id="rId60" display="mailto:maintenance@tsugami.co.in" xr:uid="{A394F233-FF62-4FAA-9BCF-6E7CC24BEBC2}"/>
    <hyperlink ref="H54" r:id="rId61" display="mailto:maintenance@tsugami.co.in" xr:uid="{8F5841E0-4FAE-4320-97BA-8137574D702A}"/>
    <hyperlink ref="G91" r:id="rId62" display="mailto:anandaraj@kiml.motherson.com" xr:uid="{8B738AF6-6B14-4DC1-A2E5-DF250637DF11}"/>
    <hyperlink ref="H91" r:id="rId63" xr:uid="{9EDC37FB-7C92-4B39-9D7E-4CBACAA0CE9A}"/>
    <hyperlink ref="H49" r:id="rId64" xr:uid="{988998CD-7FC9-4D73-B2EC-18F32CF55A03}"/>
    <hyperlink ref="H90" r:id="rId65" xr:uid="{28FA8DF4-C262-4DA1-897F-5172F8E993AE}"/>
    <hyperlink ref="H16" r:id="rId66" display="mailto:sanju.prakash@velan.com" xr:uid="{B3B9BF30-768D-42BB-8ED7-47CFA66E5FFD}"/>
    <hyperlink ref="H84" r:id="rId67" display="mailto:sanju.prakash@velan.com" xr:uid="{A4722CB1-0214-4A58-BF13-07C9D9D280BB}"/>
    <hyperlink ref="H83" r:id="rId68" xr:uid="{D46D2068-D313-453F-B9CD-E105F45484C9}"/>
    <hyperlink ref="H55" r:id="rId69" xr:uid="{249BED4C-DCD2-46BE-978E-DAC3D42BF23C}"/>
    <hyperlink ref="H113" r:id="rId70" xr:uid="{078558E2-764F-416F-AC3E-651853415162}"/>
    <hyperlink ref="H100" r:id="rId71" display="mailto:abinaya.r@timken.com" xr:uid="{266FF763-DD08-49DC-A1C3-0664006D72F4}"/>
    <hyperlink ref="H59" r:id="rId72" xr:uid="{4155EA3C-A3D0-4502-AFF6-BD3F512D8C1A}"/>
    <hyperlink ref="H114" r:id="rId73" xr:uid="{58E3DB3D-6B58-45A6-B3AB-35101A016205}"/>
    <hyperlink ref="H104" r:id="rId74" xr:uid="{7D580EBF-A63B-43D6-9439-86C40EFB6552}"/>
    <hyperlink ref="H93" r:id="rId75" display="mailto:ganesh.raj@mahindra.com" xr:uid="{FAE3266F-07E5-4401-BAAB-DFB27A500358}"/>
    <hyperlink ref="H40" r:id="rId76" display="mailto:R.Elangovan@ksb.com" xr:uid="{7B627CC9-1710-4C03-A08A-DB08A4753056}"/>
    <hyperlink ref="H41" r:id="rId77" display="mailto:R.Elangovan@ksb.com" xr:uid="{4F7C7E2F-26BD-4543-9FA4-4D383DE3311B}"/>
    <hyperlink ref="H42" r:id="rId78" display="mailto:R.Elangovan@ksb.com" xr:uid="{28B00920-B856-4A28-90B6-6CD46BCEB868}"/>
    <hyperlink ref="H43" r:id="rId79" display="mailto:R.Elangovan@ksb.com" xr:uid="{66B089F4-2CEE-4B08-A4CD-76088E833013}"/>
    <hyperlink ref="H86" r:id="rId80" display="mailto:sanju.prakash@velan.com" xr:uid="{9BF594AC-7504-478E-8972-AC0F49F2A9E2}"/>
    <hyperlink ref="H123" r:id="rId81" display="mailto:j.viswanathan@fermator.com" xr:uid="{F6F14707-FEA0-4F4A-BE1B-9E0D9F222DA2}"/>
    <hyperlink ref="H124" r:id="rId82" display="mailto:logistics@addison.co.in" xr:uid="{D7C7BF21-8346-4575-A23E-80877E19555C}"/>
    <hyperlink ref="H127" r:id="rId83" xr:uid="{921845AB-E05D-48F0-8E67-8663CDFADBCC}"/>
    <hyperlink ref="H126" r:id="rId84" display="mailto:logistics@addison.co.in" xr:uid="{2B062975-E67B-4991-B8FE-B694E825B6FB}"/>
    <hyperlink ref="H125" r:id="rId85" display="mailto:sanju.prakash@velan.com" xr:uid="{A61E20D4-5CD4-4CD4-9B86-483711761716}"/>
    <hyperlink ref="H128" r:id="rId86" xr:uid="{D3303FF8-11E7-4057-BEC6-62E39567AD08}"/>
  </hyperlinks>
  <pageMargins left="0.23622047244094491" right="0.23622047244094491" top="0.74803149606299213" bottom="0.74803149606299213" header="0.31496062992125984" footer="0.31496062992125984"/>
  <pageSetup paperSize="9" orientation="landscape" r:id="rId87"/>
  <headerFooter>
    <oddHeader>&amp;R&amp;9&amp;K02+000&amp;D</oddHeader>
    <oddFooter>&amp;L&amp;G&amp;C&amp;9&amp;K02+000&amp;F&amp;R&amp;9&amp;K02+000Page &amp;P of &amp;N</oddFooter>
  </headerFooter>
  <legacyDrawing r:id="rId88"/>
  <legacyDrawingHF r:id="rId89"/>
  <tableParts count="1">
    <tablePart r:id="rId90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error="Do not enter any oteh products" xr:uid="{99822B41-D867-4550-96F6-20BD05FC52C5}">
          <x14:formula1>
            <xm:f>'Month Prod Names'!$D$4:$D$141</xm:f>
          </x14:formula1>
          <xm:sqref>J1:J6 J442:J1048576</xm:sqref>
        </x14:dataValidation>
        <x14:dataValidation type="list" allowBlank="1" showInputMessage="1" showErrorMessage="1" xr:uid="{521AD7AD-96A9-4B49-AEB6-12955CE383FC}">
          <x14:formula1>
            <xm:f>'Machine Serial Numbers'!$A$2:$A$1502</xm:f>
          </x14:formula1>
          <xm:sqref>I1:I6 I442:I1048576</xm:sqref>
        </x14:dataValidation>
        <x14:dataValidation type="list" allowBlank="1" showInputMessage="1" showErrorMessage="1" error="Do not Enter any other text except Month" xr:uid="{B15F88FB-D303-49D1-A088-A7D6F9C0EB77}">
          <x14:formula1>
            <xm:f>'Month Prod Names'!$K$4:$K$13</xm:f>
          </x14:formula1>
          <xm:sqref>Q1:Q6 Q442:Q1048576</xm:sqref>
        </x14:dataValidation>
        <x14:dataValidation type="list" allowBlank="1" showInputMessage="1" showErrorMessage="1" error="Do not Enter any other text except Month" xr:uid="{FEDC19A3-F96F-4F11-B2D8-2FF4693E555B}">
          <x14:formula1>
            <xm:f>'Month Prod Names'!$B$4:$B$15</xm:f>
          </x14:formula1>
          <xm:sqref>P1:P6 P442:P1048576</xm:sqref>
        </x14:dataValidation>
        <x14:dataValidation type="list" allowBlank="1" showInputMessage="1" showErrorMessage="1" xr:uid="{947E5A83-B038-401F-B061-33CE646B747A}">
          <x14:formula1>
            <xm:f>'Month Prod Names'!$B$4:$B$15</xm:f>
          </x14:formula1>
          <xm:sqref>O1:O6 O18:P18 O19:O30 O442:O1048576</xm:sqref>
        </x14:dataValidation>
        <x14:dataValidation type="list" allowBlank="1" showInputMessage="1" showErrorMessage="1" error="Do not enter any oteh products" xr:uid="{9BC81C89-3D3D-4817-93EC-AA19068DE36E}">
          <x14:formula1>
            <xm:f>'Month Prod Names'!$J$4:$J$5</xm:f>
          </x14:formula1>
          <xm:sqref>K1:K6 K442:K1048576</xm:sqref>
        </x14:dataValidation>
        <x14:dataValidation type="list" allowBlank="1" showInputMessage="1" showErrorMessage="1" xr:uid="{653373E8-4C49-4920-8354-96385BF82FB8}">
          <x14:formula1>
            <xm:f>Location!$B$2:$B$126</xm:f>
          </x14:formula1>
          <xm:sqref>D1:D6 D442:D1048576</xm:sqref>
        </x14:dataValidation>
        <x14:dataValidation type="list" allowBlank="1" showInputMessage="1" showErrorMessage="1" error="Select From Drop Down" xr:uid="{82C92640-2EF0-4D39-8B28-148F474A8B73}">
          <x14:formula1>
            <xm:f>'Machine Serial Numbers'!$A$2:$A$1502</xm:f>
          </x14:formula1>
          <xm:sqref>I238:I441 I150:I168 I170:I180 I182:I215 I217:I232 I52:I53 I56 I64 I70:I75 I77 I85 I98 I102:I105 I119 I121 I123</xm:sqref>
        </x14:dataValidation>
        <x14:dataValidation type="list" allowBlank="1" showInputMessage="1" showErrorMessage="1" error="Select from drop down" xr:uid="{E7827C7B-D83F-4FAD-8126-110BFE7FF6F4}">
          <x14:formula1>
            <xm:f>'Month Prod Names'!$J$4:$J$5</xm:f>
          </x14:formula1>
          <xm:sqref>K239:K416 K150:K237 K18 K25:K35 K37:K107 K109 K113:K120</xm:sqref>
        </x14:dataValidation>
        <x14:dataValidation type="list" allowBlank="1" showInputMessage="1" showErrorMessage="1" error="Select From Drop Down" xr:uid="{5ABF8769-C31D-4FC3-B554-7E5F5A357F00}">
          <x14:formula1>
            <xm:f>Location!$B$2:$B$126</xm:f>
          </x14:formula1>
          <xm:sqref>D238:D415 D150:D168 D170:D194 D197:D232 D18:D19 D24:D35 D79:D85 D37:D77 D89:D95 D98:D106 D109:D112 D114:D128</xm:sqref>
        </x14:dataValidation>
        <x14:dataValidation type="list" allowBlank="1" showInputMessage="1" showErrorMessage="1" xr:uid="{56A8157D-40EF-4E1A-B362-B8C9E433A7B7}">
          <x14:formula1>
            <xm:f>'Month Prod Names'!$K$4:$K$19</xm:f>
          </x14:formula1>
          <xm:sqref>Q18 Q37:Q62 Q64:Q441</xm:sqref>
        </x14:dataValidation>
        <x14:dataValidation type="list" allowBlank="1" showInputMessage="1" showErrorMessage="1" xr:uid="{DB5FF560-67E0-4E29-A319-CB31D6B1C398}">
          <x14:formula1>
            <xm:f>'Month Prod Names'!$D$4:$D$46</xm:f>
          </x14:formula1>
          <xm:sqref>J150:J441 J18 J25:J35 J38:J81 J83:J106 J109:J123 J126:J127</xm:sqref>
        </x14:dataValidation>
        <x14:dataValidation type="list" allowBlank="1" showInputMessage="1" showErrorMessage="1" error="Select From Drop Down" xr:uid="{2A98F7F1-9FDC-4D92-85A2-E5B1F893DF03}">
          <x14:formula1>
            <xm:f>'Month Prod Names'!$B$4:$B$15</xm:f>
          </x14:formula1>
          <xm:sqref>U150:U415 O150:O415 P150:P416 U18 P26:P87 U26:U84 U89:U91 O31:O88 O89:P97 P106:P109 O110:O119</xm:sqref>
        </x14:dataValidation>
        <x14:dataValidation type="list" allowBlank="1" showInputMessage="1" showErrorMessage="1" error="Select From Drop Down" xr:uid="{DE423D69-08AC-40ED-BAC5-B8AB27393CC1}">
          <x14:formula1>
            <xm:f>'Month Prod Names'!$B$4:$B$150</xm:f>
          </x14:formula1>
          <xm:sqref>U19 U7:U17</xm:sqref>
        </x14:dataValidation>
        <x14:dataValidation type="list" allowBlank="1" showInputMessage="1" showErrorMessage="1" xr:uid="{01BDA066-A8F7-484D-B907-D573165C945F}">
          <x14:formula1>
            <xm:f>Customer!$B$2:$B$240</xm:f>
          </x14:formula1>
          <xm:sqref>C1:C6 C442:C1048576</xm:sqref>
        </x14:dataValidation>
        <x14:dataValidation type="list" allowBlank="1" showInputMessage="1" showErrorMessage="1" error="Select From Drop Down" xr:uid="{2383CDC6-C6EB-4BC5-9849-F31B8D066E71}">
          <x14:formula1>
            <xm:f>Customer!$B$2:$B$240</xm:f>
          </x14:formula1>
          <xm:sqref>C238:C415 C8:C18 C150:C232 C25:C27 C30:C35 C50:C85 C37:C48 C87 C89:C95 C98:C106 C109:C112 C114:C127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6F13-1472-4F6D-8B5F-CEB0B68FB9F3}">
  <dimension ref="A1:AG435"/>
  <sheetViews>
    <sheetView zoomScale="85" zoomScaleNormal="85" workbookViewId="0">
      <pane ySplit="6" topLeftCell="A7" activePane="bottomLeft" state="frozen"/>
      <selection activeCell="K1" sqref="K1"/>
      <selection pane="bottomLeft" activeCell="J88" sqref="J88"/>
    </sheetView>
  </sheetViews>
  <sheetFormatPr defaultRowHeight="14.4"/>
  <cols>
    <col min="1" max="1" width="15.44140625" customWidth="1"/>
    <col min="2" max="2" width="15.44140625" style="25" bestFit="1" customWidth="1"/>
    <col min="3" max="3" width="23.5546875" style="2" bestFit="1" customWidth="1"/>
    <col min="4" max="4" width="18.44140625" style="2" bestFit="1" customWidth="1"/>
    <col min="5" max="5" width="13.5546875" style="2" bestFit="1" customWidth="1"/>
    <col min="6" max="6" width="15.5546875" style="2" bestFit="1" customWidth="1"/>
    <col min="7" max="7" width="17.88671875" style="2" bestFit="1" customWidth="1"/>
    <col min="8" max="8" width="33.44140625" style="2" bestFit="1" customWidth="1"/>
    <col min="9" max="9" width="16.44140625" style="2" bestFit="1" customWidth="1"/>
    <col min="10" max="10" width="10.44140625" style="2" bestFit="1" customWidth="1"/>
    <col min="11" max="11" width="8.5546875" style="2" customWidth="1"/>
    <col min="12" max="12" width="25" style="2" customWidth="1"/>
    <col min="13" max="13" width="11.5546875" customWidth="1"/>
    <col min="14" max="14" width="10.6640625" style="214" customWidth="1"/>
    <col min="15" max="15" width="10.6640625" style="5" customWidth="1"/>
    <col min="16" max="16" width="17.5546875" bestFit="1" customWidth="1"/>
    <col min="17" max="17" width="14.5546875" style="221" customWidth="1"/>
    <col min="18" max="18" width="27" bestFit="1" customWidth="1"/>
    <col min="19" max="19" width="12.44140625" style="8" customWidth="1"/>
    <col min="20" max="20" width="15.5546875" customWidth="1"/>
    <col min="21" max="21" width="16.5546875" customWidth="1"/>
    <col min="22" max="22" width="22.5546875" style="335" bestFit="1" customWidth="1"/>
    <col min="23" max="23" width="12.5546875" style="1" customWidth="1"/>
    <col min="24" max="24" width="14.5546875" style="1" bestFit="1" customWidth="1"/>
    <col min="25" max="25" width="18.44140625" bestFit="1" customWidth="1"/>
    <col min="26" max="26" width="11.5546875" customWidth="1"/>
    <col min="27" max="27" width="10.5546875" customWidth="1"/>
    <col min="28" max="28" width="14.44140625" customWidth="1"/>
    <col min="29" max="29" width="22.44140625" bestFit="1" customWidth="1"/>
    <col min="30" max="30" width="17" bestFit="1" customWidth="1"/>
    <col min="31" max="31" width="19.5546875" bestFit="1" customWidth="1"/>
    <col min="32" max="32" width="27.5546875" bestFit="1" customWidth="1"/>
    <col min="33" max="33" width="30.5546875" bestFit="1" customWidth="1"/>
  </cols>
  <sheetData>
    <row r="1" spans="1:33" ht="15" thickBot="1">
      <c r="Q1" s="218"/>
      <c r="U1" s="18"/>
      <c r="V1" s="330"/>
      <c r="W1"/>
      <c r="X1"/>
      <c r="AC1" s="440" t="s">
        <v>99</v>
      </c>
      <c r="AD1" s="441"/>
      <c r="AE1" s="442"/>
    </row>
    <row r="2" spans="1:33" ht="31.8" thickBot="1">
      <c r="A2" s="82" t="s">
        <v>3896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213"/>
      <c r="O2" s="83"/>
      <c r="P2" s="83"/>
      <c r="Q2" s="172"/>
      <c r="R2" s="83"/>
      <c r="S2" s="83"/>
      <c r="T2" s="83"/>
      <c r="U2" s="83"/>
      <c r="V2" s="331"/>
      <c r="W2" s="83"/>
      <c r="X2" s="83"/>
      <c r="Y2" s="84"/>
      <c r="Z2" s="86"/>
      <c r="AC2" s="6" t="s">
        <v>22</v>
      </c>
      <c r="AD2" s="6" t="s">
        <v>101</v>
      </c>
      <c r="AE2" s="6" t="s">
        <v>102</v>
      </c>
      <c r="AF2" s="863" t="s">
        <v>2</v>
      </c>
      <c r="AG2" s="994" t="s">
        <v>103</v>
      </c>
    </row>
    <row r="3" spans="1:33" ht="18.600000000000001" thickBot="1">
      <c r="J3" s="87"/>
      <c r="K3" s="87"/>
      <c r="L3" s="87"/>
      <c r="M3" s="5"/>
      <c r="P3" s="5"/>
      <c r="Q3" s="219"/>
      <c r="R3" s="5"/>
      <c r="S3" s="17"/>
      <c r="T3" s="5"/>
      <c r="U3" s="80" t="s">
        <v>104</v>
      </c>
      <c r="V3" s="332">
        <f>SUM(N7:N392)</f>
        <v>20255286</v>
      </c>
      <c r="W3" s="4"/>
      <c r="X3" s="4"/>
      <c r="Y3" s="4"/>
      <c r="Z3" s="4"/>
      <c r="AC3" s="366" t="s">
        <v>7</v>
      </c>
      <c r="AD3" s="456">
        <f>SUMIF($O$7:$O$422,"January",$N$7:$N$422)</f>
        <v>861846</v>
      </c>
      <c r="AE3" s="456">
        <f>SUMIF($U$7:$U$422,"January",$T$7:$T$422)</f>
        <v>41800</v>
      </c>
      <c r="AF3" s="863">
        <f>SUMIF($P$7:$P$422,"January",$N$7:$N$422)</f>
        <v>0</v>
      </c>
      <c r="AG3" s="995">
        <f>AF3-AE3</f>
        <v>-41800</v>
      </c>
    </row>
    <row r="4" spans="1:33" ht="21.6" thickBot="1">
      <c r="A4" s="3" t="s">
        <v>105</v>
      </c>
      <c r="B4" s="93">
        <f>COUNTA(B7:B95)</f>
        <v>67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90"/>
      <c r="N4" s="215"/>
      <c r="O4" s="90"/>
      <c r="P4" s="90"/>
      <c r="Q4" s="219"/>
      <c r="R4" s="90"/>
      <c r="S4" s="101"/>
      <c r="T4" s="90"/>
      <c r="U4" s="12" t="s">
        <v>54</v>
      </c>
      <c r="V4" s="333">
        <f>SUM(T7:T392)</f>
        <v>7275596</v>
      </c>
      <c r="W4" s="21"/>
      <c r="X4" s="21"/>
      <c r="Y4" s="4"/>
      <c r="Z4" s="21"/>
      <c r="AC4" s="366" t="s">
        <v>18</v>
      </c>
      <c r="AD4" s="456">
        <f>SUMIF($O$7:$O$422,"February",$N$7:$N$422)</f>
        <v>1151405</v>
      </c>
      <c r="AE4" s="456">
        <f>SUMIF($U$7:$U$422,"February",$T$7:$T$422)</f>
        <v>141507</v>
      </c>
      <c r="AF4" s="863">
        <f>SUMIF($P$7:$P$422,"February",$N$7:$N$422)</f>
        <v>0</v>
      </c>
      <c r="AG4" s="995">
        <f t="shared" ref="AG4:AG7" si="0">AF4-AE4</f>
        <v>-141507</v>
      </c>
    </row>
    <row r="5" spans="1:33" ht="21.6" thickBot="1">
      <c r="A5" s="91"/>
      <c r="B5" s="92"/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215"/>
      <c r="O5" s="90"/>
      <c r="P5" s="90"/>
      <c r="Q5" s="219"/>
      <c r="R5" s="90"/>
      <c r="S5" s="101"/>
      <c r="T5" s="90"/>
      <c r="U5" s="12" t="s">
        <v>13</v>
      </c>
      <c r="V5" s="333">
        <f>SUM(V7:V392)</f>
        <v>8690597</v>
      </c>
      <c r="W5" s="22"/>
      <c r="X5" s="22"/>
      <c r="Y5" s="199" t="s">
        <v>106</v>
      </c>
      <c r="Z5" s="3483" t="s">
        <v>3897</v>
      </c>
      <c r="AA5" s="3483"/>
      <c r="AB5" s="337"/>
      <c r="AC5" s="366" t="s">
        <v>25</v>
      </c>
      <c r="AD5" s="456">
        <f>SUMIF($O$7:$O$422,"March",$N$7:$N$422)</f>
        <v>2930233</v>
      </c>
      <c r="AE5" s="456">
        <f>SUMIF($U$7:$U$422,"March",$T$7:$T$422)</f>
        <v>225708</v>
      </c>
      <c r="AF5" s="864">
        <f>SUMIF($P$7:$P$422,"March",$N$7:$N$422)</f>
        <v>1202802</v>
      </c>
      <c r="AG5" s="995">
        <f t="shared" si="0"/>
        <v>977094</v>
      </c>
    </row>
    <row r="6" spans="1:33" ht="66.75" customHeight="1">
      <c r="A6" s="134" t="s">
        <v>107</v>
      </c>
      <c r="B6" s="134" t="s">
        <v>108</v>
      </c>
      <c r="C6" s="134" t="s">
        <v>109</v>
      </c>
      <c r="D6" s="134" t="s">
        <v>110</v>
      </c>
      <c r="E6" s="134" t="s">
        <v>111</v>
      </c>
      <c r="F6" s="134" t="s">
        <v>112</v>
      </c>
      <c r="G6" s="134" t="s">
        <v>113</v>
      </c>
      <c r="H6" s="134" t="s">
        <v>114</v>
      </c>
      <c r="I6" s="132" t="s">
        <v>115</v>
      </c>
      <c r="J6" s="134" t="s">
        <v>116</v>
      </c>
      <c r="K6" s="134" t="s">
        <v>117</v>
      </c>
      <c r="L6" s="134" t="s">
        <v>118</v>
      </c>
      <c r="M6" s="133" t="s">
        <v>119</v>
      </c>
      <c r="N6" s="216" t="s">
        <v>120</v>
      </c>
      <c r="O6" s="134" t="s">
        <v>121</v>
      </c>
      <c r="P6" s="134" t="s">
        <v>93</v>
      </c>
      <c r="Q6" s="134" t="s">
        <v>122</v>
      </c>
      <c r="R6" s="134" t="s">
        <v>123</v>
      </c>
      <c r="S6" s="134" t="s">
        <v>124</v>
      </c>
      <c r="T6" s="134" t="s">
        <v>125</v>
      </c>
      <c r="U6" s="134" t="s">
        <v>126</v>
      </c>
      <c r="V6" s="334" t="s">
        <v>13</v>
      </c>
      <c r="W6" s="134" t="s">
        <v>127</v>
      </c>
      <c r="X6" s="197" t="s">
        <v>128</v>
      </c>
      <c r="Y6" s="197" t="s">
        <v>129</v>
      </c>
      <c r="Z6" s="454" t="s">
        <v>130</v>
      </c>
      <c r="AA6" s="455" t="s">
        <v>131</v>
      </c>
      <c r="AB6" s="202"/>
      <c r="AC6" s="366" t="s">
        <v>28</v>
      </c>
      <c r="AD6" s="456">
        <f>SUMIF($O$7:$O$422,"April",$N$7:$N$422)</f>
        <v>267696</v>
      </c>
      <c r="AE6" s="456">
        <f>SUMIF($U$7:$U$422,"April",$T$7:$T$422)</f>
        <v>928846</v>
      </c>
      <c r="AF6" s="864">
        <f>SUMIF($P$7:$P$422,"April",$N$7:$N$422)</f>
        <v>1449980</v>
      </c>
      <c r="AG6" s="995">
        <f t="shared" si="0"/>
        <v>521134</v>
      </c>
    </row>
    <row r="7" spans="1:33" ht="31.2">
      <c r="A7" s="973">
        <v>1</v>
      </c>
      <c r="B7" s="938">
        <v>45699</v>
      </c>
      <c r="C7" s="939" t="s">
        <v>1743</v>
      </c>
      <c r="D7" s="939" t="s">
        <v>3898</v>
      </c>
      <c r="E7" s="941" t="s">
        <v>3899</v>
      </c>
      <c r="F7" s="941" t="s">
        <v>3900</v>
      </c>
      <c r="G7" s="941">
        <v>9811991436</v>
      </c>
      <c r="H7" s="974" t="s">
        <v>3901</v>
      </c>
      <c r="I7" s="975" t="s">
        <v>3902</v>
      </c>
      <c r="J7" s="944" t="s">
        <v>75</v>
      </c>
      <c r="K7" s="944" t="s">
        <v>157</v>
      </c>
      <c r="L7" s="944" t="s">
        <v>3903</v>
      </c>
      <c r="M7" s="946">
        <v>45699</v>
      </c>
      <c r="N7" s="937">
        <v>98502</v>
      </c>
      <c r="O7" s="937" t="s">
        <v>18</v>
      </c>
      <c r="P7" s="937" t="s">
        <v>3904</v>
      </c>
      <c r="Q7" s="947">
        <v>1</v>
      </c>
      <c r="R7" s="1019" t="s">
        <v>3905</v>
      </c>
      <c r="S7" s="949">
        <v>45707</v>
      </c>
      <c r="T7" s="937">
        <v>94563</v>
      </c>
      <c r="U7" s="937" t="s">
        <v>18</v>
      </c>
      <c r="V7" s="976"/>
      <c r="W7" s="937"/>
      <c r="X7" s="937"/>
      <c r="Y7" s="1447">
        <v>45712</v>
      </c>
      <c r="Z7" s="977"/>
      <c r="AA7" s="978" t="s">
        <v>3906</v>
      </c>
      <c r="AB7" s="183"/>
      <c r="AC7" s="366" t="s">
        <v>30</v>
      </c>
      <c r="AD7" s="456">
        <f>SUMIF($O$7:$O$422,"May",$N$7:$N$422)</f>
        <v>1402137</v>
      </c>
      <c r="AE7" s="456">
        <f>SUMIF($U$7:$U$422,"May",$T$7:$T$422)</f>
        <v>112956</v>
      </c>
      <c r="AF7" s="864">
        <f>SUMIF($P$7:$P$422,"May",$N$7:$N$422)</f>
        <v>670047</v>
      </c>
      <c r="AG7" s="995">
        <f t="shared" si="0"/>
        <v>557091</v>
      </c>
    </row>
    <row r="8" spans="1:33" ht="18">
      <c r="A8" s="1002">
        <v>2</v>
      </c>
      <c r="B8" s="1003">
        <v>45610</v>
      </c>
      <c r="C8" s="1004" t="s">
        <v>1743</v>
      </c>
      <c r="D8" s="1004" t="s">
        <v>3898</v>
      </c>
      <c r="E8" s="1005" t="s">
        <v>3899</v>
      </c>
      <c r="F8" s="1005" t="s">
        <v>3900</v>
      </c>
      <c r="G8" s="1005">
        <v>9811991436</v>
      </c>
      <c r="H8" s="1006" t="s">
        <v>3901</v>
      </c>
      <c r="I8" s="975" t="s">
        <v>3902</v>
      </c>
      <c r="J8" s="1007" t="s">
        <v>75</v>
      </c>
      <c r="K8" s="1007" t="s">
        <v>157</v>
      </c>
      <c r="L8" s="1008" t="s">
        <v>3907</v>
      </c>
      <c r="M8" s="1009">
        <v>45609</v>
      </c>
      <c r="N8" s="1010">
        <v>471795</v>
      </c>
      <c r="O8" s="1010" t="s">
        <v>7</v>
      </c>
      <c r="P8" s="1010" t="s">
        <v>66</v>
      </c>
      <c r="Q8" s="1011">
        <v>1</v>
      </c>
      <c r="R8" s="998" t="s">
        <v>3908</v>
      </c>
      <c r="S8" s="1012">
        <v>45710</v>
      </c>
      <c r="T8" s="937">
        <v>46944</v>
      </c>
      <c r="U8" s="1016" t="s">
        <v>18</v>
      </c>
      <c r="V8" s="1013"/>
      <c r="W8" s="1014"/>
      <c r="X8" s="999"/>
      <c r="Y8" s="1015">
        <v>45715</v>
      </c>
      <c r="Z8" s="1000"/>
      <c r="AA8" s="1001" t="s">
        <v>3906</v>
      </c>
      <c r="AB8" s="183"/>
      <c r="AC8" s="366" t="s">
        <v>34</v>
      </c>
      <c r="AD8" s="456">
        <f>SUMIF($O$7:$O$422,"June",$N$7:$N$422)</f>
        <v>3756464</v>
      </c>
      <c r="AE8" s="456">
        <f>SUMIF($U$7:$U$422,"June",$T$7:$T$422)</f>
        <v>1706146</v>
      </c>
      <c r="AF8" s="864">
        <f>SUMIF($P$7:$P$422,"June",$N$7:$N$422)</f>
        <v>1975534</v>
      </c>
      <c r="AG8" s="995">
        <f t="shared" ref="AG8:AG14" si="1">AF8-AE8</f>
        <v>269388</v>
      </c>
    </row>
    <row r="9" spans="1:33" ht="18">
      <c r="A9" s="480">
        <v>3</v>
      </c>
      <c r="B9" s="107">
        <v>45624</v>
      </c>
      <c r="C9" s="854" t="s">
        <v>3909</v>
      </c>
      <c r="D9" s="854" t="s">
        <v>3910</v>
      </c>
      <c r="E9" s="856" t="s">
        <v>277</v>
      </c>
      <c r="F9" s="856" t="s">
        <v>3911</v>
      </c>
      <c r="G9" s="2949">
        <v>9937996877</v>
      </c>
      <c r="H9" s="2950" t="s">
        <v>3912</v>
      </c>
      <c r="I9" s="857" t="s">
        <v>3913</v>
      </c>
      <c r="J9" s="108" t="s">
        <v>75</v>
      </c>
      <c r="K9" s="108" t="s">
        <v>157</v>
      </c>
      <c r="L9" s="112"/>
      <c r="M9" s="112">
        <v>45624</v>
      </c>
      <c r="N9" s="110"/>
      <c r="O9" s="106"/>
      <c r="P9" s="106"/>
      <c r="Q9" s="109"/>
      <c r="R9" s="521"/>
      <c r="S9" s="111"/>
      <c r="T9" s="106"/>
      <c r="U9" s="106"/>
      <c r="V9" s="284">
        <f>Table62689345679101112133[[#This Row],[Offer Value]]-Table62689345679101112133[[#This Row],[PO Value]]</f>
        <v>0</v>
      </c>
      <c r="W9" s="110"/>
      <c r="X9" s="106"/>
      <c r="Y9" s="604"/>
      <c r="Z9" s="319"/>
      <c r="AA9" s="180"/>
      <c r="AB9" s="183"/>
      <c r="AC9" s="366" t="s">
        <v>37</v>
      </c>
      <c r="AD9" s="456">
        <f>SUMIF($O$7:$O$422,"July",$N$7:$N$422)</f>
        <v>4416067</v>
      </c>
      <c r="AE9" s="456">
        <f>SUMIF($U$7:$U$422,"July",$T$7:$T$422)</f>
        <v>326583</v>
      </c>
      <c r="AF9" s="864">
        <f>SUMIF($P$7:$P$422,"July",$N$7:$N$422)</f>
        <v>256574</v>
      </c>
      <c r="AG9" s="995">
        <f t="shared" si="1"/>
        <v>-70009</v>
      </c>
    </row>
    <row r="10" spans="1:33" ht="18">
      <c r="A10" s="480">
        <v>3</v>
      </c>
      <c r="B10" s="107">
        <v>45685</v>
      </c>
      <c r="C10" s="2960"/>
      <c r="D10" s="854"/>
      <c r="E10" s="856"/>
      <c r="F10" s="856" t="s">
        <v>3911</v>
      </c>
      <c r="G10" s="2949">
        <v>9937996878</v>
      </c>
      <c r="H10" s="2950" t="s">
        <v>3912</v>
      </c>
      <c r="I10" s="857" t="s">
        <v>3914</v>
      </c>
      <c r="J10" s="108" t="s">
        <v>75</v>
      </c>
      <c r="K10" s="108" t="s">
        <v>157</v>
      </c>
      <c r="L10" s="181" t="s">
        <v>3915</v>
      </c>
      <c r="M10" s="112"/>
      <c r="N10" s="110"/>
      <c r="O10" s="106" t="s">
        <v>7</v>
      </c>
      <c r="P10" s="106" t="s">
        <v>62</v>
      </c>
      <c r="Q10" s="109">
        <v>0.1</v>
      </c>
      <c r="R10" s="521"/>
      <c r="S10" s="111"/>
      <c r="T10" s="106"/>
      <c r="U10" s="106"/>
      <c r="V10" s="284">
        <f>Table62689345679101112133[[#This Row],[Offer Value]]-Table62689345679101112133[[#This Row],[PO Value]]</f>
        <v>0</v>
      </c>
      <c r="W10" s="106"/>
      <c r="X10" s="106"/>
      <c r="Y10" s="604"/>
      <c r="Z10" s="319"/>
      <c r="AA10" s="319" t="s">
        <v>3916</v>
      </c>
      <c r="AB10" s="321"/>
      <c r="AC10" s="366" t="s">
        <v>39</v>
      </c>
      <c r="AD10" s="456">
        <f>SUMIF($O$7:$O$422,"August",$N$7:$N$422)</f>
        <v>2119396</v>
      </c>
      <c r="AE10" s="456">
        <f>SUMIF($U$7:$U$422,"August",$T$7:$T$422)</f>
        <v>2581602</v>
      </c>
      <c r="AF10" s="864">
        <f>SUMIF($P$7:$P$422,"August",$N$7:$N$422)</f>
        <v>1969554</v>
      </c>
      <c r="AG10" s="995">
        <f t="shared" si="1"/>
        <v>-612048</v>
      </c>
    </row>
    <row r="11" spans="1:33" ht="18">
      <c r="A11" s="480">
        <v>3</v>
      </c>
      <c r="B11" s="107"/>
      <c r="C11" s="854"/>
      <c r="D11" s="854"/>
      <c r="E11" s="854"/>
      <c r="F11" s="856" t="s">
        <v>3911</v>
      </c>
      <c r="G11" s="2949">
        <v>9937996879</v>
      </c>
      <c r="H11" s="2950" t="s">
        <v>3912</v>
      </c>
      <c r="I11" s="857" t="s">
        <v>3917</v>
      </c>
      <c r="J11" s="108" t="s">
        <v>75</v>
      </c>
      <c r="K11" s="108" t="s">
        <v>157</v>
      </c>
      <c r="L11" s="112"/>
      <c r="M11" s="112"/>
      <c r="N11" s="110"/>
      <c r="O11" s="106"/>
      <c r="P11" s="106"/>
      <c r="Q11" s="109"/>
      <c r="R11" s="521"/>
      <c r="S11" s="111"/>
      <c r="T11" s="106"/>
      <c r="U11" s="106"/>
      <c r="V11" s="284">
        <f>Table62689345679101112133[[#This Row],[Offer Value]]-Table62689345679101112133[[#This Row],[PO Value]]</f>
        <v>0</v>
      </c>
      <c r="W11" s="106"/>
      <c r="X11" s="106"/>
      <c r="Y11" s="604"/>
      <c r="Z11" s="319"/>
      <c r="AA11" s="319"/>
      <c r="AB11" s="321"/>
      <c r="AC11" s="366" t="s">
        <v>44</v>
      </c>
      <c r="AD11" s="456">
        <f>SUMIF($O$7:$O$422,"September",$N$7:$N$422)</f>
        <v>1221874</v>
      </c>
      <c r="AE11" s="456">
        <f>SUMIF($U$7:$U$422,"September",$T$7:$T$422)</f>
        <v>328460</v>
      </c>
      <c r="AF11" s="864">
        <f>SUMIF($P$7:$P$422,"September",$N$7:$N$422)</f>
        <v>842147</v>
      </c>
      <c r="AG11" s="995">
        <f t="shared" si="1"/>
        <v>513687</v>
      </c>
    </row>
    <row r="12" spans="1:33" ht="18">
      <c r="A12" s="973">
        <v>4</v>
      </c>
      <c r="B12" s="938">
        <v>45688</v>
      </c>
      <c r="C12" s="939" t="s">
        <v>1015</v>
      </c>
      <c r="D12" s="939" t="s">
        <v>3910</v>
      </c>
      <c r="E12" s="939" t="s">
        <v>954</v>
      </c>
      <c r="F12" s="941" t="s">
        <v>3918</v>
      </c>
      <c r="G12" s="941">
        <v>9818778483</v>
      </c>
      <c r="H12" s="941" t="s">
        <v>3919</v>
      </c>
      <c r="I12" s="1442" t="s">
        <v>3920</v>
      </c>
      <c r="J12" s="944" t="s">
        <v>75</v>
      </c>
      <c r="K12" s="944" t="s">
        <v>157</v>
      </c>
      <c r="L12" s="946" t="s">
        <v>3921</v>
      </c>
      <c r="M12" s="946">
        <v>45748</v>
      </c>
      <c r="N12" s="937">
        <v>267696</v>
      </c>
      <c r="O12" s="937" t="s">
        <v>28</v>
      </c>
      <c r="P12" s="937" t="s">
        <v>28</v>
      </c>
      <c r="Q12" s="1321">
        <v>1</v>
      </c>
      <c r="R12" s="1322">
        <v>6500021327</v>
      </c>
      <c r="S12" s="949">
        <v>45749</v>
      </c>
      <c r="T12" s="937">
        <v>254309</v>
      </c>
      <c r="U12" s="937" t="s">
        <v>28</v>
      </c>
      <c r="V12" s="976"/>
      <c r="W12" s="937"/>
      <c r="X12" s="937"/>
      <c r="Y12" s="1505"/>
      <c r="Z12" s="977"/>
      <c r="AA12" s="977"/>
      <c r="AB12" s="321"/>
      <c r="AC12" s="366" t="s">
        <v>47</v>
      </c>
      <c r="AD12" s="456">
        <f>SUMIF($O$7:$O$422,"October",$N$7:$N$422)</f>
        <v>761810</v>
      </c>
      <c r="AE12" s="456">
        <f>SUMIF($U$7:$U$422,"October",$T$7:$T$422)</f>
        <v>823569</v>
      </c>
      <c r="AF12" s="864">
        <f>SUMIF($P$7:$P$422,"October",$N$7:$N$422)</f>
        <v>1600092</v>
      </c>
      <c r="AG12" s="995">
        <f t="shared" si="1"/>
        <v>776523</v>
      </c>
    </row>
    <row r="13" spans="1:33" ht="31.2">
      <c r="A13" s="973">
        <v>5</v>
      </c>
      <c r="B13" s="1440">
        <v>45405</v>
      </c>
      <c r="C13" s="1441" t="s">
        <v>614</v>
      </c>
      <c r="D13" s="1441" t="s">
        <v>3922</v>
      </c>
      <c r="E13" s="945" t="s">
        <v>954</v>
      </c>
      <c r="F13" s="1442" t="s">
        <v>3923</v>
      </c>
      <c r="G13" s="1443">
        <v>9718737555</v>
      </c>
      <c r="H13" s="1444" t="s">
        <v>3924</v>
      </c>
      <c r="I13" s="1442" t="s">
        <v>3925</v>
      </c>
      <c r="J13" s="1443" t="s">
        <v>75</v>
      </c>
      <c r="K13" s="1443" t="s">
        <v>157</v>
      </c>
      <c r="L13" s="945" t="s">
        <v>3926</v>
      </c>
      <c r="M13" s="1445">
        <v>45405</v>
      </c>
      <c r="N13" s="945">
        <v>140200</v>
      </c>
      <c r="O13" s="937" t="s">
        <v>7</v>
      </c>
      <c r="P13" s="1446" t="s">
        <v>25</v>
      </c>
      <c r="Q13" s="1321">
        <v>1</v>
      </c>
      <c r="R13" s="1322" t="s">
        <v>3927</v>
      </c>
      <c r="S13" s="949">
        <v>45741</v>
      </c>
      <c r="T13" s="937">
        <v>176542</v>
      </c>
      <c r="U13" s="937" t="s">
        <v>25</v>
      </c>
      <c r="V13" s="976"/>
      <c r="W13" s="937"/>
      <c r="X13" s="937"/>
      <c r="Y13" s="1447">
        <v>45744</v>
      </c>
      <c r="Z13" s="362"/>
      <c r="AA13" s="362" t="s">
        <v>3928</v>
      </c>
      <c r="AC13" s="366" t="s">
        <v>49</v>
      </c>
      <c r="AD13" s="456">
        <f>SUMIF($O$7:$O$422,"November",$N$7:$N$422)</f>
        <v>401144</v>
      </c>
      <c r="AE13" s="456">
        <f>SUMIF($U$7:$U$422,"November",$T$7:$T$422)</f>
        <v>37719</v>
      </c>
      <c r="AF13" s="864">
        <f>SUMIF($P$7:$P$422,"November",$N$7:$N$422)</f>
        <v>519444</v>
      </c>
      <c r="AG13" s="995">
        <f t="shared" si="1"/>
        <v>481725</v>
      </c>
    </row>
    <row r="14" spans="1:33" ht="18">
      <c r="A14" s="973">
        <v>6</v>
      </c>
      <c r="B14" s="1440">
        <v>45860</v>
      </c>
      <c r="C14" s="1441" t="s">
        <v>132</v>
      </c>
      <c r="D14" s="1441" t="s">
        <v>3929</v>
      </c>
      <c r="E14" s="1443" t="s">
        <v>954</v>
      </c>
      <c r="F14" s="1568" t="s">
        <v>3930</v>
      </c>
      <c r="G14" s="1906">
        <v>9793034445</v>
      </c>
      <c r="H14" s="1907" t="s">
        <v>3931</v>
      </c>
      <c r="I14" s="978" t="s">
        <v>3932</v>
      </c>
      <c r="J14" s="1443" t="s">
        <v>73</v>
      </c>
      <c r="K14" s="1443" t="s">
        <v>157</v>
      </c>
      <c r="L14" s="978" t="s">
        <v>3933</v>
      </c>
      <c r="M14" s="1445">
        <v>45812</v>
      </c>
      <c r="N14" s="945">
        <v>350000</v>
      </c>
      <c r="O14" s="937" t="s">
        <v>18</v>
      </c>
      <c r="P14" s="1908" t="s">
        <v>34</v>
      </c>
      <c r="Q14" s="1321">
        <v>1</v>
      </c>
      <c r="R14" s="1322">
        <v>4430017625</v>
      </c>
      <c r="S14" s="949">
        <v>45829</v>
      </c>
      <c r="T14" s="937">
        <v>350000</v>
      </c>
      <c r="U14" s="937" t="s">
        <v>34</v>
      </c>
      <c r="V14" s="976">
        <f>Table62689345679101112133[[#This Row],[Offer Value]]-Table62689345679101112133[[#This Row],[PO Value]]</f>
        <v>0</v>
      </c>
      <c r="W14" s="948"/>
      <c r="X14" s="937"/>
      <c r="Y14" s="1505"/>
      <c r="Z14" s="362" t="s">
        <v>157</v>
      </c>
      <c r="AA14" s="362"/>
      <c r="AC14" s="366" t="s">
        <v>62</v>
      </c>
      <c r="AD14" s="456">
        <f>SUMIF($O$7:$O$422,"December",$N$7:$N$422)</f>
        <v>841024</v>
      </c>
      <c r="AE14" s="456">
        <f>SUMIF($U$7:$U$422,"December",$T$7:$T$422)</f>
        <v>20700</v>
      </c>
      <c r="AF14" s="864">
        <f>SUMIF($P$7:$P$422,"December",$N$7:$N$422)</f>
        <v>9074625</v>
      </c>
      <c r="AG14" s="997">
        <f t="shared" si="1"/>
        <v>9053925</v>
      </c>
    </row>
    <row r="15" spans="1:33" ht="15.6">
      <c r="A15" s="973">
        <v>7</v>
      </c>
      <c r="B15" s="938">
        <v>45685</v>
      </c>
      <c r="C15" s="1010" t="s">
        <v>1411</v>
      </c>
      <c r="D15" s="1010"/>
      <c r="E15" s="1010" t="s">
        <v>954</v>
      </c>
      <c r="F15" s="1010" t="s">
        <v>3934</v>
      </c>
      <c r="G15" s="1010">
        <v>9816002875</v>
      </c>
      <c r="H15" s="1320" t="s">
        <v>3935</v>
      </c>
      <c r="I15" s="1010" t="s">
        <v>3936</v>
      </c>
      <c r="J15" s="944" t="s">
        <v>75</v>
      </c>
      <c r="K15" s="944" t="s">
        <v>157</v>
      </c>
      <c r="L15" s="944" t="s">
        <v>3937</v>
      </c>
      <c r="M15" s="946">
        <v>45725</v>
      </c>
      <c r="N15" s="937">
        <v>298994</v>
      </c>
      <c r="O15" s="937" t="s">
        <v>25</v>
      </c>
      <c r="P15" s="937" t="s">
        <v>28</v>
      </c>
      <c r="Q15" s="1321">
        <v>1</v>
      </c>
      <c r="R15" s="1507">
        <v>5000131348</v>
      </c>
      <c r="S15" s="949">
        <v>45743</v>
      </c>
      <c r="T15" s="937">
        <v>311197</v>
      </c>
      <c r="U15" s="937" t="s">
        <v>28</v>
      </c>
      <c r="V15" s="976"/>
      <c r="W15" s="948"/>
      <c r="X15" s="937"/>
      <c r="Y15" s="1447"/>
      <c r="Z15" s="362"/>
      <c r="AA15" s="362"/>
      <c r="AG15" s="345"/>
    </row>
    <row r="16" spans="1:33" ht="15.6">
      <c r="A16" s="480">
        <v>8</v>
      </c>
      <c r="B16" s="107">
        <v>45685</v>
      </c>
      <c r="C16" s="105" t="s">
        <v>1743</v>
      </c>
      <c r="D16" s="105" t="s">
        <v>3938</v>
      </c>
      <c r="E16" s="105" t="s">
        <v>3939</v>
      </c>
      <c r="F16" s="105" t="s">
        <v>3940</v>
      </c>
      <c r="G16" s="105">
        <v>8750749972</v>
      </c>
      <c r="H16" s="250" t="s">
        <v>3941</v>
      </c>
      <c r="I16" s="105" t="s">
        <v>3942</v>
      </c>
      <c r="J16" s="108" t="s">
        <v>75</v>
      </c>
      <c r="K16" s="108" t="s">
        <v>157</v>
      </c>
      <c r="L16" s="108" t="s">
        <v>3943</v>
      </c>
      <c r="M16" s="112">
        <v>45685</v>
      </c>
      <c r="N16" s="106"/>
      <c r="O16" s="106" t="s">
        <v>7</v>
      </c>
      <c r="P16" s="106" t="s">
        <v>62</v>
      </c>
      <c r="Q16" s="109">
        <v>0.1</v>
      </c>
      <c r="R16" s="521"/>
      <c r="S16" s="111"/>
      <c r="T16" s="106"/>
      <c r="U16" s="106"/>
      <c r="V16" s="284">
        <f>Table62689345679101112133[[#This Row],[Offer Value]]-Table62689345679101112133[[#This Row],[PO Value]]</f>
        <v>0</v>
      </c>
      <c r="W16" s="110"/>
      <c r="X16" s="106"/>
      <c r="Y16" s="604"/>
    </row>
    <row r="17" spans="1:27" ht="15.6">
      <c r="A17" s="480">
        <v>9</v>
      </c>
      <c r="B17" s="107">
        <v>45685</v>
      </c>
      <c r="C17" s="105" t="s">
        <v>3776</v>
      </c>
      <c r="D17" s="105" t="s">
        <v>3944</v>
      </c>
      <c r="E17" s="105" t="s">
        <v>3899</v>
      </c>
      <c r="F17" s="105" t="s">
        <v>3945</v>
      </c>
      <c r="G17" s="105">
        <v>9855448300</v>
      </c>
      <c r="H17" s="250" t="s">
        <v>3946</v>
      </c>
      <c r="I17" s="105" t="s">
        <v>3947</v>
      </c>
      <c r="J17" s="108" t="s">
        <v>75</v>
      </c>
      <c r="K17" s="108" t="s">
        <v>157</v>
      </c>
      <c r="L17" s="108" t="s">
        <v>3948</v>
      </c>
      <c r="M17" s="112">
        <v>45685</v>
      </c>
      <c r="N17" s="106">
        <v>249851</v>
      </c>
      <c r="O17" s="106" t="s">
        <v>7</v>
      </c>
      <c r="P17" s="106" t="s">
        <v>62</v>
      </c>
      <c r="Q17" s="109">
        <v>0.1</v>
      </c>
      <c r="R17" s="521"/>
      <c r="S17" s="111"/>
      <c r="T17" s="106"/>
      <c r="U17" s="106"/>
      <c r="V17" s="284">
        <f>Table62689345679101112133[[#This Row],[Offer Value]]-Table62689345679101112133[[#This Row],[PO Value]]</f>
        <v>249851</v>
      </c>
      <c r="W17" s="110"/>
      <c r="X17" s="106"/>
      <c r="Y17" s="604"/>
    </row>
    <row r="18" spans="1:27" ht="46.8">
      <c r="A18" s="973">
        <v>10</v>
      </c>
      <c r="B18" s="938">
        <v>45688</v>
      </c>
      <c r="C18" s="1010" t="s">
        <v>1015</v>
      </c>
      <c r="D18" s="1010" t="s">
        <v>3949</v>
      </c>
      <c r="E18" s="1010" t="s">
        <v>620</v>
      </c>
      <c r="F18" s="1010" t="s">
        <v>3950</v>
      </c>
      <c r="G18" s="1010">
        <v>8130333753</v>
      </c>
      <c r="H18" s="1320" t="s">
        <v>3951</v>
      </c>
      <c r="I18" s="1010" t="s">
        <v>3952</v>
      </c>
      <c r="J18" s="944" t="s">
        <v>75</v>
      </c>
      <c r="K18" s="944" t="s">
        <v>157</v>
      </c>
      <c r="L18" s="944" t="s">
        <v>3953</v>
      </c>
      <c r="M18" s="946">
        <v>45736</v>
      </c>
      <c r="N18" s="937">
        <v>120407</v>
      </c>
      <c r="O18" s="937" t="s">
        <v>25</v>
      </c>
      <c r="P18" s="937" t="s">
        <v>28</v>
      </c>
      <c r="Q18" s="1321">
        <v>1</v>
      </c>
      <c r="R18" s="1322" t="s">
        <v>3954</v>
      </c>
      <c r="S18" s="949" t="s">
        <v>3955</v>
      </c>
      <c r="T18" s="937" t="s">
        <v>3956</v>
      </c>
      <c r="U18" s="937" t="s">
        <v>28</v>
      </c>
      <c r="V18" s="976"/>
      <c r="W18" s="948"/>
      <c r="X18" s="937"/>
      <c r="Y18" s="1505"/>
      <c r="Z18" s="362"/>
      <c r="AA18" s="362"/>
    </row>
    <row r="19" spans="1:27" ht="15.6">
      <c r="A19" s="480">
        <v>10</v>
      </c>
      <c r="B19" s="107"/>
      <c r="C19" s="105"/>
      <c r="D19" s="105"/>
      <c r="E19" s="105"/>
      <c r="F19" s="105"/>
      <c r="G19" s="105"/>
      <c r="H19" s="250"/>
      <c r="I19" s="105" t="s">
        <v>3957</v>
      </c>
      <c r="J19" s="108" t="s">
        <v>75</v>
      </c>
      <c r="K19" s="108" t="s">
        <v>157</v>
      </c>
      <c r="L19" s="108"/>
      <c r="M19" s="108"/>
      <c r="N19" s="106"/>
      <c r="O19" s="106"/>
      <c r="P19" s="106"/>
      <c r="Q19" s="109"/>
      <c r="R19" s="521"/>
      <c r="S19" s="111"/>
      <c r="T19" s="106"/>
      <c r="U19" s="106"/>
      <c r="V19" s="284">
        <f>Table62689345679101112133[[#This Row],[Offer Value]]-Table62689345679101112133[[#This Row],[PO Value]]</f>
        <v>0</v>
      </c>
      <c r="W19" s="110"/>
      <c r="X19" s="106"/>
      <c r="Y19" s="604"/>
    </row>
    <row r="20" spans="1:27" ht="15.6">
      <c r="A20" s="972">
        <v>11</v>
      </c>
      <c r="B20" s="938">
        <v>45608</v>
      </c>
      <c r="C20" s="939" t="s">
        <v>3958</v>
      </c>
      <c r="D20" s="939" t="s">
        <v>3959</v>
      </c>
      <c r="E20" s="940" t="s">
        <v>954</v>
      </c>
      <c r="F20" s="941" t="s">
        <v>3960</v>
      </c>
      <c r="G20" s="941">
        <v>9871553546</v>
      </c>
      <c r="H20" s="942" t="s">
        <v>3961</v>
      </c>
      <c r="I20" s="943" t="s">
        <v>3962</v>
      </c>
      <c r="J20" s="944" t="s">
        <v>75</v>
      </c>
      <c r="K20" s="944" t="s">
        <v>157</v>
      </c>
      <c r="L20" s="945" t="s">
        <v>3963</v>
      </c>
      <c r="M20" s="946">
        <v>45603</v>
      </c>
      <c r="N20" s="945">
        <v>124190</v>
      </c>
      <c r="O20" s="937" t="s">
        <v>3964</v>
      </c>
      <c r="P20" s="937" t="s">
        <v>3965</v>
      </c>
      <c r="Q20" s="947">
        <v>1</v>
      </c>
      <c r="R20" s="948">
        <v>901962680</v>
      </c>
      <c r="S20" s="949">
        <v>45660</v>
      </c>
      <c r="T20" s="937">
        <v>41800</v>
      </c>
      <c r="U20" s="937" t="s">
        <v>7</v>
      </c>
      <c r="V20" s="950"/>
      <c r="W20" s="937"/>
      <c r="X20" s="951"/>
      <c r="Y20" s="949">
        <v>45666</v>
      </c>
      <c r="Z20" s="952"/>
      <c r="AA20" s="952" t="s">
        <v>3966</v>
      </c>
    </row>
    <row r="21" spans="1:27" ht="15.6">
      <c r="A21" s="973">
        <v>12</v>
      </c>
      <c r="B21" s="938">
        <v>45705</v>
      </c>
      <c r="C21" s="1010" t="s">
        <v>1743</v>
      </c>
      <c r="D21" s="1010" t="s">
        <v>3938</v>
      </c>
      <c r="E21" s="1010" t="s">
        <v>3939</v>
      </c>
      <c r="F21" s="1010" t="s">
        <v>3967</v>
      </c>
      <c r="G21" s="1010">
        <v>9818436809</v>
      </c>
      <c r="H21" s="1320" t="s">
        <v>3968</v>
      </c>
      <c r="I21" s="1010" t="s">
        <v>3942</v>
      </c>
      <c r="J21" s="944" t="s">
        <v>75</v>
      </c>
      <c r="K21" s="944" t="s">
        <v>157</v>
      </c>
      <c r="L21" s="944" t="s">
        <v>3969</v>
      </c>
      <c r="M21" s="946">
        <v>45705</v>
      </c>
      <c r="N21" s="937">
        <v>236087</v>
      </c>
      <c r="O21" s="937" t="s">
        <v>18</v>
      </c>
      <c r="P21" s="937" t="s">
        <v>30</v>
      </c>
      <c r="Q21" s="1321">
        <v>1</v>
      </c>
      <c r="R21" s="1644">
        <v>1622911</v>
      </c>
      <c r="S21" s="949">
        <v>45799</v>
      </c>
      <c r="T21" s="937">
        <v>50230</v>
      </c>
      <c r="U21" s="937" t="s">
        <v>30</v>
      </c>
      <c r="V21" s="976"/>
      <c r="W21" s="937"/>
      <c r="X21" s="937"/>
      <c r="Y21" s="1447"/>
      <c r="Z21" s="362"/>
      <c r="AA21" s="362"/>
    </row>
    <row r="22" spans="1:27" ht="46.8">
      <c r="A22" s="973">
        <v>13</v>
      </c>
      <c r="B22" s="938">
        <v>45708</v>
      </c>
      <c r="C22" s="1010" t="s">
        <v>3958</v>
      </c>
      <c r="D22" s="1010" t="s">
        <v>3959</v>
      </c>
      <c r="E22" s="1010" t="s">
        <v>3939</v>
      </c>
      <c r="F22" s="1010" t="s">
        <v>3970</v>
      </c>
      <c r="G22" s="1010">
        <v>8800882736</v>
      </c>
      <c r="H22" s="1320" t="s">
        <v>3971</v>
      </c>
      <c r="I22" s="1010" t="s">
        <v>3972</v>
      </c>
      <c r="J22" s="944" t="s">
        <v>75</v>
      </c>
      <c r="K22" s="944" t="s">
        <v>157</v>
      </c>
      <c r="L22" s="944" t="s">
        <v>3973</v>
      </c>
      <c r="M22" s="946">
        <v>45708</v>
      </c>
      <c r="N22" s="937">
        <v>417441</v>
      </c>
      <c r="O22" s="937" t="s">
        <v>18</v>
      </c>
      <c r="P22" s="937" t="s">
        <v>25</v>
      </c>
      <c r="Q22" s="1321">
        <v>1</v>
      </c>
      <c r="R22" s="1322" t="s">
        <v>3974</v>
      </c>
      <c r="S22" s="949" t="s">
        <v>3975</v>
      </c>
      <c r="T22" s="937" t="s">
        <v>3976</v>
      </c>
      <c r="U22" s="937" t="s">
        <v>25</v>
      </c>
      <c r="V22" s="976"/>
      <c r="W22" s="937"/>
      <c r="X22" s="937"/>
      <c r="Y22" s="1447">
        <v>45744</v>
      </c>
      <c r="Z22" s="362"/>
      <c r="AA22" s="952" t="s">
        <v>3966</v>
      </c>
    </row>
    <row r="23" spans="1:27" ht="15.6">
      <c r="A23" s="973">
        <v>14</v>
      </c>
      <c r="B23" s="938">
        <v>45708</v>
      </c>
      <c r="C23" s="1010" t="s">
        <v>3958</v>
      </c>
      <c r="D23" s="1010" t="s">
        <v>3959</v>
      </c>
      <c r="E23" s="1010" t="s">
        <v>3977</v>
      </c>
      <c r="F23" s="1010" t="s">
        <v>3978</v>
      </c>
      <c r="G23" s="1010">
        <v>8826375252</v>
      </c>
      <c r="H23" s="1439" t="s">
        <v>3979</v>
      </c>
      <c r="I23" s="1010" t="s">
        <v>3980</v>
      </c>
      <c r="J23" s="944" t="s">
        <v>75</v>
      </c>
      <c r="K23" s="944" t="s">
        <v>157</v>
      </c>
      <c r="L23" s="944" t="s">
        <v>3981</v>
      </c>
      <c r="M23" s="946">
        <v>45708</v>
      </c>
      <c r="N23" s="937">
        <v>49375</v>
      </c>
      <c r="O23" s="937" t="s">
        <v>18</v>
      </c>
      <c r="P23" s="937" t="s">
        <v>25</v>
      </c>
      <c r="Q23" s="1321">
        <v>1</v>
      </c>
      <c r="R23" s="1322">
        <v>901965887</v>
      </c>
      <c r="S23" s="949">
        <v>45737</v>
      </c>
      <c r="T23" s="937">
        <v>3969</v>
      </c>
      <c r="U23" s="937" t="s">
        <v>25</v>
      </c>
      <c r="V23" s="976"/>
      <c r="W23" s="948"/>
      <c r="X23" s="937"/>
      <c r="Y23" s="1447">
        <v>45742</v>
      </c>
      <c r="Z23" s="362"/>
      <c r="AA23" s="952" t="s">
        <v>3966</v>
      </c>
    </row>
    <row r="24" spans="1:27" ht="15.6">
      <c r="A24" s="480">
        <v>15</v>
      </c>
      <c r="B24" s="107">
        <v>45712</v>
      </c>
      <c r="C24" s="108" t="s">
        <v>3958</v>
      </c>
      <c r="D24" s="108" t="s">
        <v>3959</v>
      </c>
      <c r="E24" s="108" t="s">
        <v>3977</v>
      </c>
      <c r="F24" s="108" t="s">
        <v>3970</v>
      </c>
      <c r="G24" s="105">
        <v>8800882736</v>
      </c>
      <c r="H24" s="248" t="s">
        <v>3971</v>
      </c>
      <c r="I24" s="105" t="s">
        <v>3972</v>
      </c>
      <c r="J24" s="108" t="s">
        <v>75</v>
      </c>
      <c r="K24" s="108" t="s">
        <v>157</v>
      </c>
      <c r="L24" s="108" t="s">
        <v>3982</v>
      </c>
      <c r="M24" s="112">
        <v>45709</v>
      </c>
      <c r="N24" s="106"/>
      <c r="O24" s="106" t="s">
        <v>18</v>
      </c>
      <c r="P24" s="106" t="s">
        <v>62</v>
      </c>
      <c r="Q24" s="109">
        <v>0.1</v>
      </c>
      <c r="R24" s="521"/>
      <c r="S24" s="111"/>
      <c r="T24" s="106"/>
      <c r="U24" s="106"/>
      <c r="V24" s="1563">
        <f>Table62689345679101112133[[#This Row],[Offer Value]]-Table62689345679101112133[[#This Row],[PO Value]]</f>
        <v>0</v>
      </c>
      <c r="W24" s="110"/>
      <c r="X24" s="106"/>
      <c r="Y24" s="604"/>
      <c r="Z24" t="s">
        <v>157</v>
      </c>
    </row>
    <row r="25" spans="1:27" s="364" customFormat="1" ht="15.6">
      <c r="A25" s="973">
        <v>16</v>
      </c>
      <c r="B25" s="938">
        <v>45719</v>
      </c>
      <c r="C25" s="1010" t="s">
        <v>1250</v>
      </c>
      <c r="D25" s="1010" t="s">
        <v>3983</v>
      </c>
      <c r="E25" s="944" t="s">
        <v>620</v>
      </c>
      <c r="F25" s="944" t="s">
        <v>3984</v>
      </c>
      <c r="G25" s="944">
        <v>9001994993</v>
      </c>
      <c r="H25" s="1506" t="s">
        <v>3985</v>
      </c>
      <c r="I25" s="944" t="s">
        <v>3986</v>
      </c>
      <c r="J25" s="1007" t="s">
        <v>75</v>
      </c>
      <c r="K25" s="1007" t="s">
        <v>157</v>
      </c>
      <c r="L25" s="944" t="s">
        <v>3987</v>
      </c>
      <c r="M25" s="946">
        <v>45719</v>
      </c>
      <c r="N25" s="937">
        <v>363340</v>
      </c>
      <c r="O25" s="937" t="s">
        <v>25</v>
      </c>
      <c r="P25" s="937" t="s">
        <v>28</v>
      </c>
      <c r="Q25" s="1321">
        <v>1</v>
      </c>
      <c r="R25" s="1450" t="s">
        <v>3988</v>
      </c>
      <c r="S25" s="949">
        <v>45743</v>
      </c>
      <c r="T25" s="937">
        <v>363340</v>
      </c>
      <c r="U25" s="937" t="s">
        <v>28</v>
      </c>
      <c r="V25" s="976">
        <f>Table62689345679101112133[[#This Row],[Offer Value]]-Table62689345679101112133[[#This Row],[PO Value]]</f>
        <v>0</v>
      </c>
      <c r="W25" s="948"/>
      <c r="X25" s="951"/>
      <c r="Y25" s="1447"/>
      <c r="Z25" s="362"/>
      <c r="AA25" s="362"/>
    </row>
    <row r="26" spans="1:27" ht="15.6">
      <c r="A26" s="480">
        <v>17</v>
      </c>
      <c r="B26" s="107">
        <v>45728</v>
      </c>
      <c r="C26" s="105" t="s">
        <v>614</v>
      </c>
      <c r="D26" s="105" t="s">
        <v>3922</v>
      </c>
      <c r="E26" s="108" t="s">
        <v>3989</v>
      </c>
      <c r="F26" s="108" t="s">
        <v>3990</v>
      </c>
      <c r="G26" s="108">
        <v>9716851617</v>
      </c>
      <c r="H26" s="251" t="s">
        <v>3991</v>
      </c>
      <c r="I26" s="108" t="s">
        <v>3992</v>
      </c>
      <c r="J26" s="115" t="s">
        <v>75</v>
      </c>
      <c r="K26" s="115" t="s">
        <v>157</v>
      </c>
      <c r="L26" s="113" t="s">
        <v>3993</v>
      </c>
      <c r="M26" s="116">
        <v>45728</v>
      </c>
      <c r="N26" s="106">
        <v>700000</v>
      </c>
      <c r="O26" s="106" t="s">
        <v>25</v>
      </c>
      <c r="P26" s="106" t="s">
        <v>62</v>
      </c>
      <c r="Q26" s="109">
        <v>0.5</v>
      </c>
      <c r="R26" s="521"/>
      <c r="S26" s="111"/>
      <c r="T26" s="106"/>
      <c r="U26" s="106"/>
      <c r="V26" s="1563">
        <f>Table62689345679101112133[[#This Row],[Offer Value]]-Table62689345679101112133[[#This Row],[PO Value]]</f>
        <v>700000</v>
      </c>
      <c r="W26" s="110"/>
      <c r="X26" s="106"/>
      <c r="Y26" s="604"/>
      <c r="Z26" t="s">
        <v>157</v>
      </c>
    </row>
    <row r="27" spans="1:27" s="365" customFormat="1" ht="15.6">
      <c r="A27" s="480">
        <v>17</v>
      </c>
      <c r="B27" s="107"/>
      <c r="C27" s="105"/>
      <c r="D27" s="105"/>
      <c r="E27" s="105"/>
      <c r="F27" s="108"/>
      <c r="G27" s="105"/>
      <c r="H27" s="248"/>
      <c r="I27" s="105" t="s">
        <v>3994</v>
      </c>
      <c r="J27" s="115"/>
      <c r="K27" s="115"/>
      <c r="L27" s="113"/>
      <c r="M27" s="116"/>
      <c r="N27" s="106"/>
      <c r="O27" s="106"/>
      <c r="P27" s="106"/>
      <c r="Q27" s="109"/>
      <c r="R27" s="522"/>
      <c r="S27" s="111"/>
      <c r="T27" s="106"/>
      <c r="U27" s="106"/>
      <c r="V27" s="284">
        <f>Table62689345679101112133[[#This Row],[Offer Value]]-Table62689345679101112133[[#This Row],[PO Value]]</f>
        <v>0</v>
      </c>
      <c r="W27" s="110"/>
      <c r="X27" s="106"/>
      <c r="Y27" s="605"/>
    </row>
    <row r="28" spans="1:27" ht="15.6">
      <c r="A28" s="480">
        <v>17</v>
      </c>
      <c r="B28" s="107"/>
      <c r="C28" s="105"/>
      <c r="D28" s="105"/>
      <c r="E28" s="108"/>
      <c r="F28" s="108"/>
      <c r="G28" s="108"/>
      <c r="H28" s="251"/>
      <c r="I28" s="108">
        <v>305000054</v>
      </c>
      <c r="J28" s="115"/>
      <c r="K28" s="115"/>
      <c r="L28" s="113"/>
      <c r="M28" s="116"/>
      <c r="N28" s="106"/>
      <c r="O28" s="106"/>
      <c r="P28" s="106"/>
      <c r="Q28" s="109"/>
      <c r="R28" s="521"/>
      <c r="S28" s="111"/>
      <c r="T28" s="106"/>
      <c r="U28" s="106"/>
      <c r="V28" s="284">
        <f>Table62689345679101112133[[#This Row],[Offer Value]]-Table62689345679101112133[[#This Row],[PO Value]]</f>
        <v>0</v>
      </c>
      <c r="W28" s="110"/>
      <c r="X28" s="106"/>
      <c r="Y28" s="605"/>
    </row>
    <row r="29" spans="1:27" ht="15.6">
      <c r="A29" s="480">
        <v>17</v>
      </c>
      <c r="B29" s="107"/>
      <c r="C29" s="105"/>
      <c r="D29" s="108"/>
      <c r="E29" s="108"/>
      <c r="F29" s="108"/>
      <c r="G29" s="108"/>
      <c r="H29" s="251"/>
      <c r="I29" s="108" t="s">
        <v>3995</v>
      </c>
      <c r="J29" s="115"/>
      <c r="K29" s="115"/>
      <c r="L29" s="113"/>
      <c r="M29" s="116"/>
      <c r="N29" s="106"/>
      <c r="O29" s="106"/>
      <c r="P29" s="106"/>
      <c r="Q29" s="109"/>
      <c r="R29" s="521"/>
      <c r="S29" s="111"/>
      <c r="T29" s="106"/>
      <c r="U29" s="106"/>
      <c r="V29" s="284">
        <f>Table62689345679101112133[[#This Row],[Offer Value]]-Table62689345679101112133[[#This Row],[PO Value]]</f>
        <v>0</v>
      </c>
      <c r="W29" s="110"/>
      <c r="X29" s="106"/>
      <c r="Y29" s="605"/>
    </row>
    <row r="30" spans="1:27" ht="15.6">
      <c r="A30" s="480">
        <v>17</v>
      </c>
      <c r="B30" s="107"/>
      <c r="C30" s="105"/>
      <c r="D30" s="105"/>
      <c r="E30" s="108"/>
      <c r="F30" s="105"/>
      <c r="G30" s="105"/>
      <c r="H30" s="248"/>
      <c r="I30" s="105" t="s">
        <v>3996</v>
      </c>
      <c r="J30" s="115"/>
      <c r="K30" s="115"/>
      <c r="L30" s="113"/>
      <c r="M30" s="116"/>
      <c r="N30" s="106"/>
      <c r="O30" s="106"/>
      <c r="P30" s="106"/>
      <c r="Q30" s="109"/>
      <c r="R30" s="521"/>
      <c r="S30" s="111"/>
      <c r="T30" s="106"/>
      <c r="U30" s="106"/>
      <c r="V30" s="284">
        <f>Table62689345679101112133[[#This Row],[Offer Value]]-Table62689345679101112133[[#This Row],[PO Value]]</f>
        <v>0</v>
      </c>
      <c r="W30" s="110"/>
      <c r="X30" s="106"/>
      <c r="Y30" s="605"/>
    </row>
    <row r="31" spans="1:27" ht="31.2">
      <c r="A31" s="973">
        <v>18</v>
      </c>
      <c r="B31" s="938">
        <v>45729</v>
      </c>
      <c r="C31" s="1010" t="s">
        <v>1743</v>
      </c>
      <c r="D31" s="1010" t="s">
        <v>3898</v>
      </c>
      <c r="E31" s="1010" t="s">
        <v>954</v>
      </c>
      <c r="F31" s="941" t="s">
        <v>3900</v>
      </c>
      <c r="G31" s="941">
        <v>9811991436</v>
      </c>
      <c r="H31" s="974" t="s">
        <v>3901</v>
      </c>
      <c r="I31" s="975" t="s">
        <v>3902</v>
      </c>
      <c r="J31" s="944" t="s">
        <v>75</v>
      </c>
      <c r="K31" s="944" t="s">
        <v>157</v>
      </c>
      <c r="L31" s="1449"/>
      <c r="M31" s="1003">
        <v>45729</v>
      </c>
      <c r="N31" s="937">
        <v>399543</v>
      </c>
      <c r="O31" s="937" t="s">
        <v>25</v>
      </c>
      <c r="P31" s="937" t="s">
        <v>28</v>
      </c>
      <c r="Q31" s="1321">
        <v>1</v>
      </c>
      <c r="R31" s="1450" t="s">
        <v>3997</v>
      </c>
      <c r="S31" s="949">
        <v>45745</v>
      </c>
      <c r="T31" s="937">
        <v>45197</v>
      </c>
      <c r="U31" s="937" t="s">
        <v>25</v>
      </c>
      <c r="V31" s="976"/>
      <c r="W31" s="948"/>
      <c r="X31" s="937"/>
      <c r="Y31" s="1447"/>
      <c r="Z31" s="362"/>
      <c r="AA31" s="362"/>
    </row>
    <row r="32" spans="1:27" ht="15.6">
      <c r="A32" s="480">
        <v>18</v>
      </c>
      <c r="B32" s="107"/>
      <c r="C32" s="105"/>
      <c r="D32" s="105"/>
      <c r="E32" s="105"/>
      <c r="F32" s="105"/>
      <c r="G32" s="105"/>
      <c r="H32" s="248"/>
      <c r="I32" s="105" t="s">
        <v>3998</v>
      </c>
      <c r="J32" s="115" t="s">
        <v>75</v>
      </c>
      <c r="K32" s="115" t="s">
        <v>157</v>
      </c>
      <c r="L32" s="113" t="s">
        <v>3999</v>
      </c>
      <c r="M32" s="105"/>
      <c r="N32" s="106"/>
      <c r="O32" s="106"/>
      <c r="P32" s="106"/>
      <c r="Q32" s="109"/>
      <c r="R32" s="521"/>
      <c r="S32" s="111"/>
      <c r="T32" s="106"/>
      <c r="U32" s="106"/>
      <c r="V32" s="284">
        <f>Table62689345679101112133[[#This Row],[Offer Value]]-Table62689345679101112133[[#This Row],[PO Value]]</f>
        <v>0</v>
      </c>
      <c r="W32" s="110"/>
      <c r="X32" s="106"/>
      <c r="Y32" s="604"/>
    </row>
    <row r="33" spans="1:27" ht="15.6">
      <c r="A33" s="973">
        <v>19</v>
      </c>
      <c r="B33" s="938">
        <v>45736</v>
      </c>
      <c r="C33" s="1010" t="s">
        <v>4000</v>
      </c>
      <c r="D33" s="1010" t="s">
        <v>4001</v>
      </c>
      <c r="E33" s="1010" t="s">
        <v>954</v>
      </c>
      <c r="F33" s="1010" t="s">
        <v>4002</v>
      </c>
      <c r="G33" s="1010">
        <v>9875916390</v>
      </c>
      <c r="H33" s="1439" t="s">
        <v>4003</v>
      </c>
      <c r="I33" s="1010" t="s">
        <v>4004</v>
      </c>
      <c r="J33" s="1007" t="s">
        <v>75</v>
      </c>
      <c r="K33" s="1007" t="s">
        <v>157</v>
      </c>
      <c r="L33" s="1449" t="s">
        <v>4005</v>
      </c>
      <c r="M33" s="1003">
        <v>45737</v>
      </c>
      <c r="N33" s="937">
        <v>1047949</v>
      </c>
      <c r="O33" s="937" t="s">
        <v>25</v>
      </c>
      <c r="P33" s="937" t="s">
        <v>34</v>
      </c>
      <c r="Q33" s="1321">
        <v>1</v>
      </c>
      <c r="R33" s="1322">
        <v>6400019963</v>
      </c>
      <c r="S33" s="949">
        <v>45803</v>
      </c>
      <c r="T33" s="937">
        <v>880177</v>
      </c>
      <c r="U33" s="937" t="s">
        <v>34</v>
      </c>
      <c r="V33" s="1790"/>
      <c r="W33" s="948"/>
      <c r="X33" s="937"/>
      <c r="Y33" s="1505"/>
      <c r="Z33" s="362" t="s">
        <v>157</v>
      </c>
      <c r="AA33" s="362"/>
    </row>
    <row r="34" spans="1:27" ht="15.6">
      <c r="A34" s="973">
        <v>20</v>
      </c>
      <c r="B34" s="938">
        <v>45736</v>
      </c>
      <c r="C34" s="1010" t="s">
        <v>4006</v>
      </c>
      <c r="D34" s="944" t="s">
        <v>4007</v>
      </c>
      <c r="E34" s="944" t="s">
        <v>954</v>
      </c>
      <c r="F34" s="944" t="s">
        <v>4008</v>
      </c>
      <c r="G34" s="944">
        <v>9990828638</v>
      </c>
      <c r="H34" s="1506" t="s">
        <v>4009</v>
      </c>
      <c r="I34" s="944" t="s">
        <v>4010</v>
      </c>
      <c r="J34" s="944" t="s">
        <v>74</v>
      </c>
      <c r="K34" s="944" t="s">
        <v>138</v>
      </c>
      <c r="L34" s="1449" t="s">
        <v>4011</v>
      </c>
      <c r="M34" s="1003">
        <v>45826</v>
      </c>
      <c r="N34" s="937">
        <v>256574</v>
      </c>
      <c r="O34" s="937" t="s">
        <v>34</v>
      </c>
      <c r="P34" s="937" t="s">
        <v>37</v>
      </c>
      <c r="Q34" s="1321">
        <v>1</v>
      </c>
      <c r="R34" s="1322">
        <v>3500121820</v>
      </c>
      <c r="S34" s="949">
        <v>45839</v>
      </c>
      <c r="T34" s="937">
        <v>248877</v>
      </c>
      <c r="U34" s="937" t="s">
        <v>37</v>
      </c>
      <c r="V34" s="1790"/>
      <c r="W34" s="948"/>
      <c r="X34" s="937"/>
      <c r="Y34" s="1447"/>
      <c r="Z34" s="362"/>
      <c r="AA34" s="362"/>
    </row>
    <row r="35" spans="1:27" s="362" customFormat="1" ht="15.6">
      <c r="A35" s="973">
        <v>21</v>
      </c>
      <c r="B35" s="938">
        <v>45791</v>
      </c>
      <c r="C35" s="1010" t="s">
        <v>3958</v>
      </c>
      <c r="D35" s="944" t="s">
        <v>3959</v>
      </c>
      <c r="E35" s="944" t="s">
        <v>620</v>
      </c>
      <c r="F35" s="944" t="s">
        <v>4012</v>
      </c>
      <c r="G35" s="944">
        <v>9910899430</v>
      </c>
      <c r="H35" s="1506" t="s">
        <v>4013</v>
      </c>
      <c r="I35" s="944" t="s">
        <v>4014</v>
      </c>
      <c r="J35" s="944" t="s">
        <v>75</v>
      </c>
      <c r="K35" s="944" t="s">
        <v>157</v>
      </c>
      <c r="L35" s="1449" t="s">
        <v>4015</v>
      </c>
      <c r="M35" s="1003">
        <v>45790</v>
      </c>
      <c r="N35" s="937">
        <v>433960</v>
      </c>
      <c r="O35" s="937" t="s">
        <v>30</v>
      </c>
      <c r="P35" s="937" t="s">
        <v>30</v>
      </c>
      <c r="Q35" s="1321">
        <v>1</v>
      </c>
      <c r="R35" s="1322">
        <v>901968698</v>
      </c>
      <c r="S35" s="949">
        <v>45798</v>
      </c>
      <c r="T35" s="937">
        <v>62726</v>
      </c>
      <c r="U35" s="937" t="s">
        <v>30</v>
      </c>
      <c r="V35" s="1790"/>
      <c r="W35" s="948"/>
      <c r="X35" s="937"/>
      <c r="Y35" s="1447"/>
      <c r="Z35" s="362" t="s">
        <v>157</v>
      </c>
      <c r="AA35" s="362" t="s">
        <v>157</v>
      </c>
    </row>
    <row r="36" spans="1:27" s="362" customFormat="1" ht="15.6">
      <c r="A36" s="480">
        <v>22</v>
      </c>
      <c r="B36" s="107">
        <v>45737</v>
      </c>
      <c r="C36" s="105" t="s">
        <v>1743</v>
      </c>
      <c r="D36" s="108" t="s">
        <v>4016</v>
      </c>
      <c r="E36" s="108" t="s">
        <v>620</v>
      </c>
      <c r="F36" s="108" t="s">
        <v>4017</v>
      </c>
      <c r="G36" s="108">
        <v>8449955577</v>
      </c>
      <c r="H36" s="251" t="s">
        <v>4018</v>
      </c>
      <c r="I36" s="105" t="s">
        <v>4019</v>
      </c>
      <c r="J36" s="115" t="s">
        <v>75</v>
      </c>
      <c r="K36" s="115" t="s">
        <v>157</v>
      </c>
      <c r="L36" s="113" t="s">
        <v>4020</v>
      </c>
      <c r="M36" s="116">
        <v>45737</v>
      </c>
      <c r="N36" s="106"/>
      <c r="O36" s="106" t="s">
        <v>25</v>
      </c>
      <c r="P36" s="106" t="s">
        <v>62</v>
      </c>
      <c r="Q36" s="109">
        <v>0.1</v>
      </c>
      <c r="R36" s="521"/>
      <c r="S36" s="111"/>
      <c r="T36" s="106"/>
      <c r="U36" s="106"/>
      <c r="V36" s="284">
        <f>Table62689345679101112133[[#This Row],[Offer Value]]-Table62689345679101112133[[#This Row],[PO Value]]</f>
        <v>0</v>
      </c>
      <c r="W36" s="106"/>
      <c r="X36" s="453"/>
      <c r="Y36" s="605"/>
    </row>
    <row r="37" spans="1:27" ht="31.2">
      <c r="A37" s="973">
        <v>23</v>
      </c>
      <c r="B37" s="938">
        <v>45785</v>
      </c>
      <c r="C37" s="1010" t="s">
        <v>1411</v>
      </c>
      <c r="D37" s="944"/>
      <c r="E37" s="944" t="s">
        <v>954</v>
      </c>
      <c r="F37" s="944" t="s">
        <v>4021</v>
      </c>
      <c r="G37" s="944">
        <v>9882588834</v>
      </c>
      <c r="H37" s="1506" t="s">
        <v>4022</v>
      </c>
      <c r="I37" s="1010" t="s">
        <v>4023</v>
      </c>
      <c r="J37" s="1007" t="s">
        <v>79</v>
      </c>
      <c r="K37" s="1007" t="s">
        <v>138</v>
      </c>
      <c r="L37" s="1449" t="s">
        <v>4024</v>
      </c>
      <c r="M37" s="1003">
        <v>45784</v>
      </c>
      <c r="N37" s="937">
        <v>28000</v>
      </c>
      <c r="O37" s="937" t="s">
        <v>30</v>
      </c>
      <c r="P37" s="937" t="s">
        <v>34</v>
      </c>
      <c r="Q37" s="1321">
        <v>1</v>
      </c>
      <c r="R37" s="1322">
        <v>5000135897</v>
      </c>
      <c r="S37" s="949">
        <v>45852</v>
      </c>
      <c r="T37" s="937">
        <v>28000</v>
      </c>
      <c r="U37" s="937" t="s">
        <v>37</v>
      </c>
      <c r="V37" s="976">
        <f>Table62689345679101112133[[#This Row],[Offer Value]]-Table62689345679101112133[[#This Row],[PO Value]]</f>
        <v>0</v>
      </c>
      <c r="W37" s="937"/>
      <c r="X37" s="951"/>
      <c r="Y37" s="1505"/>
      <c r="Z37" s="362"/>
      <c r="AA37" s="362"/>
    </row>
    <row r="38" spans="1:27" ht="31.2">
      <c r="A38" s="480">
        <v>24</v>
      </c>
      <c r="B38" s="107">
        <v>45785</v>
      </c>
      <c r="C38" s="105" t="s">
        <v>1411</v>
      </c>
      <c r="D38" s="108"/>
      <c r="E38" s="108" t="s">
        <v>954</v>
      </c>
      <c r="F38" s="108" t="s">
        <v>3934</v>
      </c>
      <c r="G38" s="108">
        <v>9816002875</v>
      </c>
      <c r="H38" s="251" t="s">
        <v>3935</v>
      </c>
      <c r="I38" s="105" t="s">
        <v>3936</v>
      </c>
      <c r="J38" s="178" t="s">
        <v>73</v>
      </c>
      <c r="K38" s="115" t="s">
        <v>157</v>
      </c>
      <c r="L38" s="113" t="s">
        <v>4025</v>
      </c>
      <c r="M38" s="116">
        <v>45785</v>
      </c>
      <c r="N38" s="106">
        <v>120000</v>
      </c>
      <c r="O38" s="106" t="s">
        <v>30</v>
      </c>
      <c r="P38" s="106" t="s">
        <v>62</v>
      </c>
      <c r="Q38" s="109">
        <v>0.1</v>
      </c>
      <c r="R38" s="521"/>
      <c r="S38" s="111"/>
      <c r="T38" s="106"/>
      <c r="U38" s="106"/>
      <c r="V38" s="284">
        <f>Table62689345679101112133[[#This Row],[Offer Value]]-Table62689345679101112133[[#This Row],[PO Value]]</f>
        <v>120000</v>
      </c>
      <c r="W38" s="106"/>
      <c r="X38" s="106"/>
      <c r="Y38" s="604"/>
    </row>
    <row r="39" spans="1:27" ht="15.6">
      <c r="A39" s="480">
        <v>25</v>
      </c>
      <c r="B39" s="107">
        <v>45785</v>
      </c>
      <c r="C39" s="108" t="s">
        <v>1411</v>
      </c>
      <c r="D39" s="105"/>
      <c r="E39" s="105" t="s">
        <v>954</v>
      </c>
      <c r="F39" s="105" t="s">
        <v>3934</v>
      </c>
      <c r="G39" s="105">
        <v>9816002875</v>
      </c>
      <c r="H39" s="248" t="s">
        <v>3935</v>
      </c>
      <c r="I39" s="105" t="s">
        <v>3936</v>
      </c>
      <c r="J39" s="108" t="s">
        <v>75</v>
      </c>
      <c r="K39" s="108" t="s">
        <v>157</v>
      </c>
      <c r="L39" s="113" t="s">
        <v>4026</v>
      </c>
      <c r="M39" s="112">
        <v>45785</v>
      </c>
      <c r="N39" s="106"/>
      <c r="O39" s="106" t="s">
        <v>30</v>
      </c>
      <c r="P39" s="106" t="s">
        <v>62</v>
      </c>
      <c r="Q39" s="109">
        <v>0.1</v>
      </c>
      <c r="R39" s="521"/>
      <c r="S39" s="111"/>
      <c r="T39" s="106"/>
      <c r="U39" s="106"/>
      <c r="V39" s="1563">
        <f>Table62689345679101112133[[#This Row],[Offer Value]]-Table62689345679101112133[[#This Row],[PO Value]]</f>
        <v>0</v>
      </c>
      <c r="W39" s="106"/>
      <c r="X39" s="106"/>
      <c r="Y39" s="605"/>
      <c r="Z39" t="s">
        <v>208</v>
      </c>
    </row>
    <row r="40" spans="1:27" ht="15.6">
      <c r="A40" s="973">
        <v>26</v>
      </c>
      <c r="B40" s="938">
        <v>45791</v>
      </c>
      <c r="C40" s="1010" t="s">
        <v>1250</v>
      </c>
      <c r="D40" s="1010" t="s">
        <v>3983</v>
      </c>
      <c r="E40" s="944" t="s">
        <v>620</v>
      </c>
      <c r="F40" s="944" t="s">
        <v>4027</v>
      </c>
      <c r="G40" s="944">
        <v>9001991298</v>
      </c>
      <c r="H40" s="1506" t="s">
        <v>4028</v>
      </c>
      <c r="I40" s="944" t="s">
        <v>4029</v>
      </c>
      <c r="J40" s="1007" t="s">
        <v>75</v>
      </c>
      <c r="K40" s="1007" t="s">
        <v>157</v>
      </c>
      <c r="L40" s="1449" t="s">
        <v>4030</v>
      </c>
      <c r="M40" s="1003">
        <v>45791</v>
      </c>
      <c r="N40" s="937">
        <v>407960</v>
      </c>
      <c r="O40" s="937" t="s">
        <v>30</v>
      </c>
      <c r="P40" s="937" t="s">
        <v>34</v>
      </c>
      <c r="Q40" s="1321">
        <v>1</v>
      </c>
      <c r="R40" s="1322">
        <v>85401206</v>
      </c>
      <c r="S40" s="949">
        <v>45797</v>
      </c>
      <c r="T40" s="937">
        <v>407960</v>
      </c>
      <c r="U40" s="937" t="s">
        <v>34</v>
      </c>
      <c r="V40" s="1790">
        <f>Table62689345679101112133[[#This Row],[Offer Value]]-Table62689345679101112133[[#This Row],[PO Value]]</f>
        <v>0</v>
      </c>
      <c r="W40" s="937"/>
      <c r="X40" s="937"/>
      <c r="Y40" s="1505"/>
      <c r="Z40" s="362" t="s">
        <v>4031</v>
      </c>
      <c r="AA40" s="362"/>
    </row>
    <row r="41" spans="1:27" ht="15.6">
      <c r="A41" s="480">
        <v>27</v>
      </c>
      <c r="B41" s="107">
        <v>45797</v>
      </c>
      <c r="C41" s="105" t="s">
        <v>1250</v>
      </c>
      <c r="D41" s="105" t="s">
        <v>3983</v>
      </c>
      <c r="E41" s="108" t="s">
        <v>954</v>
      </c>
      <c r="F41" s="108" t="s">
        <v>3984</v>
      </c>
      <c r="G41" s="108">
        <v>9001994993</v>
      </c>
      <c r="H41" s="251" t="s">
        <v>3985</v>
      </c>
      <c r="I41" s="108" t="s">
        <v>3389</v>
      </c>
      <c r="J41" s="115" t="s">
        <v>75</v>
      </c>
      <c r="K41" s="115" t="s">
        <v>157</v>
      </c>
      <c r="L41" s="113" t="s">
        <v>4032</v>
      </c>
      <c r="M41" s="116">
        <v>45797</v>
      </c>
      <c r="N41" s="106"/>
      <c r="O41" s="106" t="s">
        <v>30</v>
      </c>
      <c r="P41" s="106" t="s">
        <v>62</v>
      </c>
      <c r="Q41" s="109">
        <v>0.1</v>
      </c>
      <c r="R41" s="521"/>
      <c r="S41" s="111"/>
      <c r="T41" s="106"/>
      <c r="U41" s="106"/>
      <c r="V41" s="1563">
        <f>Table62689345679101112133[[#This Row],[Offer Value]]-Table62689345679101112133[[#This Row],[PO Value]]</f>
        <v>0</v>
      </c>
      <c r="W41" s="106"/>
      <c r="X41" s="106"/>
      <c r="Y41" s="604"/>
      <c r="Z41" t="s">
        <v>157</v>
      </c>
    </row>
    <row r="42" spans="1:27" ht="31.2">
      <c r="A42" s="480">
        <v>28</v>
      </c>
      <c r="B42" s="107">
        <v>45796</v>
      </c>
      <c r="C42" s="113" t="s">
        <v>614</v>
      </c>
      <c r="D42" s="113" t="s">
        <v>3922</v>
      </c>
      <c r="E42" s="113" t="s">
        <v>4033</v>
      </c>
      <c r="F42" s="113" t="s">
        <v>4034</v>
      </c>
      <c r="G42" s="113">
        <v>9958791048</v>
      </c>
      <c r="H42" s="248" t="s">
        <v>4035</v>
      </c>
      <c r="I42" s="113" t="s">
        <v>4036</v>
      </c>
      <c r="J42" s="108" t="s">
        <v>77</v>
      </c>
      <c r="K42" s="108" t="s">
        <v>157</v>
      </c>
      <c r="L42" s="113" t="s">
        <v>4037</v>
      </c>
      <c r="M42" s="114">
        <v>45796</v>
      </c>
      <c r="N42" s="106"/>
      <c r="O42" s="106" t="s">
        <v>30</v>
      </c>
      <c r="P42" s="106" t="s">
        <v>62</v>
      </c>
      <c r="Q42" s="109">
        <v>0.1</v>
      </c>
      <c r="R42" s="289"/>
      <c r="S42" s="107"/>
      <c r="T42" s="106"/>
      <c r="U42" s="106"/>
      <c r="V42" s="284">
        <f>Table62689345679101112133[[#This Row],[Offer Value]]-Table62689345679101112133[[#This Row],[PO Value]]</f>
        <v>0</v>
      </c>
      <c r="W42" s="106"/>
      <c r="X42" s="453"/>
      <c r="Y42" s="604"/>
    </row>
    <row r="43" spans="1:27" ht="15.6">
      <c r="A43" s="973">
        <v>29</v>
      </c>
      <c r="B43" s="938">
        <v>45796</v>
      </c>
      <c r="C43" s="1449" t="s">
        <v>1743</v>
      </c>
      <c r="D43" s="1449" t="s">
        <v>4038</v>
      </c>
      <c r="E43" s="1449" t="s">
        <v>954</v>
      </c>
      <c r="F43" s="1449" t="s">
        <v>4039</v>
      </c>
      <c r="G43" s="1449">
        <v>9711571215</v>
      </c>
      <c r="H43" s="1439" t="s">
        <v>4040</v>
      </c>
      <c r="I43" s="1449" t="s">
        <v>4041</v>
      </c>
      <c r="J43" s="944" t="s">
        <v>75</v>
      </c>
      <c r="K43" s="944" t="s">
        <v>157</v>
      </c>
      <c r="L43" s="1449" t="s">
        <v>4042</v>
      </c>
      <c r="M43" s="1766">
        <v>45796</v>
      </c>
      <c r="N43" s="937">
        <v>42134</v>
      </c>
      <c r="O43" s="937" t="s">
        <v>30</v>
      </c>
      <c r="P43" s="937" t="s">
        <v>34</v>
      </c>
      <c r="Q43" s="1321">
        <v>1</v>
      </c>
      <c r="R43" s="972">
        <v>5800000375</v>
      </c>
      <c r="S43" s="938">
        <v>45822</v>
      </c>
      <c r="T43" s="937">
        <v>40449</v>
      </c>
      <c r="U43" s="937" t="s">
        <v>34</v>
      </c>
      <c r="V43" s="976"/>
      <c r="W43" s="937"/>
      <c r="X43" s="951"/>
      <c r="Y43" s="1505"/>
      <c r="Z43" s="362"/>
      <c r="AA43" s="362"/>
    </row>
    <row r="44" spans="1:27" ht="15.6">
      <c r="A44" s="480">
        <v>30</v>
      </c>
      <c r="B44" s="107">
        <v>45797</v>
      </c>
      <c r="C44" s="105" t="s">
        <v>1250</v>
      </c>
      <c r="D44" s="105" t="s">
        <v>3983</v>
      </c>
      <c r="E44" s="108" t="s">
        <v>954</v>
      </c>
      <c r="F44" s="108" t="s">
        <v>3984</v>
      </c>
      <c r="G44" s="108">
        <v>9001994993</v>
      </c>
      <c r="H44" s="251" t="s">
        <v>3985</v>
      </c>
      <c r="I44" s="108" t="s">
        <v>3389</v>
      </c>
      <c r="J44" s="115" t="s">
        <v>75</v>
      </c>
      <c r="K44" s="115" t="s">
        <v>157</v>
      </c>
      <c r="L44" s="113" t="s">
        <v>4043</v>
      </c>
      <c r="M44" s="116">
        <v>45797</v>
      </c>
      <c r="N44" s="106">
        <v>270592</v>
      </c>
      <c r="O44" s="106" t="s">
        <v>30</v>
      </c>
      <c r="P44" s="106" t="s">
        <v>62</v>
      </c>
      <c r="Q44" s="109">
        <v>0.1</v>
      </c>
      <c r="R44" s="289"/>
      <c r="S44" s="107"/>
      <c r="T44" s="106"/>
      <c r="U44" s="106"/>
      <c r="V44" s="284">
        <f>Table62689345679101112133[[#This Row],[Offer Value]]-Table62689345679101112133[[#This Row],[PO Value]]</f>
        <v>270592</v>
      </c>
      <c r="W44" s="106"/>
      <c r="X44" s="106"/>
      <c r="Y44" s="604"/>
    </row>
    <row r="45" spans="1:27" ht="15.6">
      <c r="A45" s="480">
        <v>31</v>
      </c>
      <c r="B45" s="107">
        <v>45801</v>
      </c>
      <c r="C45" s="113" t="s">
        <v>614</v>
      </c>
      <c r="D45" s="113" t="s">
        <v>3922</v>
      </c>
      <c r="E45" s="113" t="s">
        <v>4033</v>
      </c>
      <c r="F45" s="113" t="s">
        <v>4034</v>
      </c>
      <c r="G45" s="113">
        <v>9958791048</v>
      </c>
      <c r="H45" s="248" t="s">
        <v>4035</v>
      </c>
      <c r="I45" s="113" t="s">
        <v>4036</v>
      </c>
      <c r="J45" s="108" t="s">
        <v>75</v>
      </c>
      <c r="K45" s="108" t="s">
        <v>157</v>
      </c>
      <c r="L45" s="113" t="s">
        <v>4044</v>
      </c>
      <c r="M45" s="114">
        <v>45798</v>
      </c>
      <c r="N45" s="106"/>
      <c r="O45" s="106" t="s">
        <v>30</v>
      </c>
      <c r="P45" s="106" t="s">
        <v>62</v>
      </c>
      <c r="Q45" s="109">
        <v>0.1</v>
      </c>
      <c r="R45" s="289"/>
      <c r="S45" s="107"/>
      <c r="T45" s="106"/>
      <c r="U45" s="106"/>
      <c r="V45" s="284">
        <f>Table62689345679101112133[[#This Row],[Offer Value]]-Table62689345679101112133[[#This Row],[PO Value]]</f>
        <v>0</v>
      </c>
      <c r="W45" s="106"/>
      <c r="X45" s="106"/>
      <c r="Y45" s="604"/>
    </row>
    <row r="46" spans="1:27" ht="15.6">
      <c r="A46" s="973">
        <v>32</v>
      </c>
      <c r="B46" s="938">
        <v>45801</v>
      </c>
      <c r="C46" s="1449" t="s">
        <v>4045</v>
      </c>
      <c r="D46" s="1449" t="s">
        <v>4046</v>
      </c>
      <c r="E46" s="1449" t="s">
        <v>954</v>
      </c>
      <c r="F46" s="1449" t="s">
        <v>4047</v>
      </c>
      <c r="G46" s="1449">
        <v>8285843157</v>
      </c>
      <c r="H46" s="1439" t="s">
        <v>4048</v>
      </c>
      <c r="I46" s="1449"/>
      <c r="J46" s="944" t="s">
        <v>75</v>
      </c>
      <c r="K46" s="944" t="s">
        <v>157</v>
      </c>
      <c r="L46" s="1449" t="s">
        <v>4049</v>
      </c>
      <c r="M46" s="1766">
        <v>45801</v>
      </c>
      <c r="N46" s="937">
        <v>99491</v>
      </c>
      <c r="O46" s="937" t="s">
        <v>30</v>
      </c>
      <c r="P46" s="937" t="s">
        <v>34</v>
      </c>
      <c r="Q46" s="1321">
        <v>1</v>
      </c>
      <c r="R46" s="972">
        <v>4340101351</v>
      </c>
      <c r="S46" s="938">
        <v>45806</v>
      </c>
      <c r="T46" s="937">
        <v>27560</v>
      </c>
      <c r="U46" s="937" t="s">
        <v>34</v>
      </c>
      <c r="V46" s="976"/>
      <c r="W46" s="937"/>
      <c r="X46" s="937"/>
      <c r="Y46" s="1505"/>
      <c r="Z46" s="362"/>
      <c r="AA46" s="362"/>
    </row>
    <row r="47" spans="1:27" ht="31.2">
      <c r="A47" s="480">
        <v>33</v>
      </c>
      <c r="B47" s="107">
        <v>45860</v>
      </c>
      <c r="C47" s="113" t="s">
        <v>3776</v>
      </c>
      <c r="D47" s="113" t="s">
        <v>3944</v>
      </c>
      <c r="E47" s="113" t="s">
        <v>3899</v>
      </c>
      <c r="F47" s="113" t="s">
        <v>3945</v>
      </c>
      <c r="G47" s="113">
        <v>9855448300</v>
      </c>
      <c r="H47" s="248" t="s">
        <v>3946</v>
      </c>
      <c r="I47" s="113" t="s">
        <v>3947</v>
      </c>
      <c r="J47" s="108" t="s">
        <v>80</v>
      </c>
      <c r="K47" s="108" t="s">
        <v>157</v>
      </c>
      <c r="L47" s="113" t="s">
        <v>4050</v>
      </c>
      <c r="M47" s="114">
        <v>45826</v>
      </c>
      <c r="N47" s="106">
        <v>3499890</v>
      </c>
      <c r="O47" s="106" t="s">
        <v>34</v>
      </c>
      <c r="P47" s="106" t="s">
        <v>62</v>
      </c>
      <c r="Q47" s="109">
        <v>0.1</v>
      </c>
      <c r="R47" s="289"/>
      <c r="S47" s="107"/>
      <c r="T47" s="106"/>
      <c r="U47" s="106"/>
      <c r="V47" s="284">
        <f>Table62689345679101112133[[#This Row],[Offer Value]]-Table62689345679101112133[[#This Row],[PO Value]]</f>
        <v>3499890</v>
      </c>
      <c r="W47" s="106"/>
      <c r="X47" s="106"/>
      <c r="Y47" s="604"/>
      <c r="Z47" t="s">
        <v>4051</v>
      </c>
    </row>
    <row r="48" spans="1:27" ht="15.6">
      <c r="A48" s="973">
        <v>34</v>
      </c>
      <c r="B48" s="938">
        <v>45860</v>
      </c>
      <c r="C48" s="1449" t="s">
        <v>1015</v>
      </c>
      <c r="D48" s="1449" t="s">
        <v>3949</v>
      </c>
      <c r="E48" s="1449" t="s">
        <v>954</v>
      </c>
      <c r="F48" s="1449" t="s">
        <v>3950</v>
      </c>
      <c r="G48" s="1449">
        <v>8130333753</v>
      </c>
      <c r="H48" s="1439" t="s">
        <v>3951</v>
      </c>
      <c r="I48" s="1449" t="s">
        <v>3952</v>
      </c>
      <c r="J48" s="944" t="s">
        <v>75</v>
      </c>
      <c r="K48" s="944" t="s">
        <v>157</v>
      </c>
      <c r="L48" s="1449" t="s">
        <v>4052</v>
      </c>
      <c r="M48" s="1766">
        <v>45841</v>
      </c>
      <c r="N48" s="937">
        <v>244900</v>
      </c>
      <c r="O48" s="937" t="s">
        <v>37</v>
      </c>
      <c r="P48" s="937" t="s">
        <v>39</v>
      </c>
      <c r="Q48" s="1321">
        <v>1</v>
      </c>
      <c r="R48" s="972">
        <v>6500023022</v>
      </c>
      <c r="S48" s="938">
        <v>45887</v>
      </c>
      <c r="T48" s="937">
        <v>232656</v>
      </c>
      <c r="U48" s="937" t="s">
        <v>39</v>
      </c>
      <c r="V48" s="976"/>
      <c r="W48" s="937"/>
      <c r="X48" s="937"/>
      <c r="Y48" s="1505"/>
      <c r="Z48" s="362"/>
      <c r="AA48" s="362"/>
    </row>
    <row r="49" spans="1:27" ht="15.6">
      <c r="A49" s="973">
        <v>35</v>
      </c>
      <c r="B49" s="938">
        <v>45860</v>
      </c>
      <c r="C49" s="1449" t="s">
        <v>1064</v>
      </c>
      <c r="D49" s="1449" t="s">
        <v>4053</v>
      </c>
      <c r="E49" s="1449" t="s">
        <v>954</v>
      </c>
      <c r="F49" s="1449" t="s">
        <v>4054</v>
      </c>
      <c r="G49" s="1449">
        <v>9997534222</v>
      </c>
      <c r="H49" s="1439" t="s">
        <v>4055</v>
      </c>
      <c r="I49" s="1449" t="s">
        <v>4056</v>
      </c>
      <c r="J49" s="944" t="s">
        <v>75</v>
      </c>
      <c r="K49" s="944" t="s">
        <v>157</v>
      </c>
      <c r="L49" s="1449" t="s">
        <v>4057</v>
      </c>
      <c r="M49" s="1766">
        <v>45841</v>
      </c>
      <c r="N49" s="937">
        <v>496399</v>
      </c>
      <c r="O49" s="937" t="s">
        <v>37</v>
      </c>
      <c r="P49" s="937" t="s">
        <v>44</v>
      </c>
      <c r="Q49" s="1321">
        <v>1</v>
      </c>
      <c r="R49" s="972">
        <v>1250024059</v>
      </c>
      <c r="S49" s="938">
        <v>45873</v>
      </c>
      <c r="T49" s="937">
        <v>496399</v>
      </c>
      <c r="U49" s="937" t="s">
        <v>39</v>
      </c>
      <c r="V49" s="1790">
        <f>Table62689345679101112133[[#This Row],[Offer Value]]-Table62689345679101112133[[#This Row],[PO Value]]</f>
        <v>0</v>
      </c>
      <c r="W49" s="937"/>
      <c r="X49" s="937"/>
      <c r="Y49" s="1505"/>
      <c r="Z49" s="362" t="s">
        <v>157</v>
      </c>
      <c r="AA49" s="362" t="s">
        <v>157</v>
      </c>
    </row>
    <row r="50" spans="1:27" ht="15.6">
      <c r="A50" s="480">
        <v>36</v>
      </c>
      <c r="B50" s="107">
        <v>45860</v>
      </c>
      <c r="C50" s="113" t="s">
        <v>614</v>
      </c>
      <c r="D50" s="113" t="s">
        <v>4058</v>
      </c>
      <c r="E50" s="113" t="s">
        <v>954</v>
      </c>
      <c r="F50" s="113" t="s">
        <v>4059</v>
      </c>
      <c r="G50" s="113">
        <v>8791954979</v>
      </c>
      <c r="H50" s="248" t="s">
        <v>4060</v>
      </c>
      <c r="I50" s="113" t="s">
        <v>4061</v>
      </c>
      <c r="J50" s="108" t="s">
        <v>75</v>
      </c>
      <c r="K50" s="108" t="s">
        <v>157</v>
      </c>
      <c r="L50" s="113" t="s">
        <v>4062</v>
      </c>
      <c r="M50" s="114">
        <v>45841</v>
      </c>
      <c r="N50" s="106"/>
      <c r="O50" s="106" t="s">
        <v>37</v>
      </c>
      <c r="P50" s="106" t="s">
        <v>62</v>
      </c>
      <c r="Q50" s="109">
        <v>0.1</v>
      </c>
      <c r="R50" s="289"/>
      <c r="S50" s="107"/>
      <c r="T50" s="106"/>
      <c r="U50" s="106"/>
      <c r="V50" s="1563">
        <f>Table62689345679101112133[[#This Row],[Offer Value]]-Table62689345679101112133[[#This Row],[PO Value]]</f>
        <v>0</v>
      </c>
      <c r="W50" s="106"/>
      <c r="X50" s="106"/>
      <c r="Y50" s="604"/>
      <c r="Z50" t="s">
        <v>157</v>
      </c>
    </row>
    <row r="51" spans="1:27" ht="15.6">
      <c r="A51" s="480">
        <v>36</v>
      </c>
      <c r="B51" s="107"/>
      <c r="C51" s="113"/>
      <c r="D51" s="113"/>
      <c r="E51" s="113"/>
      <c r="F51" s="113"/>
      <c r="G51" s="113"/>
      <c r="H51" s="248"/>
      <c r="I51" s="113" t="s">
        <v>4063</v>
      </c>
      <c r="J51" s="108"/>
      <c r="K51" s="108"/>
      <c r="L51" s="113"/>
      <c r="M51" s="114"/>
      <c r="N51" s="106"/>
      <c r="O51" s="106"/>
      <c r="P51" s="106"/>
      <c r="Q51" s="109"/>
      <c r="R51" s="289"/>
      <c r="S51" s="107"/>
      <c r="T51" s="106"/>
      <c r="U51" s="106"/>
      <c r="V51" s="284">
        <f>Table62689345679101112133[[#This Row],[Offer Value]]-Table62689345679101112133[[#This Row],[PO Value]]</f>
        <v>0</v>
      </c>
      <c r="W51" s="106"/>
      <c r="X51" s="106"/>
      <c r="Y51" s="604"/>
    </row>
    <row r="52" spans="1:27" ht="15.6">
      <c r="A52" s="480">
        <v>36</v>
      </c>
      <c r="B52" s="107"/>
      <c r="C52" s="105"/>
      <c r="D52" s="105"/>
      <c r="E52" s="105"/>
      <c r="F52" s="105"/>
      <c r="G52" s="105"/>
      <c r="H52" s="248"/>
      <c r="I52" s="105" t="s">
        <v>4064</v>
      </c>
      <c r="J52" s="115"/>
      <c r="K52" s="115"/>
      <c r="L52" s="113"/>
      <c r="M52" s="116"/>
      <c r="N52" s="106"/>
      <c r="O52" s="106"/>
      <c r="P52" s="106"/>
      <c r="Q52" s="109"/>
      <c r="R52" s="256"/>
      <c r="S52" s="107"/>
      <c r="T52" s="106"/>
      <c r="U52" s="106"/>
      <c r="V52" s="284">
        <f>Table62689345679101112133[[#This Row],[Offer Value]]-Table62689345679101112133[[#This Row],[PO Value]]</f>
        <v>0</v>
      </c>
      <c r="W52" s="106"/>
      <c r="X52" s="106"/>
      <c r="Y52" s="604"/>
    </row>
    <row r="53" spans="1:27" ht="15.6">
      <c r="A53" s="480">
        <v>36</v>
      </c>
      <c r="B53" s="107"/>
      <c r="C53" s="105"/>
      <c r="D53" s="105"/>
      <c r="E53" s="105"/>
      <c r="F53" s="105"/>
      <c r="G53" s="105"/>
      <c r="H53" s="248"/>
      <c r="I53" s="105" t="s">
        <v>4065</v>
      </c>
      <c r="J53" s="115"/>
      <c r="K53" s="115"/>
      <c r="L53" s="113"/>
      <c r="M53" s="116"/>
      <c r="N53" s="106"/>
      <c r="O53" s="106"/>
      <c r="P53" s="106"/>
      <c r="Q53" s="109"/>
      <c r="R53" s="289"/>
      <c r="S53" s="107"/>
      <c r="T53" s="106"/>
      <c r="U53" s="106"/>
      <c r="V53" s="284">
        <f>Table62689345679101112133[[#This Row],[Offer Value]]-Table62689345679101112133[[#This Row],[PO Value]]</f>
        <v>0</v>
      </c>
      <c r="W53" s="106"/>
      <c r="X53" s="106"/>
      <c r="Y53" s="605"/>
    </row>
    <row r="54" spans="1:27" ht="15.6">
      <c r="A54" s="480">
        <v>36</v>
      </c>
      <c r="B54" s="107"/>
      <c r="C54" s="105"/>
      <c r="D54" s="105"/>
      <c r="E54" s="108"/>
      <c r="F54" s="105"/>
      <c r="G54" s="105"/>
      <c r="H54" s="248"/>
      <c r="I54" s="105" t="s">
        <v>4066</v>
      </c>
      <c r="J54" s="108"/>
      <c r="K54" s="115"/>
      <c r="L54" s="113"/>
      <c r="M54" s="105"/>
      <c r="N54" s="106"/>
      <c r="O54" s="106"/>
      <c r="P54" s="106"/>
      <c r="Q54" s="109"/>
      <c r="R54" s="256"/>
      <c r="S54" s="107"/>
      <c r="T54" s="106"/>
      <c r="U54" s="106"/>
      <c r="V54" s="284">
        <f>Table62689345679101112133[[#This Row],[Offer Value]]-Table62689345679101112133[[#This Row],[PO Value]]</f>
        <v>0</v>
      </c>
      <c r="W54" s="106"/>
      <c r="X54" s="106"/>
      <c r="Y54" s="605"/>
    </row>
    <row r="55" spans="1:27" ht="15.6">
      <c r="A55" s="480">
        <v>36</v>
      </c>
      <c r="B55" s="107"/>
      <c r="C55" s="105"/>
      <c r="D55" s="105"/>
      <c r="E55" s="108"/>
      <c r="F55" s="105"/>
      <c r="G55" s="105"/>
      <c r="H55" s="248"/>
      <c r="I55" s="105" t="s">
        <v>4067</v>
      </c>
      <c r="J55" s="108"/>
      <c r="K55" s="115"/>
      <c r="L55" s="113"/>
      <c r="M55" s="105"/>
      <c r="N55" s="106"/>
      <c r="O55" s="106"/>
      <c r="P55" s="106"/>
      <c r="Q55" s="109"/>
      <c r="R55" s="289"/>
      <c r="S55" s="107"/>
      <c r="T55" s="106"/>
      <c r="U55" s="106"/>
      <c r="V55" s="284">
        <f>Table62689345679101112133[[#This Row],[Offer Value]]-Table62689345679101112133[[#This Row],[PO Value]]</f>
        <v>0</v>
      </c>
      <c r="W55" s="106"/>
      <c r="X55" s="106"/>
      <c r="Y55" s="605"/>
    </row>
    <row r="56" spans="1:27" ht="15.6">
      <c r="A56" s="480">
        <v>37</v>
      </c>
      <c r="B56" s="107">
        <v>45860</v>
      </c>
      <c r="C56" s="105" t="s">
        <v>4068</v>
      </c>
      <c r="D56" s="105" t="s">
        <v>4069</v>
      </c>
      <c r="E56" s="108" t="s">
        <v>954</v>
      </c>
      <c r="F56" s="105" t="s">
        <v>4070</v>
      </c>
      <c r="G56" s="105">
        <v>8094017951</v>
      </c>
      <c r="H56" s="248" t="s">
        <v>4071</v>
      </c>
      <c r="I56" s="105" t="s">
        <v>4072</v>
      </c>
      <c r="J56" s="108" t="s">
        <v>75</v>
      </c>
      <c r="K56" s="115" t="s">
        <v>157</v>
      </c>
      <c r="L56" s="113" t="s">
        <v>4073</v>
      </c>
      <c r="M56" s="116">
        <v>45842</v>
      </c>
      <c r="N56" s="106">
        <v>1552278</v>
      </c>
      <c r="O56" s="106" t="s">
        <v>37</v>
      </c>
      <c r="P56" s="106" t="s">
        <v>62</v>
      </c>
      <c r="Q56" s="109">
        <v>0.1</v>
      </c>
      <c r="R56" s="256"/>
      <c r="S56" s="107"/>
      <c r="T56" s="106"/>
      <c r="U56" s="106"/>
      <c r="V56" s="284">
        <f>Table62689345679101112133[[#This Row],[Offer Value]]-Table62689345679101112133[[#This Row],[PO Value]]</f>
        <v>1552278</v>
      </c>
      <c r="W56" s="106"/>
      <c r="X56" s="106"/>
      <c r="Y56" s="605"/>
      <c r="Z56" t="s">
        <v>4051</v>
      </c>
    </row>
    <row r="57" spans="1:27" ht="15.6">
      <c r="A57" s="973">
        <v>38</v>
      </c>
      <c r="B57" s="938">
        <v>45860</v>
      </c>
      <c r="C57" s="944" t="s">
        <v>132</v>
      </c>
      <c r="D57" s="944" t="s">
        <v>3929</v>
      </c>
      <c r="E57" s="944" t="s">
        <v>954</v>
      </c>
      <c r="F57" s="944" t="s">
        <v>3930</v>
      </c>
      <c r="G57" s="1010">
        <v>9793034445</v>
      </c>
      <c r="H57" s="1320" t="s">
        <v>3931</v>
      </c>
      <c r="I57" s="944" t="s">
        <v>3932</v>
      </c>
      <c r="J57" s="944" t="s">
        <v>74</v>
      </c>
      <c r="K57" s="944" t="s">
        <v>138</v>
      </c>
      <c r="L57" s="944" t="s">
        <v>4074</v>
      </c>
      <c r="M57" s="946">
        <v>45847</v>
      </c>
      <c r="N57" s="937">
        <v>259225</v>
      </c>
      <c r="O57" s="937" t="s">
        <v>37</v>
      </c>
      <c r="P57" s="937" t="s">
        <v>39</v>
      </c>
      <c r="Q57" s="1321">
        <v>1</v>
      </c>
      <c r="R57" s="1322">
        <v>4410069317</v>
      </c>
      <c r="S57" s="949">
        <v>45869</v>
      </c>
      <c r="T57" s="937">
        <v>238901</v>
      </c>
      <c r="U57" s="937" t="s">
        <v>39</v>
      </c>
      <c r="V57" s="976"/>
      <c r="W57" s="937"/>
      <c r="X57" s="937"/>
      <c r="Y57" s="1505"/>
      <c r="Z57" s="362"/>
      <c r="AA57" s="362"/>
    </row>
    <row r="58" spans="1:27" ht="15.6">
      <c r="A58" s="973">
        <v>39</v>
      </c>
      <c r="B58" s="938">
        <v>45860</v>
      </c>
      <c r="C58" s="1010" t="s">
        <v>1064</v>
      </c>
      <c r="D58" s="1010" t="s">
        <v>3949</v>
      </c>
      <c r="E58" s="944" t="s">
        <v>954</v>
      </c>
      <c r="F58" s="944" t="s">
        <v>4075</v>
      </c>
      <c r="G58" s="1010">
        <v>9871005820</v>
      </c>
      <c r="H58" s="1320" t="s">
        <v>4076</v>
      </c>
      <c r="I58" s="944" t="s">
        <v>4077</v>
      </c>
      <c r="J58" s="1007" t="s">
        <v>75</v>
      </c>
      <c r="K58" s="1007" t="s">
        <v>157</v>
      </c>
      <c r="L58" s="944" t="s">
        <v>4078</v>
      </c>
      <c r="M58" s="1003">
        <v>45848</v>
      </c>
      <c r="N58" s="937">
        <v>52323</v>
      </c>
      <c r="O58" s="937" t="s">
        <v>37</v>
      </c>
      <c r="P58" s="937" t="s">
        <v>39</v>
      </c>
      <c r="Q58" s="1321">
        <v>1</v>
      </c>
      <c r="R58" s="1322">
        <v>1250020060</v>
      </c>
      <c r="S58" s="949">
        <v>45852</v>
      </c>
      <c r="T58" s="937">
        <v>49706</v>
      </c>
      <c r="U58" s="937" t="s">
        <v>37</v>
      </c>
      <c r="V58" s="976"/>
      <c r="W58" s="937"/>
      <c r="X58" s="937"/>
      <c r="Y58" s="1447"/>
      <c r="Z58" s="362"/>
      <c r="AA58" s="362"/>
    </row>
    <row r="59" spans="1:27" ht="31.2">
      <c r="A59" s="480">
        <v>40</v>
      </c>
      <c r="B59" s="107">
        <v>45860</v>
      </c>
      <c r="C59" s="108" t="s">
        <v>2910</v>
      </c>
      <c r="D59" s="108" t="s">
        <v>4079</v>
      </c>
      <c r="E59" s="108" t="s">
        <v>954</v>
      </c>
      <c r="F59" s="108" t="s">
        <v>4080</v>
      </c>
      <c r="G59" s="108">
        <v>9696145723</v>
      </c>
      <c r="H59" s="251" t="s">
        <v>4081</v>
      </c>
      <c r="I59" s="108" t="s">
        <v>4082</v>
      </c>
      <c r="J59" s="108" t="s">
        <v>75</v>
      </c>
      <c r="K59" s="108" t="s">
        <v>157</v>
      </c>
      <c r="L59" s="108" t="s">
        <v>4083</v>
      </c>
      <c r="M59" s="112">
        <v>45849</v>
      </c>
      <c r="N59" s="106"/>
      <c r="O59" s="106" t="s">
        <v>37</v>
      </c>
      <c r="P59" s="106" t="s">
        <v>62</v>
      </c>
      <c r="Q59" s="109">
        <v>0.1</v>
      </c>
      <c r="R59" s="521"/>
      <c r="S59" s="111"/>
      <c r="T59" s="106"/>
      <c r="U59" s="106"/>
      <c r="V59" s="284">
        <f>Table62689345679101112133[[#This Row],[Offer Value]]-Table62689345679101112133[[#This Row],[PO Value]]</f>
        <v>0</v>
      </c>
      <c r="W59" s="106"/>
      <c r="X59" s="106"/>
      <c r="Y59" s="605"/>
    </row>
    <row r="60" spans="1:27" ht="15.6">
      <c r="A60" s="973">
        <v>41</v>
      </c>
      <c r="B60" s="938">
        <v>45860</v>
      </c>
      <c r="C60" s="944" t="s">
        <v>1250</v>
      </c>
      <c r="D60" s="944" t="s">
        <v>3983</v>
      </c>
      <c r="E60" s="944" t="s">
        <v>954</v>
      </c>
      <c r="F60" s="944" t="s">
        <v>4027</v>
      </c>
      <c r="G60" s="944">
        <v>9001991298</v>
      </c>
      <c r="H60" s="1506" t="s">
        <v>4084</v>
      </c>
      <c r="I60" s="944" t="s">
        <v>4029</v>
      </c>
      <c r="J60" s="944" t="s">
        <v>75</v>
      </c>
      <c r="K60" s="944" t="s">
        <v>157</v>
      </c>
      <c r="L60" s="944" t="s">
        <v>4085</v>
      </c>
      <c r="M60" s="946">
        <v>45850</v>
      </c>
      <c r="N60" s="937">
        <v>257586</v>
      </c>
      <c r="O60" s="937" t="s">
        <v>37</v>
      </c>
      <c r="P60" s="937" t="s">
        <v>39</v>
      </c>
      <c r="Q60" s="1321">
        <v>1</v>
      </c>
      <c r="R60" s="1322">
        <v>85414892</v>
      </c>
      <c r="S60" s="949">
        <v>45866</v>
      </c>
      <c r="T60" s="937">
        <v>257586</v>
      </c>
      <c r="U60" s="937" t="s">
        <v>39</v>
      </c>
      <c r="V60" s="976">
        <f>Table62689345679101112133[[#This Row],[Offer Value]]-Table62689345679101112133[[#This Row],[PO Value]]</f>
        <v>0</v>
      </c>
      <c r="W60" s="937"/>
      <c r="X60" s="937"/>
      <c r="Y60" s="1447"/>
      <c r="Z60" s="362"/>
      <c r="AA60" s="362"/>
    </row>
    <row r="61" spans="1:27" ht="31.2">
      <c r="A61" s="973">
        <v>42</v>
      </c>
      <c r="B61" s="938">
        <v>45860</v>
      </c>
      <c r="C61" s="944" t="s">
        <v>1743</v>
      </c>
      <c r="D61" s="944" t="s">
        <v>4016</v>
      </c>
      <c r="E61" s="944" t="s">
        <v>954</v>
      </c>
      <c r="F61" s="944" t="s">
        <v>4017</v>
      </c>
      <c r="G61" s="944">
        <v>8449955577</v>
      </c>
      <c r="H61" s="2227" t="s">
        <v>4018</v>
      </c>
      <c r="I61" s="944" t="s">
        <v>4019</v>
      </c>
      <c r="J61" s="944" t="s">
        <v>75</v>
      </c>
      <c r="K61" s="944" t="s">
        <v>157</v>
      </c>
      <c r="L61" s="944" t="s">
        <v>4086</v>
      </c>
      <c r="M61" s="946">
        <v>45850</v>
      </c>
      <c r="N61" s="937">
        <v>473838</v>
      </c>
      <c r="O61" s="937" t="s">
        <v>37</v>
      </c>
      <c r="P61" s="937" t="s">
        <v>39</v>
      </c>
      <c r="Q61" s="1321">
        <v>1</v>
      </c>
      <c r="R61" s="1450" t="s">
        <v>4087</v>
      </c>
      <c r="S61" s="949" t="s">
        <v>4088</v>
      </c>
      <c r="T61" s="937">
        <v>416695</v>
      </c>
      <c r="U61" s="937" t="s">
        <v>39</v>
      </c>
      <c r="V61" s="1790"/>
      <c r="W61" s="937"/>
      <c r="X61" s="937"/>
      <c r="Y61" s="1505"/>
      <c r="Z61" s="362" t="s">
        <v>157</v>
      </c>
      <c r="AA61" s="362" t="s">
        <v>157</v>
      </c>
    </row>
    <row r="62" spans="1:27" ht="15.6">
      <c r="A62" s="973">
        <v>43</v>
      </c>
      <c r="B62" s="938">
        <v>45860</v>
      </c>
      <c r="C62" s="944" t="s">
        <v>3958</v>
      </c>
      <c r="D62" s="944" t="s">
        <v>3959</v>
      </c>
      <c r="E62" s="944" t="s">
        <v>4089</v>
      </c>
      <c r="F62" s="944" t="s">
        <v>3970</v>
      </c>
      <c r="G62" s="944">
        <v>8800882736</v>
      </c>
      <c r="H62" s="1506" t="s">
        <v>3971</v>
      </c>
      <c r="I62" s="944" t="s">
        <v>3972</v>
      </c>
      <c r="J62" s="944" t="s">
        <v>75</v>
      </c>
      <c r="K62" s="944" t="s">
        <v>157</v>
      </c>
      <c r="L62" s="944" t="s">
        <v>4090</v>
      </c>
      <c r="M62" s="946">
        <v>45860</v>
      </c>
      <c r="N62" s="937">
        <v>345748</v>
      </c>
      <c r="O62" s="937" t="s">
        <v>37</v>
      </c>
      <c r="P62" s="937" t="s">
        <v>44</v>
      </c>
      <c r="Q62" s="1321">
        <v>1</v>
      </c>
      <c r="R62" s="972">
        <v>901973166</v>
      </c>
      <c r="S62" s="938">
        <v>45903</v>
      </c>
      <c r="T62" s="937">
        <v>328460</v>
      </c>
      <c r="U62" s="937" t="s">
        <v>44</v>
      </c>
      <c r="V62" s="976"/>
      <c r="W62" s="937"/>
      <c r="X62" s="937"/>
      <c r="Y62" s="1505"/>
      <c r="Z62" s="362"/>
      <c r="AA62" s="362"/>
    </row>
    <row r="63" spans="1:27" ht="31.2">
      <c r="A63" s="973">
        <v>44</v>
      </c>
      <c r="B63" s="938">
        <v>45860</v>
      </c>
      <c r="C63" s="944" t="s">
        <v>4091</v>
      </c>
      <c r="D63" s="944" t="s">
        <v>4046</v>
      </c>
      <c r="E63" s="944" t="s">
        <v>954</v>
      </c>
      <c r="F63" s="944" t="s">
        <v>4092</v>
      </c>
      <c r="G63" s="944">
        <v>7838883221</v>
      </c>
      <c r="H63" s="1506" t="s">
        <v>4093</v>
      </c>
      <c r="I63" s="944" t="s">
        <v>4094</v>
      </c>
      <c r="J63" s="944" t="s">
        <v>79</v>
      </c>
      <c r="K63" s="944" t="s">
        <v>138</v>
      </c>
      <c r="L63" s="944" t="s">
        <v>4095</v>
      </c>
      <c r="M63" s="946">
        <v>45848</v>
      </c>
      <c r="N63" s="937">
        <v>35000</v>
      </c>
      <c r="O63" s="937" t="s">
        <v>37</v>
      </c>
      <c r="P63" s="937" t="s">
        <v>39</v>
      </c>
      <c r="Q63" s="1321">
        <v>1</v>
      </c>
      <c r="R63" s="1322">
        <v>130006268</v>
      </c>
      <c r="S63" s="949">
        <v>45877</v>
      </c>
      <c r="T63" s="937">
        <v>20700</v>
      </c>
      <c r="U63" s="937" t="s">
        <v>39</v>
      </c>
      <c r="V63" s="976"/>
      <c r="W63" s="937"/>
      <c r="X63" s="937"/>
      <c r="Y63" s="1505"/>
      <c r="Z63" s="362"/>
      <c r="AA63" s="362"/>
    </row>
    <row r="64" spans="1:27" ht="15.6">
      <c r="A64" s="973">
        <v>45</v>
      </c>
      <c r="B64" s="938">
        <v>45860</v>
      </c>
      <c r="C64" s="1010" t="s">
        <v>4096</v>
      </c>
      <c r="D64" s="1010" t="s">
        <v>3910</v>
      </c>
      <c r="E64" s="1010" t="s">
        <v>954</v>
      </c>
      <c r="F64" s="1010" t="s">
        <v>4097</v>
      </c>
      <c r="G64" s="1010">
        <v>9910773558</v>
      </c>
      <c r="H64" s="1439" t="s">
        <v>4098</v>
      </c>
      <c r="I64" s="1010" t="s">
        <v>4099</v>
      </c>
      <c r="J64" s="944" t="s">
        <v>73</v>
      </c>
      <c r="K64" s="944" t="s">
        <v>157</v>
      </c>
      <c r="L64" s="944" t="s">
        <v>4100</v>
      </c>
      <c r="M64" s="946">
        <v>45849</v>
      </c>
      <c r="N64" s="937">
        <v>375000</v>
      </c>
      <c r="O64" s="937" t="s">
        <v>37</v>
      </c>
      <c r="P64" s="937" t="s">
        <v>47</v>
      </c>
      <c r="Q64" s="1321">
        <v>1</v>
      </c>
      <c r="R64" s="2024" t="s">
        <v>4101</v>
      </c>
      <c r="S64" s="938">
        <v>45887</v>
      </c>
      <c r="T64" s="2023">
        <v>356250</v>
      </c>
      <c r="U64" s="937" t="s">
        <v>39</v>
      </c>
      <c r="V64" s="976"/>
      <c r="W64" s="937"/>
      <c r="X64" s="937"/>
      <c r="Y64" s="1447"/>
      <c r="Z64" s="362"/>
      <c r="AA64" s="362"/>
    </row>
    <row r="65" spans="1:27" ht="15.6">
      <c r="A65" s="480">
        <v>46</v>
      </c>
      <c r="B65" s="107">
        <v>45866</v>
      </c>
      <c r="C65" s="108" t="s">
        <v>3958</v>
      </c>
      <c r="D65" s="108" t="s">
        <v>3959</v>
      </c>
      <c r="E65" s="108" t="s">
        <v>3977</v>
      </c>
      <c r="F65" s="108" t="s">
        <v>4102</v>
      </c>
      <c r="G65" s="105">
        <v>9466881418</v>
      </c>
      <c r="H65" s="248" t="s">
        <v>4103</v>
      </c>
      <c r="I65" s="108" t="s">
        <v>3980</v>
      </c>
      <c r="J65" s="108" t="s">
        <v>75</v>
      </c>
      <c r="K65" s="108" t="s">
        <v>157</v>
      </c>
      <c r="L65" s="108" t="s">
        <v>4104</v>
      </c>
      <c r="M65" s="112">
        <v>45863</v>
      </c>
      <c r="N65" s="106">
        <v>323770</v>
      </c>
      <c r="O65" s="106" t="s">
        <v>37</v>
      </c>
      <c r="P65" s="106" t="s">
        <v>62</v>
      </c>
      <c r="Q65" s="109">
        <v>0.1</v>
      </c>
      <c r="R65" s="256"/>
      <c r="S65" s="107"/>
      <c r="T65" s="607"/>
      <c r="U65" s="106"/>
      <c r="V65" s="284">
        <f>Table62689345679101112133[[#This Row],[Offer Value]]-Table62689345679101112133[[#This Row],[PO Value]]</f>
        <v>323770</v>
      </c>
      <c r="W65" s="106"/>
      <c r="X65" s="106"/>
      <c r="Y65" s="605"/>
      <c r="Z65" s="362" t="s">
        <v>157</v>
      </c>
      <c r="AA65" s="362"/>
    </row>
    <row r="66" spans="1:27" ht="15.6">
      <c r="A66" s="973">
        <v>47</v>
      </c>
      <c r="B66" s="938">
        <v>45882</v>
      </c>
      <c r="C66" s="944" t="s">
        <v>4006</v>
      </c>
      <c r="D66" s="944" t="s">
        <v>3959</v>
      </c>
      <c r="E66" s="944" t="s">
        <v>954</v>
      </c>
      <c r="F66" s="944" t="s">
        <v>4105</v>
      </c>
      <c r="G66" s="1010">
        <v>9560271006</v>
      </c>
      <c r="H66" s="1439" t="s">
        <v>4106</v>
      </c>
      <c r="I66" s="944" t="s">
        <v>4010</v>
      </c>
      <c r="J66" s="944" t="s">
        <v>75</v>
      </c>
      <c r="K66" s="944" t="s">
        <v>157</v>
      </c>
      <c r="L66" s="944" t="s">
        <v>4107</v>
      </c>
      <c r="M66" s="946">
        <v>45873</v>
      </c>
      <c r="N66" s="937">
        <v>647772</v>
      </c>
      <c r="O66" s="937" t="s">
        <v>39</v>
      </c>
      <c r="P66" s="937" t="s">
        <v>47</v>
      </c>
      <c r="Q66" s="1321">
        <v>1</v>
      </c>
      <c r="R66" s="2024" t="s">
        <v>4108</v>
      </c>
      <c r="S66" s="938">
        <v>45929</v>
      </c>
      <c r="T66" s="2023">
        <v>349656</v>
      </c>
      <c r="U66" s="937" t="s">
        <v>47</v>
      </c>
      <c r="V66" s="1790"/>
      <c r="W66" s="937"/>
      <c r="X66" s="937"/>
      <c r="Y66" s="1447"/>
      <c r="Z66" s="362" t="s">
        <v>157</v>
      </c>
      <c r="AA66" s="362" t="s">
        <v>208</v>
      </c>
    </row>
    <row r="67" spans="1:27" ht="15.6">
      <c r="A67" s="973">
        <v>48</v>
      </c>
      <c r="B67" s="938">
        <v>45882</v>
      </c>
      <c r="C67" s="2948" t="s">
        <v>1411</v>
      </c>
      <c r="D67" s="1443" t="s">
        <v>4109</v>
      </c>
      <c r="E67" s="944" t="s">
        <v>954</v>
      </c>
      <c r="F67" s="944" t="s">
        <v>4021</v>
      </c>
      <c r="G67" s="1010">
        <v>9882588834</v>
      </c>
      <c r="H67" s="1439" t="s">
        <v>4022</v>
      </c>
      <c r="I67" s="944" t="s">
        <v>4023</v>
      </c>
      <c r="J67" s="944" t="s">
        <v>75</v>
      </c>
      <c r="K67" s="944" t="s">
        <v>157</v>
      </c>
      <c r="L67" s="944" t="s">
        <v>4110</v>
      </c>
      <c r="M67" s="946">
        <v>45873</v>
      </c>
      <c r="N67" s="937">
        <v>646682</v>
      </c>
      <c r="O67" s="937" t="s">
        <v>39</v>
      </c>
      <c r="P67" s="937" t="s">
        <v>39</v>
      </c>
      <c r="Q67" s="1321">
        <v>1</v>
      </c>
      <c r="R67" s="2024" t="s">
        <v>4111</v>
      </c>
      <c r="S67" s="938">
        <v>45880</v>
      </c>
      <c r="T67" s="2023">
        <v>562415</v>
      </c>
      <c r="U67" s="937" t="s">
        <v>39</v>
      </c>
      <c r="V67" s="976"/>
      <c r="W67" s="937"/>
      <c r="X67" s="937"/>
      <c r="Y67" s="1447"/>
    </row>
    <row r="68" spans="1:27" ht="15.6">
      <c r="A68" s="480">
        <v>49</v>
      </c>
      <c r="B68" s="107">
        <v>45901</v>
      </c>
      <c r="C68" s="2636" t="s">
        <v>1250</v>
      </c>
      <c r="D68" s="178" t="s">
        <v>3983</v>
      </c>
      <c r="E68" s="178" t="s">
        <v>954</v>
      </c>
      <c r="F68" s="178" t="s">
        <v>4112</v>
      </c>
      <c r="G68" s="303">
        <v>8003006644</v>
      </c>
      <c r="H68" s="182" t="s">
        <v>4113</v>
      </c>
      <c r="I68" s="178" t="s">
        <v>3986</v>
      </c>
      <c r="J68" s="178" t="s">
        <v>73</v>
      </c>
      <c r="K68" s="178" t="s">
        <v>138</v>
      </c>
      <c r="L68" s="178" t="s">
        <v>4114</v>
      </c>
      <c r="M68" s="317">
        <v>45888</v>
      </c>
      <c r="N68" s="300">
        <v>240000</v>
      </c>
      <c r="O68" s="300" t="s">
        <v>39</v>
      </c>
      <c r="P68" s="300" t="s">
        <v>47</v>
      </c>
      <c r="Q68" s="306">
        <v>0.5</v>
      </c>
      <c r="R68" s="608"/>
      <c r="S68" s="315"/>
      <c r="T68" s="300"/>
      <c r="U68" s="300"/>
      <c r="V68" s="284">
        <f>Table62689345679101112133[[#This Row],[Offer Value]]-Table62689345679101112133[[#This Row],[PO Value]]</f>
        <v>240000</v>
      </c>
      <c r="W68" s="300"/>
      <c r="X68" s="300"/>
      <c r="Y68" s="609"/>
    </row>
    <row r="69" spans="1:27" ht="15.6">
      <c r="A69" s="480">
        <v>49</v>
      </c>
      <c r="B69" s="107"/>
      <c r="C69" s="178"/>
      <c r="D69" s="178"/>
      <c r="E69" s="178"/>
      <c r="F69" s="178"/>
      <c r="G69" s="178"/>
      <c r="H69" s="316"/>
      <c r="I69" s="178" t="s">
        <v>4115</v>
      </c>
      <c r="J69" s="178"/>
      <c r="K69" s="178"/>
      <c r="L69" s="178"/>
      <c r="M69" s="317"/>
      <c r="N69" s="300"/>
      <c r="O69" s="300"/>
      <c r="P69" s="300"/>
      <c r="Q69" s="306"/>
      <c r="R69" s="608"/>
      <c r="S69" s="320"/>
      <c r="T69" s="300"/>
      <c r="U69" s="300"/>
      <c r="V69" s="284">
        <f>Table62689345679101112133[[#This Row],[Offer Value]]-Table62689345679101112133[[#This Row],[PO Value]]</f>
        <v>0</v>
      </c>
      <c r="W69" s="300"/>
      <c r="X69" s="300"/>
      <c r="Y69" s="610"/>
    </row>
    <row r="70" spans="1:27" ht="15.6">
      <c r="A70" s="480">
        <v>49</v>
      </c>
      <c r="B70" s="107"/>
      <c r="C70" s="178"/>
      <c r="D70" s="303"/>
      <c r="E70" s="178"/>
      <c r="F70" s="178"/>
      <c r="G70" s="303"/>
      <c r="H70" s="182"/>
      <c r="I70" s="178" t="s">
        <v>3389</v>
      </c>
      <c r="J70" s="178"/>
      <c r="K70" s="178"/>
      <c r="L70" s="178"/>
      <c r="M70" s="317"/>
      <c r="N70" s="300"/>
      <c r="O70" s="300"/>
      <c r="P70" s="300"/>
      <c r="Q70" s="306"/>
      <c r="R70" s="608"/>
      <c r="S70" s="315"/>
      <c r="T70" s="300"/>
      <c r="U70" s="300"/>
      <c r="V70" s="284">
        <f>Table62689345679101112133[[#This Row],[Offer Value]]-Table62689345679101112133[[#This Row],[PO Value]]</f>
        <v>0</v>
      </c>
      <c r="W70" s="300"/>
      <c r="X70" s="300"/>
      <c r="Y70" s="610"/>
    </row>
    <row r="71" spans="1:27" ht="15.6">
      <c r="A71" s="480">
        <v>50</v>
      </c>
      <c r="B71" s="107">
        <v>45901</v>
      </c>
      <c r="C71" s="178" t="s">
        <v>1250</v>
      </c>
      <c r="D71" s="303" t="s">
        <v>3983</v>
      </c>
      <c r="E71" s="178" t="s">
        <v>620</v>
      </c>
      <c r="F71" s="178" t="s">
        <v>4112</v>
      </c>
      <c r="G71" s="303">
        <v>8003006644</v>
      </c>
      <c r="H71" s="182" t="s">
        <v>4113</v>
      </c>
      <c r="I71" s="178" t="s">
        <v>3986</v>
      </c>
      <c r="J71" s="178" t="s">
        <v>75</v>
      </c>
      <c r="K71" s="178" t="s">
        <v>208</v>
      </c>
      <c r="L71" s="178" t="s">
        <v>4116</v>
      </c>
      <c r="M71" s="317">
        <v>45888</v>
      </c>
      <c r="N71" s="300">
        <v>247622</v>
      </c>
      <c r="O71" s="300" t="s">
        <v>39</v>
      </c>
      <c r="P71" s="300" t="s">
        <v>49</v>
      </c>
      <c r="Q71" s="306">
        <v>0.5</v>
      </c>
      <c r="R71" s="608"/>
      <c r="S71" s="315"/>
      <c r="T71" s="300"/>
      <c r="U71" s="300"/>
      <c r="V71" s="284">
        <f>Table62689345679101112133[[#This Row],[Offer Value]]-Table62689345679101112133[[#This Row],[PO Value]]</f>
        <v>247622</v>
      </c>
      <c r="W71" s="300"/>
      <c r="X71" s="300"/>
      <c r="Y71" s="610"/>
      <c r="Z71" s="362"/>
      <c r="AA71" s="362"/>
    </row>
    <row r="72" spans="1:27" ht="15.6">
      <c r="A72" s="973">
        <v>51</v>
      </c>
      <c r="B72" s="938">
        <v>45901</v>
      </c>
      <c r="C72" s="1443" t="s">
        <v>132</v>
      </c>
      <c r="D72" s="1443" t="s">
        <v>3929</v>
      </c>
      <c r="E72" s="1443" t="s">
        <v>954</v>
      </c>
      <c r="F72" s="1443" t="s">
        <v>3930</v>
      </c>
      <c r="G72" s="2961">
        <v>9793034445</v>
      </c>
      <c r="H72" s="2962" t="s">
        <v>3931</v>
      </c>
      <c r="I72" s="2963" t="s">
        <v>3932</v>
      </c>
      <c r="J72" s="2963" t="s">
        <v>75</v>
      </c>
      <c r="K72" s="2963" t="s">
        <v>157</v>
      </c>
      <c r="L72" s="1443" t="s">
        <v>4117</v>
      </c>
      <c r="M72" s="1445">
        <v>45891</v>
      </c>
      <c r="N72" s="1446">
        <v>337320</v>
      </c>
      <c r="O72" s="1446" t="s">
        <v>39</v>
      </c>
      <c r="P72" s="1446" t="s">
        <v>47</v>
      </c>
      <c r="Q72" s="1566">
        <v>1</v>
      </c>
      <c r="R72" s="2338" t="s">
        <v>4118</v>
      </c>
      <c r="S72" s="1583">
        <v>45930</v>
      </c>
      <c r="T72" s="1446">
        <v>224616</v>
      </c>
      <c r="U72" s="1446" t="s">
        <v>2432</v>
      </c>
      <c r="V72" s="976"/>
      <c r="W72" s="1446"/>
      <c r="X72" s="1446"/>
      <c r="Y72" s="1589"/>
      <c r="Z72" t="s">
        <v>157</v>
      </c>
    </row>
    <row r="73" spans="1:27" ht="15.6">
      <c r="A73" s="480">
        <v>52</v>
      </c>
      <c r="B73" s="107">
        <v>45902</v>
      </c>
      <c r="C73" s="178" t="s">
        <v>4119</v>
      </c>
      <c r="D73" s="178" t="s">
        <v>3938</v>
      </c>
      <c r="E73" s="178" t="s">
        <v>4120</v>
      </c>
      <c r="F73" s="178" t="s">
        <v>4121</v>
      </c>
      <c r="G73" s="2637">
        <v>9205115364</v>
      </c>
      <c r="H73" s="1950" t="s">
        <v>4122</v>
      </c>
      <c r="I73" s="2636" t="s">
        <v>4123</v>
      </c>
      <c r="J73" s="2638" t="s">
        <v>77</v>
      </c>
      <c r="K73" s="2638" t="s">
        <v>208</v>
      </c>
      <c r="L73" s="178" t="s">
        <v>4124</v>
      </c>
      <c r="M73" s="317">
        <v>45898</v>
      </c>
      <c r="N73" s="300"/>
      <c r="O73" s="300" t="s">
        <v>39</v>
      </c>
      <c r="P73" s="300" t="s">
        <v>62</v>
      </c>
      <c r="Q73" s="306">
        <v>0.1</v>
      </c>
      <c r="R73" s="608"/>
      <c r="S73" s="315"/>
      <c r="T73" s="300"/>
      <c r="U73" s="300"/>
      <c r="V73" s="284">
        <f>Table62689345679101112133[[#This Row],[Offer Value]]-Table62689345679101112133[[#This Row],[PO Value]]</f>
        <v>0</v>
      </c>
      <c r="W73" s="300"/>
      <c r="X73" s="300"/>
      <c r="Y73" s="610"/>
    </row>
    <row r="74" spans="1:27" ht="15.6">
      <c r="A74" s="480">
        <v>53</v>
      </c>
      <c r="B74" s="107">
        <v>45902</v>
      </c>
      <c r="C74" s="178" t="s">
        <v>4125</v>
      </c>
      <c r="D74" s="178" t="s">
        <v>4053</v>
      </c>
      <c r="E74" s="178" t="s">
        <v>620</v>
      </c>
      <c r="F74" s="178" t="s">
        <v>4054</v>
      </c>
      <c r="G74" s="178">
        <v>9997534222</v>
      </c>
      <c r="H74" s="316" t="s">
        <v>4055</v>
      </c>
      <c r="I74" s="178" t="s">
        <v>4056</v>
      </c>
      <c r="J74" s="178" t="s">
        <v>75</v>
      </c>
      <c r="K74" s="178" t="s">
        <v>157</v>
      </c>
      <c r="L74" s="178" t="s">
        <v>4126</v>
      </c>
      <c r="M74" s="317">
        <v>45902</v>
      </c>
      <c r="N74" s="300">
        <v>161778</v>
      </c>
      <c r="O74" s="300" t="s">
        <v>44</v>
      </c>
      <c r="P74" s="300" t="s">
        <v>62</v>
      </c>
      <c r="Q74" s="306">
        <v>0.5</v>
      </c>
      <c r="R74" s="608"/>
      <c r="S74" s="315"/>
      <c r="T74" s="300"/>
      <c r="U74" s="300"/>
      <c r="V74" s="284">
        <f>Table62689345679101112133[[#This Row],[Offer Value]]-Table62689345679101112133[[#This Row],[PO Value]]</f>
        <v>161778</v>
      </c>
      <c r="W74" s="300"/>
      <c r="X74" s="300"/>
      <c r="Y74" s="610"/>
      <c r="Z74" s="362"/>
      <c r="AA74" s="362"/>
    </row>
    <row r="75" spans="1:27" ht="31.2">
      <c r="A75" s="973">
        <v>54</v>
      </c>
      <c r="B75" s="938">
        <v>45902</v>
      </c>
      <c r="C75" s="1443" t="s">
        <v>4127</v>
      </c>
      <c r="D75" s="1443" t="s">
        <v>4001</v>
      </c>
      <c r="E75" s="1443" t="s">
        <v>4128</v>
      </c>
      <c r="F75" s="1443" t="s">
        <v>4002</v>
      </c>
      <c r="G75" s="1010">
        <v>9875916390</v>
      </c>
      <c r="H75" s="1439" t="s">
        <v>4003</v>
      </c>
      <c r="I75" s="1443" t="s">
        <v>4129</v>
      </c>
      <c r="J75" s="1443" t="s">
        <v>75</v>
      </c>
      <c r="K75" s="1443" t="s">
        <v>157</v>
      </c>
      <c r="L75" s="1443" t="s">
        <v>4130</v>
      </c>
      <c r="M75" s="1445">
        <v>45902</v>
      </c>
      <c r="N75" s="1446">
        <v>271822</v>
      </c>
      <c r="O75" s="1446" t="s">
        <v>44</v>
      </c>
      <c r="P75" s="1446" t="s">
        <v>49</v>
      </c>
      <c r="Q75" s="1566">
        <v>1</v>
      </c>
      <c r="R75" s="2338">
        <v>6400025571</v>
      </c>
      <c r="S75" s="1583">
        <v>45931</v>
      </c>
      <c r="T75" s="1446">
        <v>249297</v>
      </c>
      <c r="U75" s="1446" t="s">
        <v>47</v>
      </c>
      <c r="V75" s="976"/>
      <c r="W75" s="1446"/>
      <c r="X75" s="1446"/>
      <c r="Y75" s="1589"/>
    </row>
    <row r="76" spans="1:27" ht="15.6">
      <c r="A76" s="480">
        <v>55</v>
      </c>
      <c r="B76" s="107">
        <v>45903</v>
      </c>
      <c r="C76" s="178" t="s">
        <v>1250</v>
      </c>
      <c r="D76" s="178" t="s">
        <v>3983</v>
      </c>
      <c r="E76" s="178" t="s">
        <v>954</v>
      </c>
      <c r="F76" s="178" t="s">
        <v>4131</v>
      </c>
      <c r="G76" s="303">
        <v>8003006644</v>
      </c>
      <c r="H76" s="182" t="s">
        <v>4113</v>
      </c>
      <c r="I76" s="178" t="s">
        <v>3389</v>
      </c>
      <c r="J76" s="178" t="s">
        <v>75</v>
      </c>
      <c r="K76" s="178" t="s">
        <v>157</v>
      </c>
      <c r="L76" s="178" t="s">
        <v>4132</v>
      </c>
      <c r="M76" s="317">
        <v>45903</v>
      </c>
      <c r="N76" s="300"/>
      <c r="O76" s="300" t="s">
        <v>44</v>
      </c>
      <c r="P76" s="300" t="s">
        <v>62</v>
      </c>
      <c r="Q76" s="306">
        <v>0.1</v>
      </c>
      <c r="R76" s="608"/>
      <c r="S76" s="315"/>
      <c r="T76" s="300"/>
      <c r="U76" s="300"/>
      <c r="V76" s="284">
        <f>Table62689345679101112133[[#This Row],[Offer Value]]-Table62689345679101112133[[#This Row],[PO Value]]</f>
        <v>0</v>
      </c>
      <c r="W76" s="300"/>
      <c r="X76" s="300"/>
      <c r="Y76" s="610"/>
      <c r="Z76" t="s">
        <v>4051</v>
      </c>
    </row>
    <row r="77" spans="1:27" ht="15.6">
      <c r="A77" s="480">
        <v>56</v>
      </c>
      <c r="B77" s="107">
        <v>45903</v>
      </c>
      <c r="C77" s="178" t="s">
        <v>4068</v>
      </c>
      <c r="D77" s="178" t="s">
        <v>4069</v>
      </c>
      <c r="E77" s="178" t="s">
        <v>954</v>
      </c>
      <c r="F77" s="178" t="s">
        <v>4070</v>
      </c>
      <c r="G77" s="105">
        <v>8094017951</v>
      </c>
      <c r="H77" s="248" t="s">
        <v>4071</v>
      </c>
      <c r="I77" s="105" t="s">
        <v>4072</v>
      </c>
      <c r="J77" s="108" t="s">
        <v>75</v>
      </c>
      <c r="K77" s="115" t="s">
        <v>157</v>
      </c>
      <c r="L77" s="178" t="s">
        <v>4133</v>
      </c>
      <c r="M77" s="317">
        <v>45172</v>
      </c>
      <c r="N77" s="300">
        <v>788274</v>
      </c>
      <c r="O77" s="300" t="s">
        <v>44</v>
      </c>
      <c r="P77" s="300" t="s">
        <v>62</v>
      </c>
      <c r="Q77" s="306">
        <v>0.5</v>
      </c>
      <c r="R77" s="608"/>
      <c r="S77" s="315"/>
      <c r="T77" s="300"/>
      <c r="U77" s="300"/>
      <c r="V77" s="284">
        <f>Table62689345679101112133[[#This Row],[Offer Value]]-Table62689345679101112133[[#This Row],[PO Value]]</f>
        <v>788274</v>
      </c>
      <c r="W77" s="300"/>
      <c r="X77" s="300"/>
      <c r="Y77" s="610"/>
    </row>
    <row r="78" spans="1:27" ht="15.6">
      <c r="A78" s="480">
        <v>57</v>
      </c>
      <c r="B78" s="107">
        <v>45941</v>
      </c>
      <c r="C78" s="178" t="s">
        <v>4045</v>
      </c>
      <c r="D78" s="178" t="s">
        <v>4046</v>
      </c>
      <c r="E78" s="178" t="s">
        <v>954</v>
      </c>
      <c r="F78" s="178" t="s">
        <v>4047</v>
      </c>
      <c r="G78" s="113">
        <v>8285843157</v>
      </c>
      <c r="H78" s="248" t="s">
        <v>4048</v>
      </c>
      <c r="I78" s="178"/>
      <c r="J78" s="178" t="s">
        <v>75</v>
      </c>
      <c r="K78" s="178" t="s">
        <v>208</v>
      </c>
      <c r="L78" s="178" t="s">
        <v>4134</v>
      </c>
      <c r="M78" s="301">
        <v>45939</v>
      </c>
      <c r="N78" s="300"/>
      <c r="O78" s="300" t="s">
        <v>47</v>
      </c>
      <c r="P78" s="300" t="s">
        <v>62</v>
      </c>
      <c r="Q78" s="306">
        <v>0.1</v>
      </c>
      <c r="R78" s="608"/>
      <c r="S78" s="315"/>
      <c r="T78" s="300"/>
      <c r="U78" s="315"/>
      <c r="V78" s="284">
        <f>Table62689345679101112133[[#This Row],[Offer Value]]-Table62689345679101112133[[#This Row],[PO Value]]</f>
        <v>0</v>
      </c>
      <c r="W78" s="300"/>
      <c r="X78" s="300"/>
      <c r="Y78" s="610"/>
    </row>
    <row r="79" spans="1:27" ht="15.6">
      <c r="A79" s="480">
        <v>58</v>
      </c>
      <c r="B79" s="107">
        <v>45941</v>
      </c>
      <c r="C79" s="178" t="s">
        <v>4135</v>
      </c>
      <c r="D79" s="178" t="s">
        <v>4136</v>
      </c>
      <c r="E79" s="178" t="s">
        <v>4137</v>
      </c>
      <c r="F79" s="178" t="s">
        <v>4138</v>
      </c>
      <c r="G79" s="303">
        <v>9116117523</v>
      </c>
      <c r="H79" s="182" t="s">
        <v>4139</v>
      </c>
      <c r="I79" s="178" t="s">
        <v>4140</v>
      </c>
      <c r="J79" s="178" t="s">
        <v>75</v>
      </c>
      <c r="K79" s="178" t="s">
        <v>208</v>
      </c>
      <c r="L79" s="178" t="s">
        <v>4141</v>
      </c>
      <c r="M79" s="301">
        <v>45941</v>
      </c>
      <c r="N79" s="300">
        <v>761810</v>
      </c>
      <c r="O79" s="300" t="s">
        <v>47</v>
      </c>
      <c r="P79" s="300" t="s">
        <v>62</v>
      </c>
      <c r="Q79" s="306">
        <v>0.4</v>
      </c>
      <c r="R79" s="608"/>
      <c r="S79" s="315"/>
      <c r="T79" s="300"/>
      <c r="U79" s="315"/>
      <c r="V79" s="284">
        <f>Table62689345679101112133[[#This Row],[Offer Value]]-Table62689345679101112133[[#This Row],[PO Value]]</f>
        <v>761810</v>
      </c>
      <c r="W79" s="300"/>
      <c r="X79" s="300"/>
      <c r="Y79" s="610"/>
    </row>
    <row r="80" spans="1:27" ht="15.6">
      <c r="A80" s="973">
        <v>59</v>
      </c>
      <c r="B80" s="2964">
        <v>45982</v>
      </c>
      <c r="C80" s="2965" t="s">
        <v>4142</v>
      </c>
      <c r="D80" s="2965" t="s">
        <v>3959</v>
      </c>
      <c r="E80" s="2965" t="s">
        <v>3977</v>
      </c>
      <c r="F80" s="944" t="s">
        <v>4102</v>
      </c>
      <c r="G80" s="1010">
        <v>9466881418</v>
      </c>
      <c r="H80" s="1439" t="s">
        <v>4103</v>
      </c>
      <c r="I80" s="944" t="s">
        <v>3980</v>
      </c>
      <c r="J80" s="944" t="s">
        <v>75</v>
      </c>
      <c r="K80" s="944" t="s">
        <v>157</v>
      </c>
      <c r="L80" s="944" t="s">
        <v>4143</v>
      </c>
      <c r="M80" s="2966">
        <v>45981</v>
      </c>
      <c r="N80" s="2967" t="s">
        <v>4144</v>
      </c>
      <c r="O80" s="2968" t="s">
        <v>49</v>
      </c>
      <c r="P80" s="2968" t="s">
        <v>49</v>
      </c>
      <c r="Q80" s="2969">
        <v>1</v>
      </c>
      <c r="R80" s="2970" t="s">
        <v>4145</v>
      </c>
      <c r="S80" s="2971">
        <v>45981</v>
      </c>
      <c r="T80" s="2971">
        <v>37719</v>
      </c>
      <c r="U80" s="2968" t="s">
        <v>49</v>
      </c>
      <c r="V80" s="976">
        <f>Table62689345679[[#This Row],[PO Value]]-Table62689345679[[#This Row],[Offer Value]]</f>
        <v>0</v>
      </c>
      <c r="W80" s="2965"/>
      <c r="X80" s="2972"/>
      <c r="Y80" s="2971"/>
      <c r="Z80" s="362"/>
      <c r="AA80" s="362"/>
    </row>
    <row r="81" spans="1:27" ht="15.6">
      <c r="A81" s="480">
        <v>60</v>
      </c>
      <c r="B81" s="301">
        <v>45985</v>
      </c>
      <c r="C81" s="178" t="s">
        <v>4146</v>
      </c>
      <c r="D81" s="178" t="s">
        <v>4109</v>
      </c>
      <c r="E81" s="178" t="s">
        <v>4147</v>
      </c>
      <c r="F81" s="178" t="s">
        <v>4021</v>
      </c>
      <c r="G81" s="105">
        <v>9882588834</v>
      </c>
      <c r="H81" s="316" t="s">
        <v>4022</v>
      </c>
      <c r="I81" s="178" t="s">
        <v>4023</v>
      </c>
      <c r="J81" s="178" t="s">
        <v>75</v>
      </c>
      <c r="K81" s="178" t="s">
        <v>157</v>
      </c>
      <c r="L81" s="178" t="s">
        <v>4148</v>
      </c>
      <c r="M81" s="301">
        <v>45985</v>
      </c>
      <c r="N81" s="300">
        <v>100144</v>
      </c>
      <c r="O81" s="300" t="s">
        <v>49</v>
      </c>
      <c r="P81" s="300" t="s">
        <v>62</v>
      </c>
      <c r="Q81" s="306">
        <v>0.3</v>
      </c>
      <c r="R81" s="608"/>
      <c r="S81" s="315"/>
      <c r="T81" s="300"/>
      <c r="U81" s="315"/>
      <c r="V81" s="284">
        <f>Table62689345679101112133[[#This Row],[Offer Value]]-Table62689345679101112133[[#This Row],[PO Value]]</f>
        <v>100144</v>
      </c>
      <c r="W81" s="300"/>
      <c r="X81" s="300"/>
      <c r="Y81" s="610"/>
    </row>
    <row r="82" spans="1:27" ht="31.2">
      <c r="A82" s="973">
        <v>61</v>
      </c>
      <c r="B82" s="1582">
        <v>45985</v>
      </c>
      <c r="C82" s="1443" t="s">
        <v>4091</v>
      </c>
      <c r="D82" s="1443" t="s">
        <v>4046</v>
      </c>
      <c r="E82" s="1443" t="s">
        <v>4147</v>
      </c>
      <c r="F82" s="944" t="s">
        <v>4092</v>
      </c>
      <c r="G82" s="944">
        <v>7838883221</v>
      </c>
      <c r="H82" s="1506" t="s">
        <v>4093</v>
      </c>
      <c r="I82" s="944" t="s">
        <v>4094</v>
      </c>
      <c r="J82" s="944" t="s">
        <v>79</v>
      </c>
      <c r="K82" s="944" t="s">
        <v>138</v>
      </c>
      <c r="L82" s="944" t="s">
        <v>4149</v>
      </c>
      <c r="M82" s="1582">
        <v>45985</v>
      </c>
      <c r="N82" s="1446">
        <v>21000</v>
      </c>
      <c r="O82" s="1446" t="s">
        <v>49</v>
      </c>
      <c r="P82" s="1446" t="s">
        <v>62</v>
      </c>
      <c r="Q82" s="1566">
        <v>1</v>
      </c>
      <c r="R82" s="2338">
        <v>130007307</v>
      </c>
      <c r="S82" s="1583">
        <v>46003</v>
      </c>
      <c r="T82" s="1446">
        <v>20700</v>
      </c>
      <c r="U82" s="1588" t="s">
        <v>62</v>
      </c>
      <c r="V82" s="976"/>
      <c r="W82" s="1446"/>
      <c r="X82" s="1446"/>
      <c r="Y82" s="1589"/>
      <c r="Z82" s="362"/>
      <c r="AA82" s="362"/>
    </row>
    <row r="83" spans="1:27" ht="15.6">
      <c r="A83" s="480">
        <v>62</v>
      </c>
      <c r="B83" s="301">
        <v>45987</v>
      </c>
      <c r="C83" s="178" t="s">
        <v>1250</v>
      </c>
      <c r="D83" s="178" t="s">
        <v>3983</v>
      </c>
      <c r="E83" s="178" t="s">
        <v>620</v>
      </c>
      <c r="F83" s="178" t="s">
        <v>4027</v>
      </c>
      <c r="G83" s="108">
        <v>9001991298</v>
      </c>
      <c r="H83" s="251" t="s">
        <v>4084</v>
      </c>
      <c r="I83" s="108" t="s">
        <v>4029</v>
      </c>
      <c r="J83" s="178" t="s">
        <v>4150</v>
      </c>
      <c r="K83" s="178" t="s">
        <v>138</v>
      </c>
      <c r="L83" s="178" t="s">
        <v>4151</v>
      </c>
      <c r="M83" s="301">
        <v>45971</v>
      </c>
      <c r="N83" s="300">
        <v>160000</v>
      </c>
      <c r="O83" s="300" t="s">
        <v>49</v>
      </c>
      <c r="P83" s="300" t="s">
        <v>62</v>
      </c>
      <c r="Q83" s="306">
        <v>0.1</v>
      </c>
      <c r="R83" s="608"/>
      <c r="S83" s="315"/>
      <c r="T83" s="300"/>
      <c r="U83" s="315"/>
      <c r="V83" s="284">
        <f>Table62689345679101112133[[#This Row],[Offer Value]]-Table62689345679101112133[[#This Row],[PO Value]]</f>
        <v>160000</v>
      </c>
      <c r="W83" s="300"/>
      <c r="X83" s="300"/>
      <c r="Y83" s="609"/>
    </row>
    <row r="84" spans="1:27" ht="15.6">
      <c r="A84" s="480">
        <v>62</v>
      </c>
      <c r="B84" s="2985"/>
      <c r="C84" s="2960"/>
      <c r="D84" s="2960"/>
      <c r="E84" s="2960"/>
      <c r="F84" s="2960"/>
      <c r="G84" s="2960"/>
      <c r="H84" s="2986"/>
      <c r="I84" s="108" t="s">
        <v>4152</v>
      </c>
      <c r="J84" s="2987"/>
      <c r="K84" s="2987"/>
      <c r="L84" s="2960"/>
      <c r="M84" s="2988"/>
      <c r="N84" s="2989"/>
      <c r="O84" s="477"/>
      <c r="P84" s="2990"/>
      <c r="Q84" s="2991"/>
      <c r="R84" s="2992"/>
      <c r="S84" s="2992"/>
      <c r="T84" s="2992"/>
      <c r="U84" s="2990"/>
      <c r="V84" s="2993"/>
      <c r="W84" s="2960"/>
      <c r="X84" s="2994"/>
      <c r="Y84" s="2995"/>
    </row>
    <row r="85" spans="1:27" ht="15.6">
      <c r="A85" s="480">
        <v>63</v>
      </c>
      <c r="B85" s="301">
        <v>45987</v>
      </c>
      <c r="C85" s="178" t="s">
        <v>1411</v>
      </c>
      <c r="D85" s="178" t="s">
        <v>4109</v>
      </c>
      <c r="E85" s="178" t="s">
        <v>4153</v>
      </c>
      <c r="F85" s="178" t="s">
        <v>4021</v>
      </c>
      <c r="G85" s="105">
        <v>9882588834</v>
      </c>
      <c r="H85" s="316" t="s">
        <v>4022</v>
      </c>
      <c r="I85" s="178" t="s">
        <v>4023</v>
      </c>
      <c r="J85" s="178" t="s">
        <v>4150</v>
      </c>
      <c r="K85" s="178" t="s">
        <v>157</v>
      </c>
      <c r="L85" s="178" t="s">
        <v>4154</v>
      </c>
      <c r="M85" s="301">
        <v>45987</v>
      </c>
      <c r="N85" s="300">
        <v>120000</v>
      </c>
      <c r="O85" s="300" t="s">
        <v>49</v>
      </c>
      <c r="P85" s="300" t="s">
        <v>62</v>
      </c>
      <c r="Q85" s="306">
        <v>0.1</v>
      </c>
      <c r="R85" s="608"/>
      <c r="S85" s="315"/>
      <c r="T85" s="300"/>
      <c r="U85" s="315"/>
      <c r="V85" s="284">
        <f>Table62689345679101112133[[#This Row],[Offer Value]]-Table62689345679101112133[[#This Row],[PO Value]]</f>
        <v>120000</v>
      </c>
      <c r="W85" s="300"/>
      <c r="X85" s="300"/>
      <c r="Y85" s="609"/>
    </row>
    <row r="86" spans="1:27" ht="15.6">
      <c r="A86" s="480">
        <v>64</v>
      </c>
      <c r="B86" s="301">
        <v>45999</v>
      </c>
      <c r="C86" s="178" t="s">
        <v>4119</v>
      </c>
      <c r="D86" s="303" t="s">
        <v>3938</v>
      </c>
      <c r="E86" s="303" t="s">
        <v>4155</v>
      </c>
      <c r="F86" s="303" t="s">
        <v>4156</v>
      </c>
      <c r="G86" s="105">
        <v>9716989365</v>
      </c>
      <c r="H86" s="182" t="s">
        <v>4157</v>
      </c>
      <c r="I86" s="178" t="s">
        <v>4158</v>
      </c>
      <c r="J86" s="178" t="s">
        <v>75</v>
      </c>
      <c r="K86" s="178" t="s">
        <v>208</v>
      </c>
      <c r="L86" s="178" t="s">
        <v>4159</v>
      </c>
      <c r="M86" s="301">
        <v>45996</v>
      </c>
      <c r="N86" s="300">
        <v>595786</v>
      </c>
      <c r="O86" s="300" t="s">
        <v>62</v>
      </c>
      <c r="P86" s="300" t="s">
        <v>25</v>
      </c>
      <c r="Q86" s="306">
        <v>0.3</v>
      </c>
      <c r="R86" s="608"/>
      <c r="S86" s="315"/>
      <c r="T86" s="300"/>
      <c r="U86" s="300"/>
      <c r="V86" s="284">
        <f>Table62689345679101112133[[#This Row],[Offer Value]]-Table62689345679101112133[[#This Row],[PO Value]]</f>
        <v>595786</v>
      </c>
      <c r="W86" s="300"/>
      <c r="X86" s="300"/>
      <c r="Y86" s="609"/>
    </row>
    <row r="87" spans="1:27" ht="15.6">
      <c r="A87" s="480">
        <v>65</v>
      </c>
      <c r="B87" s="301">
        <v>45999</v>
      </c>
      <c r="C87" s="178" t="s">
        <v>1743</v>
      </c>
      <c r="D87" s="303" t="s">
        <v>4016</v>
      </c>
      <c r="E87" s="303" t="s">
        <v>954</v>
      </c>
      <c r="F87" s="303" t="s">
        <v>4017</v>
      </c>
      <c r="G87" s="108">
        <v>8449955577</v>
      </c>
      <c r="H87" s="2365" t="s">
        <v>4018</v>
      </c>
      <c r="I87" s="105" t="s">
        <v>4019</v>
      </c>
      <c r="J87" s="115" t="s">
        <v>75</v>
      </c>
      <c r="K87" s="115" t="s">
        <v>157</v>
      </c>
      <c r="L87" s="178" t="s">
        <v>4160</v>
      </c>
      <c r="M87" s="301">
        <v>45999</v>
      </c>
      <c r="N87" s="300">
        <v>94778</v>
      </c>
      <c r="O87" s="300" t="s">
        <v>62</v>
      </c>
      <c r="P87" s="300" t="s">
        <v>62</v>
      </c>
      <c r="Q87" s="306">
        <v>0.1</v>
      </c>
      <c r="R87" s="608"/>
      <c r="S87" s="315"/>
      <c r="T87" s="300"/>
      <c r="U87" s="300"/>
      <c r="V87" s="284">
        <f>Table62689345679101112133[[#This Row],[Offer Value]]-Table62689345679101112133[[#This Row],[PO Value]]</f>
        <v>94778</v>
      </c>
      <c r="W87" s="300"/>
      <c r="X87" s="300"/>
      <c r="Y87" s="609"/>
    </row>
    <row r="88" spans="1:27" ht="15.6">
      <c r="A88" s="480">
        <v>66</v>
      </c>
      <c r="B88" s="301">
        <v>45999</v>
      </c>
      <c r="C88" s="178" t="s">
        <v>1743</v>
      </c>
      <c r="D88" s="178" t="s">
        <v>4161</v>
      </c>
      <c r="E88" s="178" t="s">
        <v>620</v>
      </c>
      <c r="F88" s="303" t="s">
        <v>4162</v>
      </c>
      <c r="G88" s="108">
        <v>8003992912</v>
      </c>
      <c r="H88" s="316" t="s">
        <v>4163</v>
      </c>
      <c r="I88" s="178" t="s">
        <v>4164</v>
      </c>
      <c r="J88" s="178" t="s">
        <v>75</v>
      </c>
      <c r="K88" s="178" t="s">
        <v>208</v>
      </c>
      <c r="L88" s="178" t="s">
        <v>4165</v>
      </c>
      <c r="M88" s="301">
        <v>45999</v>
      </c>
      <c r="N88" s="300">
        <v>150460</v>
      </c>
      <c r="O88" s="300" t="s">
        <v>62</v>
      </c>
      <c r="P88" s="300" t="s">
        <v>62</v>
      </c>
      <c r="Q88" s="306">
        <v>0.1</v>
      </c>
      <c r="R88" s="608"/>
      <c r="S88" s="320"/>
      <c r="T88" s="300"/>
      <c r="U88" s="315"/>
      <c r="V88" s="284">
        <f>Table62689345679101112133[[#This Row],[Offer Value]]-Table62689345679101112133[[#This Row],[PO Value]]</f>
        <v>150460</v>
      </c>
      <c r="W88" s="300"/>
      <c r="X88" s="300"/>
      <c r="Y88" s="610"/>
    </row>
    <row r="89" spans="1:27" ht="15.6">
      <c r="A89" s="480"/>
      <c r="B89" s="300"/>
      <c r="C89" s="178"/>
      <c r="D89" s="178"/>
      <c r="E89" s="178"/>
      <c r="F89" s="303"/>
      <c r="G89" s="178"/>
      <c r="H89" s="316"/>
      <c r="I89" s="178"/>
      <c r="J89" s="178"/>
      <c r="K89" s="178"/>
      <c r="L89" s="457"/>
      <c r="M89" s="300"/>
      <c r="N89" s="300"/>
      <c r="O89" s="300"/>
      <c r="P89" s="300"/>
      <c r="Q89" s="306"/>
      <c r="R89" s="608"/>
      <c r="S89" s="320"/>
      <c r="T89" s="300"/>
      <c r="U89" s="315"/>
      <c r="V89" s="284">
        <f>Table62689345679101112133[[#This Row],[Offer Value]]-Table62689345679101112133[[#This Row],[PO Value]]</f>
        <v>0</v>
      </c>
      <c r="W89" s="300"/>
      <c r="X89" s="300"/>
      <c r="Y89" s="610"/>
    </row>
    <row r="90" spans="1:27" ht="15.6">
      <c r="A90" s="480"/>
      <c r="B90" s="300"/>
      <c r="C90" s="178"/>
      <c r="D90" s="178"/>
      <c r="E90" s="178"/>
      <c r="F90" s="303"/>
      <c r="G90" s="178"/>
      <c r="H90" s="316"/>
      <c r="I90" s="178"/>
      <c r="J90" s="178"/>
      <c r="K90" s="178"/>
      <c r="L90" s="457"/>
      <c r="M90" s="300"/>
      <c r="N90" s="300"/>
      <c r="O90" s="300"/>
      <c r="P90" s="300"/>
      <c r="Q90" s="306"/>
      <c r="R90" s="608"/>
      <c r="S90" s="320"/>
      <c r="T90" s="300"/>
      <c r="U90" s="315"/>
      <c r="V90" s="284">
        <f>Table62689345679101112133[[#This Row],[Offer Value]]-Table62689345679101112133[[#This Row],[PO Value]]</f>
        <v>0</v>
      </c>
      <c r="W90" s="300"/>
      <c r="X90" s="300"/>
      <c r="Y90" s="610"/>
    </row>
    <row r="91" spans="1:27" ht="15.6">
      <c r="A91" s="480"/>
      <c r="B91" s="300"/>
      <c r="C91" s="178"/>
      <c r="D91" s="178"/>
      <c r="E91" s="178"/>
      <c r="F91" s="303"/>
      <c r="G91" s="178"/>
      <c r="H91" s="316"/>
      <c r="I91" s="178"/>
      <c r="J91" s="178"/>
      <c r="K91" s="178"/>
      <c r="L91" s="457"/>
      <c r="M91" s="300"/>
      <c r="N91" s="300"/>
      <c r="O91" s="300"/>
      <c r="P91" s="300"/>
      <c r="Q91" s="306"/>
      <c r="R91" s="608"/>
      <c r="S91" s="320"/>
      <c r="T91" s="300"/>
      <c r="U91" s="315"/>
      <c r="V91" s="284">
        <f>Table62689345679101112133[[#This Row],[Offer Value]]-Table62689345679101112133[[#This Row],[PO Value]]</f>
        <v>0</v>
      </c>
      <c r="W91" s="300"/>
      <c r="X91" s="300"/>
      <c r="Y91" s="610"/>
    </row>
    <row r="92" spans="1:27" ht="15.6">
      <c r="A92" s="480"/>
      <c r="B92" s="300"/>
      <c r="C92" s="178"/>
      <c r="D92" s="178"/>
      <c r="E92" s="178"/>
      <c r="F92" s="303"/>
      <c r="G92" s="178"/>
      <c r="H92" s="316"/>
      <c r="I92" s="178"/>
      <c r="J92" s="178"/>
      <c r="K92" s="178"/>
      <c r="L92" s="457"/>
      <c r="M92" s="300"/>
      <c r="N92" s="300"/>
      <c r="O92" s="300"/>
      <c r="P92" s="300"/>
      <c r="Q92" s="306"/>
      <c r="R92" s="608"/>
      <c r="S92" s="320"/>
      <c r="T92" s="300"/>
      <c r="U92" s="315"/>
      <c r="V92" s="284">
        <f>Table62689345679101112133[[#This Row],[Offer Value]]-Table62689345679101112133[[#This Row],[PO Value]]</f>
        <v>0</v>
      </c>
      <c r="W92" s="300"/>
      <c r="X92" s="300"/>
      <c r="Y92" s="610"/>
    </row>
    <row r="93" spans="1:27" ht="15.6">
      <c r="A93" s="480"/>
      <c r="B93" s="300"/>
      <c r="C93" s="178"/>
      <c r="D93" s="178"/>
      <c r="E93" s="178"/>
      <c r="F93" s="303"/>
      <c r="G93" s="178"/>
      <c r="H93" s="316"/>
      <c r="I93" s="178"/>
      <c r="J93" s="178"/>
      <c r="K93" s="178"/>
      <c r="L93" s="457"/>
      <c r="M93" s="300"/>
      <c r="N93" s="300"/>
      <c r="O93" s="300"/>
      <c r="P93" s="300"/>
      <c r="Q93" s="306"/>
      <c r="R93" s="608"/>
      <c r="S93" s="320"/>
      <c r="T93" s="300"/>
      <c r="U93" s="315"/>
      <c r="V93" s="284">
        <f>Table62689345679101112133[[#This Row],[Offer Value]]-Table62689345679101112133[[#This Row],[PO Value]]</f>
        <v>0</v>
      </c>
      <c r="W93" s="300"/>
      <c r="X93" s="300"/>
      <c r="Y93" s="610"/>
    </row>
    <row r="94" spans="1:27" ht="15.6">
      <c r="A94" s="480"/>
      <c r="B94" s="300"/>
      <c r="C94" s="178"/>
      <c r="D94" s="178"/>
      <c r="E94" s="178"/>
      <c r="F94" s="178"/>
      <c r="G94" s="178"/>
      <c r="H94" s="316"/>
      <c r="I94" s="178"/>
      <c r="J94" s="178"/>
      <c r="K94" s="178"/>
      <c r="L94" s="457"/>
      <c r="M94" s="300"/>
      <c r="N94" s="300"/>
      <c r="O94" s="300"/>
      <c r="P94" s="300"/>
      <c r="Q94" s="306"/>
      <c r="R94" s="608"/>
      <c r="S94" s="315"/>
      <c r="T94" s="300"/>
      <c r="U94" s="315"/>
      <c r="V94" s="284">
        <f>Table62689345679101112133[[#This Row],[Offer Value]]-Table62689345679101112133[[#This Row],[PO Value]]</f>
        <v>0</v>
      </c>
      <c r="W94" s="300"/>
      <c r="X94" s="300"/>
      <c r="Y94" s="610"/>
    </row>
    <row r="95" spans="1:27" ht="15.6">
      <c r="A95" s="480"/>
      <c r="B95" s="300"/>
      <c r="C95" s="178"/>
      <c r="D95" s="178"/>
      <c r="E95" s="178"/>
      <c r="F95" s="178"/>
      <c r="G95" s="178"/>
      <c r="H95" s="316"/>
      <c r="I95" s="178"/>
      <c r="J95" s="178"/>
      <c r="K95" s="178"/>
      <c r="L95" s="457"/>
      <c r="M95" s="300"/>
      <c r="N95" s="300"/>
      <c r="O95" s="300"/>
      <c r="P95" s="300"/>
      <c r="Q95" s="306"/>
      <c r="R95" s="608"/>
      <c r="S95" s="315"/>
      <c r="T95" s="300"/>
      <c r="U95" s="315"/>
      <c r="V95" s="284">
        <f>Table62689345679101112133[[#This Row],[Offer Value]]-Table62689345679101112133[[#This Row],[PO Value]]</f>
        <v>0</v>
      </c>
      <c r="W95" s="300"/>
      <c r="X95" s="300"/>
      <c r="Y95" s="610"/>
    </row>
    <row r="96" spans="1:27" ht="15.6">
      <c r="A96" s="480"/>
      <c r="B96" s="300"/>
      <c r="C96" s="178"/>
      <c r="D96" s="178"/>
      <c r="E96" s="178"/>
      <c r="F96" s="178"/>
      <c r="G96" s="178"/>
      <c r="H96" s="316"/>
      <c r="I96" s="178"/>
      <c r="J96" s="178"/>
      <c r="K96" s="178"/>
      <c r="L96" s="457"/>
      <c r="M96" s="300"/>
      <c r="N96" s="300"/>
      <c r="O96" s="300"/>
      <c r="P96" s="300"/>
      <c r="Q96" s="306"/>
      <c r="R96" s="608"/>
      <c r="S96" s="315"/>
      <c r="T96" s="300"/>
      <c r="U96" s="315"/>
      <c r="V96" s="284">
        <f>Table62689345679101112133[[#This Row],[Offer Value]]-Table62689345679101112133[[#This Row],[PO Value]]</f>
        <v>0</v>
      </c>
      <c r="W96" s="300"/>
      <c r="X96" s="300"/>
      <c r="Y96" s="610"/>
    </row>
    <row r="97" spans="1:25" ht="15.6">
      <c r="A97" s="480"/>
      <c r="B97" s="300"/>
      <c r="C97" s="178"/>
      <c r="D97" s="178"/>
      <c r="E97" s="178"/>
      <c r="F97" s="178"/>
      <c r="G97" s="178"/>
      <c r="H97" s="316"/>
      <c r="I97" s="304"/>
      <c r="J97" s="178"/>
      <c r="K97" s="178"/>
      <c r="L97" s="457"/>
      <c r="M97" s="300"/>
      <c r="N97" s="300"/>
      <c r="O97" s="300"/>
      <c r="P97" s="300"/>
      <c r="Q97" s="306"/>
      <c r="R97" s="608"/>
      <c r="S97" s="315"/>
      <c r="T97" s="300"/>
      <c r="U97" s="315"/>
      <c r="V97" s="284">
        <f>Table62689345679101112133[[#This Row],[Offer Value]]-Table62689345679101112133[[#This Row],[PO Value]]</f>
        <v>0</v>
      </c>
      <c r="W97" s="300"/>
      <c r="X97" s="300"/>
      <c r="Y97" s="610"/>
    </row>
    <row r="98" spans="1:25" ht="15.6">
      <c r="A98" s="480"/>
      <c r="B98" s="300"/>
      <c r="C98" s="304"/>
      <c r="D98" s="304"/>
      <c r="E98" s="304"/>
      <c r="F98" s="178"/>
      <c r="G98" s="304"/>
      <c r="H98" s="182"/>
      <c r="I98" s="304"/>
      <c r="J98" s="178"/>
      <c r="K98" s="178"/>
      <c r="L98" s="457"/>
      <c r="M98" s="300"/>
      <c r="N98" s="300"/>
      <c r="O98" s="300"/>
      <c r="P98" s="300"/>
      <c r="Q98" s="306"/>
      <c r="R98" s="302"/>
      <c r="S98" s="301"/>
      <c r="T98" s="300"/>
      <c r="U98" s="300"/>
      <c r="V98" s="284">
        <f>Table62689345679101112133[[#This Row],[Offer Value]]-Table62689345679101112133[[#This Row],[PO Value]]</f>
        <v>0</v>
      </c>
      <c r="W98" s="300"/>
      <c r="X98" s="300"/>
      <c r="Y98" s="610"/>
    </row>
    <row r="99" spans="1:25" ht="15.6">
      <c r="A99" s="480"/>
      <c r="B99" s="300"/>
      <c r="C99" s="304"/>
      <c r="D99" s="304"/>
      <c r="E99" s="304"/>
      <c r="F99" s="178"/>
      <c r="G99" s="304"/>
      <c r="H99" s="182"/>
      <c r="I99" s="304"/>
      <c r="J99" s="178"/>
      <c r="K99" s="178"/>
      <c r="L99" s="457"/>
      <c r="M99" s="300"/>
      <c r="N99" s="300"/>
      <c r="O99" s="300"/>
      <c r="P99" s="300"/>
      <c r="Q99" s="306"/>
      <c r="R99" s="302"/>
      <c r="S99" s="301"/>
      <c r="T99" s="300"/>
      <c r="U99" s="300"/>
      <c r="V99" s="284">
        <f>Table62689345679101112133[[#This Row],[Offer Value]]-Table62689345679101112133[[#This Row],[PO Value]]</f>
        <v>0</v>
      </c>
      <c r="W99" s="300"/>
      <c r="X99" s="300"/>
      <c r="Y99" s="610"/>
    </row>
    <row r="100" spans="1:25" ht="15.6">
      <c r="A100" s="480"/>
      <c r="B100" s="300"/>
      <c r="C100" s="304"/>
      <c r="D100" s="304"/>
      <c r="E100" s="304"/>
      <c r="F100" s="178"/>
      <c r="G100" s="304"/>
      <c r="H100" s="182"/>
      <c r="I100" s="304"/>
      <c r="J100" s="178"/>
      <c r="K100" s="178"/>
      <c r="L100" s="457"/>
      <c r="M100" s="300"/>
      <c r="N100" s="300"/>
      <c r="O100" s="300"/>
      <c r="P100" s="300"/>
      <c r="Q100" s="306"/>
      <c r="R100" s="302"/>
      <c r="S100" s="301"/>
      <c r="T100" s="300"/>
      <c r="U100" s="300"/>
      <c r="V100" s="284">
        <f>Table62689345679101112133[[#This Row],[Offer Value]]-Table62689345679101112133[[#This Row],[PO Value]]</f>
        <v>0</v>
      </c>
      <c r="W100" s="300"/>
      <c r="X100" s="300"/>
      <c r="Y100" s="610"/>
    </row>
    <row r="101" spans="1:25" ht="15.6">
      <c r="A101" s="480"/>
      <c r="B101" s="300"/>
      <c r="C101" s="304"/>
      <c r="D101" s="304"/>
      <c r="E101" s="304"/>
      <c r="F101" s="178"/>
      <c r="G101" s="304"/>
      <c r="H101" s="182"/>
      <c r="I101" s="304"/>
      <c r="J101" s="178"/>
      <c r="K101" s="178"/>
      <c r="L101" s="457"/>
      <c r="M101" s="300"/>
      <c r="N101" s="300"/>
      <c r="O101" s="300"/>
      <c r="P101" s="300"/>
      <c r="Q101" s="306"/>
      <c r="R101" s="302"/>
      <c r="S101" s="301"/>
      <c r="T101" s="300"/>
      <c r="U101" s="300"/>
      <c r="V101" s="284">
        <f>Table62689345679101112133[[#This Row],[Offer Value]]-Table62689345679101112133[[#This Row],[PO Value]]</f>
        <v>0</v>
      </c>
      <c r="W101" s="300"/>
      <c r="X101" s="300"/>
      <c r="Y101" s="610"/>
    </row>
    <row r="102" spans="1:25" ht="15.6">
      <c r="A102" s="480"/>
      <c r="B102" s="301"/>
      <c r="C102" s="304"/>
      <c r="D102" s="304"/>
      <c r="E102" s="304"/>
      <c r="F102" s="304"/>
      <c r="G102" s="304"/>
      <c r="H102" s="182"/>
      <c r="I102" s="304"/>
      <c r="J102" s="178"/>
      <c r="K102" s="178"/>
      <c r="L102" s="178"/>
      <c r="M102" s="317"/>
      <c r="N102" s="300"/>
      <c r="O102" s="300"/>
      <c r="P102" s="300"/>
      <c r="Q102" s="306"/>
      <c r="R102" s="302"/>
      <c r="S102" s="301"/>
      <c r="T102" s="300"/>
      <c r="U102" s="300"/>
      <c r="V102" s="284">
        <f>Table62689345679101112133[[#This Row],[Offer Value]]-Table62689345679101112133[[#This Row],[PO Value]]</f>
        <v>0</v>
      </c>
      <c r="W102" s="300"/>
      <c r="X102" s="300"/>
      <c r="Y102" s="611"/>
    </row>
    <row r="103" spans="1:25" ht="15.6">
      <c r="A103" s="480"/>
      <c r="B103" s="301"/>
      <c r="C103" s="304"/>
      <c r="D103" s="178"/>
      <c r="E103" s="178"/>
      <c r="F103" s="178"/>
      <c r="G103" s="178"/>
      <c r="H103" s="316"/>
      <c r="I103" s="178"/>
      <c r="J103" s="178"/>
      <c r="K103" s="178"/>
      <c r="L103" s="178"/>
      <c r="M103" s="317"/>
      <c r="N103" s="300"/>
      <c r="O103" s="300"/>
      <c r="P103" s="300"/>
      <c r="Q103" s="306"/>
      <c r="R103" s="302"/>
      <c r="S103" s="300"/>
      <c r="T103" s="300"/>
      <c r="U103" s="300"/>
      <c r="V103" s="284">
        <f>Table62689345679101112133[[#This Row],[Offer Value]]-Table62689345679101112133[[#This Row],[PO Value]]</f>
        <v>0</v>
      </c>
      <c r="W103" s="300"/>
      <c r="X103" s="300"/>
      <c r="Y103" s="611"/>
    </row>
    <row r="104" spans="1:25" ht="15.6">
      <c r="A104" s="480"/>
      <c r="B104" s="301"/>
      <c r="C104" s="304"/>
      <c r="D104" s="304"/>
      <c r="E104" s="178"/>
      <c r="F104" s="178"/>
      <c r="G104" s="178"/>
      <c r="H104" s="316"/>
      <c r="I104" s="178"/>
      <c r="J104" s="178"/>
      <c r="K104" s="178"/>
      <c r="L104" s="178"/>
      <c r="M104" s="317"/>
      <c r="N104" s="300"/>
      <c r="O104" s="300"/>
      <c r="P104" s="300"/>
      <c r="Q104" s="306"/>
      <c r="R104" s="302"/>
      <c r="S104" s="300"/>
      <c r="T104" s="300"/>
      <c r="U104" s="300"/>
      <c r="V104" s="284">
        <f>Table62689345679101112133[[#This Row],[Offer Value]]-Table62689345679101112133[[#This Row],[PO Value]]</f>
        <v>0</v>
      </c>
      <c r="W104" s="300"/>
      <c r="X104" s="300"/>
      <c r="Y104" s="611"/>
    </row>
    <row r="105" spans="1:25" ht="15.6">
      <c r="A105" s="480"/>
      <c r="B105" s="301"/>
      <c r="C105" s="304"/>
      <c r="D105" s="304"/>
      <c r="E105" s="304"/>
      <c r="F105" s="304"/>
      <c r="G105" s="304"/>
      <c r="H105" s="182"/>
      <c r="I105" s="303"/>
      <c r="J105" s="178"/>
      <c r="K105" s="178"/>
      <c r="L105" s="178"/>
      <c r="M105" s="317"/>
      <c r="N105" s="300"/>
      <c r="O105" s="300"/>
      <c r="P105" s="300"/>
      <c r="Q105" s="306"/>
      <c r="R105" s="302"/>
      <c r="S105" s="300"/>
      <c r="T105" s="300"/>
      <c r="U105" s="300"/>
      <c r="V105" s="284">
        <f>Table62689345679101112133[[#This Row],[Offer Value]]-Table62689345679101112133[[#This Row],[PO Value]]</f>
        <v>0</v>
      </c>
      <c r="W105" s="300"/>
      <c r="X105" s="300"/>
      <c r="Y105" s="611"/>
    </row>
    <row r="106" spans="1:25" ht="15.6">
      <c r="A106" s="480"/>
      <c r="B106" s="301"/>
      <c r="C106" s="304"/>
      <c r="D106" s="304"/>
      <c r="E106" s="304"/>
      <c r="F106" s="304"/>
      <c r="G106" s="304"/>
      <c r="H106" s="182"/>
      <c r="I106" s="303"/>
      <c r="J106" s="178"/>
      <c r="K106" s="178"/>
      <c r="L106" s="178"/>
      <c r="M106" s="317"/>
      <c r="N106" s="300"/>
      <c r="O106" s="300"/>
      <c r="P106" s="300"/>
      <c r="Q106" s="306"/>
      <c r="R106" s="302"/>
      <c r="S106" s="300"/>
      <c r="T106" s="300"/>
      <c r="U106" s="300"/>
      <c r="V106" s="284">
        <f>Table62689345679101112133[[#This Row],[Offer Value]]-Table62689345679101112133[[#This Row],[PO Value]]</f>
        <v>0</v>
      </c>
      <c r="W106" s="300"/>
      <c r="X106" s="300"/>
      <c r="Y106" s="611"/>
    </row>
    <row r="107" spans="1:25" ht="15.6">
      <c r="A107" s="480"/>
      <c r="B107" s="300"/>
      <c r="C107" s="304"/>
      <c r="D107" s="178"/>
      <c r="E107" s="178"/>
      <c r="F107" s="178"/>
      <c r="G107" s="303"/>
      <c r="H107" s="182"/>
      <c r="I107" s="178"/>
      <c r="J107" s="178"/>
      <c r="K107" s="178"/>
      <c r="L107" s="178"/>
      <c r="M107" s="178"/>
      <c r="N107" s="300"/>
      <c r="O107" s="300"/>
      <c r="P107" s="300"/>
      <c r="Q107" s="306"/>
      <c r="R107" s="302"/>
      <c r="S107" s="300"/>
      <c r="T107" s="300"/>
      <c r="U107" s="300"/>
      <c r="V107" s="284">
        <f>Table62689345679101112133[[#This Row],[Offer Value]]-Table62689345679101112133[[#This Row],[PO Value]]</f>
        <v>0</v>
      </c>
      <c r="W107" s="300"/>
      <c r="X107" s="300"/>
      <c r="Y107" s="611"/>
    </row>
    <row r="108" spans="1:25" ht="15.6">
      <c r="A108" s="480"/>
      <c r="B108" s="300"/>
      <c r="C108" s="304"/>
      <c r="D108" s="303"/>
      <c r="E108" s="303"/>
      <c r="F108" s="303"/>
      <c r="G108" s="303"/>
      <c r="H108" s="182"/>
      <c r="I108" s="304"/>
      <c r="J108" s="178"/>
      <c r="K108" s="178"/>
      <c r="L108" s="178"/>
      <c r="M108" s="178"/>
      <c r="N108" s="300"/>
      <c r="O108" s="300"/>
      <c r="P108" s="300"/>
      <c r="Q108" s="306"/>
      <c r="R108" s="302"/>
      <c r="S108" s="300"/>
      <c r="T108" s="300"/>
      <c r="U108" s="300"/>
      <c r="V108" s="284">
        <f>Table62689345679101112133[[#This Row],[Offer Value]]-Table62689345679101112133[[#This Row],[PO Value]]</f>
        <v>0</v>
      </c>
      <c r="W108" s="300"/>
      <c r="X108" s="300"/>
      <c r="Y108" s="611"/>
    </row>
    <row r="109" spans="1:25" ht="15.6">
      <c r="A109" s="480"/>
      <c r="B109" s="300"/>
      <c r="C109" s="304"/>
      <c r="D109" s="304"/>
      <c r="E109" s="304"/>
      <c r="F109" s="304"/>
      <c r="G109" s="304"/>
      <c r="H109" s="182"/>
      <c r="I109" s="304"/>
      <c r="J109" s="178"/>
      <c r="K109" s="178"/>
      <c r="L109" s="178"/>
      <c r="M109" s="178"/>
      <c r="N109" s="300"/>
      <c r="O109" s="300"/>
      <c r="P109" s="300"/>
      <c r="Q109" s="306"/>
      <c r="R109" s="302"/>
      <c r="S109" s="301"/>
      <c r="T109" s="300"/>
      <c r="U109" s="300"/>
      <c r="V109" s="284">
        <f>Table62689345679101112133[[#This Row],[Offer Value]]-Table62689345679101112133[[#This Row],[PO Value]]</f>
        <v>0</v>
      </c>
      <c r="W109" s="300"/>
      <c r="X109" s="300"/>
      <c r="Y109" s="612"/>
    </row>
    <row r="110" spans="1:25" ht="15.6">
      <c r="A110" s="480"/>
      <c r="B110" s="300"/>
      <c r="C110" s="304"/>
      <c r="D110" s="304"/>
      <c r="E110" s="304"/>
      <c r="F110" s="304"/>
      <c r="G110" s="304"/>
      <c r="H110" s="182"/>
      <c r="I110" s="304"/>
      <c r="J110" s="178"/>
      <c r="K110" s="178"/>
      <c r="L110" s="178"/>
      <c r="M110" s="178"/>
      <c r="N110" s="300"/>
      <c r="O110" s="300"/>
      <c r="P110" s="300"/>
      <c r="Q110" s="306"/>
      <c r="R110" s="302"/>
      <c r="S110" s="300"/>
      <c r="T110" s="300"/>
      <c r="U110" s="300"/>
      <c r="V110" s="284">
        <f>Table62689345679101112133[[#This Row],[Offer Value]]-Table62689345679101112133[[#This Row],[PO Value]]</f>
        <v>0</v>
      </c>
      <c r="W110" s="300"/>
      <c r="X110" s="300"/>
      <c r="Y110" s="611"/>
    </row>
    <row r="111" spans="1:25" ht="15.6">
      <c r="A111" s="480"/>
      <c r="B111" s="301"/>
      <c r="C111" s="304"/>
      <c r="D111" s="304"/>
      <c r="E111" s="304"/>
      <c r="F111" s="304"/>
      <c r="G111" s="304"/>
      <c r="H111" s="182"/>
      <c r="I111" s="303"/>
      <c r="J111" s="178"/>
      <c r="K111" s="178"/>
      <c r="L111" s="178"/>
      <c r="M111" s="317"/>
      <c r="N111" s="300"/>
      <c r="O111" s="300"/>
      <c r="P111" s="300"/>
      <c r="Q111" s="306"/>
      <c r="R111" s="302"/>
      <c r="S111" s="301"/>
      <c r="T111" s="300"/>
      <c r="U111" s="300"/>
      <c r="V111" s="284">
        <f>Table62689345679101112133[[#This Row],[Offer Value]]-Table62689345679101112133[[#This Row],[PO Value]]</f>
        <v>0</v>
      </c>
      <c r="W111" s="300"/>
      <c r="X111" s="300"/>
      <c r="Y111" s="612"/>
    </row>
    <row r="112" spans="1:25" ht="15.6">
      <c r="A112" s="480"/>
      <c r="B112" s="301"/>
      <c r="C112" s="304"/>
      <c r="D112" s="303"/>
      <c r="E112" s="304"/>
      <c r="F112" s="304"/>
      <c r="G112" s="304"/>
      <c r="H112" s="182"/>
      <c r="I112" s="304"/>
      <c r="J112" s="178"/>
      <c r="K112" s="178"/>
      <c r="L112" s="457"/>
      <c r="M112" s="305"/>
      <c r="N112" s="300"/>
      <c r="O112" s="300"/>
      <c r="P112" s="300"/>
      <c r="Q112" s="306"/>
      <c r="R112" s="302"/>
      <c r="S112" s="301"/>
      <c r="T112" s="300"/>
      <c r="U112" s="300"/>
      <c r="V112" s="284">
        <f>Table62689345679101112133[[#This Row],[Offer Value]]-Table62689345679101112133[[#This Row],[PO Value]]</f>
        <v>0</v>
      </c>
      <c r="W112" s="300"/>
      <c r="X112" s="300"/>
      <c r="Y112" s="611"/>
    </row>
    <row r="113" spans="1:25" ht="15.6">
      <c r="A113" s="480"/>
      <c r="B113" s="300"/>
      <c r="C113" s="304"/>
      <c r="D113" s="303"/>
      <c r="E113" s="304"/>
      <c r="F113" s="304"/>
      <c r="G113" s="304"/>
      <c r="H113" s="182"/>
      <c r="I113" s="304"/>
      <c r="J113" s="178"/>
      <c r="K113" s="178"/>
      <c r="L113" s="457"/>
      <c r="M113" s="305"/>
      <c r="N113" s="300"/>
      <c r="O113" s="300"/>
      <c r="P113" s="300"/>
      <c r="Q113" s="306"/>
      <c r="R113" s="302"/>
      <c r="S113" s="301"/>
      <c r="T113" s="300"/>
      <c r="U113" s="300"/>
      <c r="V113" s="284">
        <f>Table62689345679101112133[[#This Row],[Offer Value]]-Table62689345679101112133[[#This Row],[PO Value]]</f>
        <v>0</v>
      </c>
      <c r="W113" s="300"/>
      <c r="X113" s="300"/>
      <c r="Y113" s="611"/>
    </row>
    <row r="114" spans="1:25" ht="15.6">
      <c r="A114" s="480"/>
      <c r="B114" s="300"/>
      <c r="C114" s="304"/>
      <c r="D114" s="303"/>
      <c r="E114" s="304"/>
      <c r="F114" s="304"/>
      <c r="G114" s="304"/>
      <c r="H114" s="182"/>
      <c r="I114" s="304"/>
      <c r="J114" s="178"/>
      <c r="K114" s="178"/>
      <c r="L114" s="457"/>
      <c r="M114" s="305"/>
      <c r="N114" s="300"/>
      <c r="O114" s="300"/>
      <c r="P114" s="300"/>
      <c r="Q114" s="306"/>
      <c r="R114" s="302"/>
      <c r="S114" s="301"/>
      <c r="T114" s="300"/>
      <c r="U114" s="300"/>
      <c r="V114" s="284">
        <f>Table62689345679101112133[[#This Row],[Offer Value]]-Table62689345679101112133[[#This Row],[PO Value]]</f>
        <v>0</v>
      </c>
      <c r="W114" s="300"/>
      <c r="X114" s="300"/>
      <c r="Y114" s="611"/>
    </row>
    <row r="115" spans="1:25" ht="15.6">
      <c r="A115" s="480"/>
      <c r="B115" s="300"/>
      <c r="C115" s="304"/>
      <c r="D115" s="303"/>
      <c r="E115" s="304"/>
      <c r="F115" s="304"/>
      <c r="G115" s="304"/>
      <c r="H115" s="182"/>
      <c r="I115" s="304"/>
      <c r="J115" s="178"/>
      <c r="K115" s="178"/>
      <c r="L115" s="457"/>
      <c r="M115" s="305"/>
      <c r="N115" s="300"/>
      <c r="O115" s="300"/>
      <c r="P115" s="300"/>
      <c r="Q115" s="306"/>
      <c r="R115" s="302"/>
      <c r="S115" s="301"/>
      <c r="T115" s="300"/>
      <c r="U115" s="300"/>
      <c r="V115" s="284">
        <f>Table62689345679101112133[[#This Row],[Offer Value]]-Table62689345679101112133[[#This Row],[PO Value]]</f>
        <v>0</v>
      </c>
      <c r="W115" s="300"/>
      <c r="X115" s="300"/>
      <c r="Y115" s="611"/>
    </row>
    <row r="116" spans="1:25" ht="15.6">
      <c r="A116" s="480"/>
      <c r="B116" s="300"/>
      <c r="C116" s="304"/>
      <c r="D116" s="303"/>
      <c r="E116" s="304"/>
      <c r="F116" s="304"/>
      <c r="G116" s="304"/>
      <c r="H116" s="182"/>
      <c r="I116" s="304"/>
      <c r="J116" s="178"/>
      <c r="K116" s="178"/>
      <c r="L116" s="457"/>
      <c r="M116" s="305"/>
      <c r="N116" s="300"/>
      <c r="O116" s="300"/>
      <c r="P116" s="300"/>
      <c r="Q116" s="306"/>
      <c r="R116" s="302"/>
      <c r="S116" s="301"/>
      <c r="T116" s="300"/>
      <c r="U116" s="300"/>
      <c r="V116" s="284">
        <f>Table62689345679101112133[[#This Row],[Offer Value]]-Table62689345679101112133[[#This Row],[PO Value]]</f>
        <v>0</v>
      </c>
      <c r="W116" s="300"/>
      <c r="X116" s="300"/>
      <c r="Y116" s="611"/>
    </row>
    <row r="117" spans="1:25" ht="15.6">
      <c r="A117" s="480"/>
      <c r="B117" s="300"/>
      <c r="C117" s="304"/>
      <c r="D117" s="304"/>
      <c r="E117" s="304"/>
      <c r="F117" s="304"/>
      <c r="G117" s="304"/>
      <c r="H117" s="182"/>
      <c r="I117" s="304"/>
      <c r="J117" s="178"/>
      <c r="K117" s="178"/>
      <c r="L117" s="457"/>
      <c r="M117" s="304"/>
      <c r="N117" s="300"/>
      <c r="O117" s="300"/>
      <c r="P117" s="300"/>
      <c r="Q117" s="306"/>
      <c r="R117" s="302"/>
      <c r="S117" s="301"/>
      <c r="T117" s="300"/>
      <c r="U117" s="300"/>
      <c r="V117" s="284">
        <f>Table62689345679101112133[[#This Row],[Offer Value]]-Table62689345679101112133[[#This Row],[PO Value]]</f>
        <v>0</v>
      </c>
      <c r="W117" s="300"/>
      <c r="X117" s="300"/>
      <c r="Y117" s="611"/>
    </row>
    <row r="118" spans="1:25" ht="15.6">
      <c r="A118" s="480"/>
      <c r="B118" s="300"/>
      <c r="C118" s="304"/>
      <c r="D118" s="304"/>
      <c r="E118" s="304"/>
      <c r="F118" s="304"/>
      <c r="G118" s="304"/>
      <c r="H118" s="182"/>
      <c r="I118" s="304"/>
      <c r="J118" s="178"/>
      <c r="K118" s="178"/>
      <c r="L118" s="457"/>
      <c r="M118" s="304"/>
      <c r="N118" s="300"/>
      <c r="O118" s="300"/>
      <c r="P118" s="300"/>
      <c r="Q118" s="306"/>
      <c r="R118" s="302"/>
      <c r="S118" s="301"/>
      <c r="T118" s="300"/>
      <c r="U118" s="300"/>
      <c r="V118" s="284">
        <f>Table62689345679101112133[[#This Row],[Offer Value]]-Table62689345679101112133[[#This Row],[PO Value]]</f>
        <v>0</v>
      </c>
      <c r="W118" s="300"/>
      <c r="X118" s="300"/>
      <c r="Y118" s="612"/>
    </row>
    <row r="119" spans="1:25" ht="15.6">
      <c r="A119" s="480"/>
      <c r="B119" s="300"/>
      <c r="C119" s="304"/>
      <c r="D119" s="304"/>
      <c r="E119" s="304"/>
      <c r="F119" s="304"/>
      <c r="G119" s="304"/>
      <c r="H119" s="182"/>
      <c r="I119" s="304"/>
      <c r="J119" s="178"/>
      <c r="K119" s="178"/>
      <c r="L119" s="457"/>
      <c r="M119" s="304"/>
      <c r="N119" s="300"/>
      <c r="O119" s="300"/>
      <c r="P119" s="300"/>
      <c r="Q119" s="306"/>
      <c r="R119" s="302"/>
      <c r="S119" s="301"/>
      <c r="T119" s="300"/>
      <c r="U119" s="300"/>
      <c r="V119" s="284">
        <f>Table62689345679101112133[[#This Row],[Offer Value]]-Table62689345679101112133[[#This Row],[PO Value]]</f>
        <v>0</v>
      </c>
      <c r="W119" s="300"/>
      <c r="X119" s="300"/>
      <c r="Y119" s="612"/>
    </row>
    <row r="120" spans="1:25" ht="15.6">
      <c r="A120" s="480"/>
      <c r="B120" s="300"/>
      <c r="C120" s="304"/>
      <c r="D120" s="304"/>
      <c r="E120" s="304"/>
      <c r="F120" s="304"/>
      <c r="G120" s="304"/>
      <c r="H120" s="182"/>
      <c r="I120" s="304"/>
      <c r="J120" s="178"/>
      <c r="K120" s="178"/>
      <c r="L120" s="457"/>
      <c r="M120" s="304"/>
      <c r="N120" s="300"/>
      <c r="O120" s="300"/>
      <c r="P120" s="300"/>
      <c r="Q120" s="306"/>
      <c r="R120" s="302"/>
      <c r="S120" s="301"/>
      <c r="T120" s="300"/>
      <c r="U120" s="300"/>
      <c r="V120" s="284">
        <f>Table62689345679101112133[[#This Row],[Offer Value]]-Table62689345679101112133[[#This Row],[PO Value]]</f>
        <v>0</v>
      </c>
      <c r="W120" s="300"/>
      <c r="X120" s="300"/>
      <c r="Y120" s="612"/>
    </row>
    <row r="121" spans="1:25" ht="15.6">
      <c r="A121" s="480"/>
      <c r="B121" s="300"/>
      <c r="C121" s="304"/>
      <c r="D121" s="304"/>
      <c r="E121" s="304"/>
      <c r="F121" s="304"/>
      <c r="G121" s="304"/>
      <c r="H121" s="182"/>
      <c r="I121" s="303"/>
      <c r="J121" s="178"/>
      <c r="K121" s="178"/>
      <c r="L121" s="457"/>
      <c r="M121" s="304"/>
      <c r="N121" s="300"/>
      <c r="O121" s="300"/>
      <c r="P121" s="300"/>
      <c r="Q121" s="306"/>
      <c r="R121" s="302"/>
      <c r="S121" s="301"/>
      <c r="T121" s="300"/>
      <c r="U121" s="300"/>
      <c r="V121" s="284">
        <f>Table62689345679101112133[[#This Row],[Offer Value]]-Table62689345679101112133[[#This Row],[PO Value]]</f>
        <v>0</v>
      </c>
      <c r="W121" s="300"/>
      <c r="X121" s="300"/>
      <c r="Y121" s="612"/>
    </row>
    <row r="122" spans="1:25" ht="15.6">
      <c r="A122" s="480"/>
      <c r="B122" s="300"/>
      <c r="C122" s="304"/>
      <c r="D122" s="304"/>
      <c r="E122" s="304"/>
      <c r="F122" s="304"/>
      <c r="G122" s="304"/>
      <c r="H122" s="182"/>
      <c r="I122" s="304"/>
      <c r="J122" s="178"/>
      <c r="K122" s="178"/>
      <c r="L122" s="457"/>
      <c r="M122" s="304"/>
      <c r="N122" s="300"/>
      <c r="O122" s="300"/>
      <c r="P122" s="300"/>
      <c r="Q122" s="306"/>
      <c r="R122" s="302"/>
      <c r="S122" s="301"/>
      <c r="T122" s="300"/>
      <c r="U122" s="300"/>
      <c r="V122" s="284">
        <f>Table62689345679101112133[[#This Row],[Offer Value]]-Table62689345679101112133[[#This Row],[PO Value]]</f>
        <v>0</v>
      </c>
      <c r="W122" s="300"/>
      <c r="X122" s="300"/>
      <c r="Y122" s="612"/>
    </row>
    <row r="123" spans="1:25" ht="15.6">
      <c r="A123" s="480"/>
      <c r="B123" s="300"/>
      <c r="C123" s="304"/>
      <c r="D123" s="304"/>
      <c r="E123" s="304"/>
      <c r="F123" s="304"/>
      <c r="G123" s="304"/>
      <c r="H123" s="182"/>
      <c r="I123" s="304"/>
      <c r="J123" s="178"/>
      <c r="K123" s="178"/>
      <c r="L123" s="457"/>
      <c r="M123" s="304"/>
      <c r="N123" s="300"/>
      <c r="O123" s="300"/>
      <c r="P123" s="300"/>
      <c r="Q123" s="306"/>
      <c r="R123" s="302"/>
      <c r="S123" s="301"/>
      <c r="T123" s="300"/>
      <c r="U123" s="300"/>
      <c r="V123" s="284">
        <f>Table62689345679101112133[[#This Row],[Offer Value]]-Table62689345679101112133[[#This Row],[PO Value]]</f>
        <v>0</v>
      </c>
      <c r="W123" s="300"/>
      <c r="X123" s="300"/>
      <c r="Y123" s="612"/>
    </row>
    <row r="124" spans="1:25" ht="15.6">
      <c r="A124" s="480"/>
      <c r="B124" s="300"/>
      <c r="C124" s="304"/>
      <c r="D124" s="304"/>
      <c r="E124" s="304"/>
      <c r="F124" s="304"/>
      <c r="G124" s="304"/>
      <c r="H124" s="182"/>
      <c r="I124" s="304"/>
      <c r="J124" s="178"/>
      <c r="K124" s="178"/>
      <c r="L124" s="457"/>
      <c r="M124" s="304"/>
      <c r="N124" s="300"/>
      <c r="O124" s="300"/>
      <c r="P124" s="300"/>
      <c r="Q124" s="306"/>
      <c r="R124" s="302"/>
      <c r="S124" s="301"/>
      <c r="T124" s="300"/>
      <c r="U124" s="300"/>
      <c r="V124" s="284">
        <f>Table62689345679101112133[[#This Row],[Offer Value]]-Table62689345679101112133[[#This Row],[PO Value]]</f>
        <v>0</v>
      </c>
      <c r="W124" s="300"/>
      <c r="X124" s="300"/>
      <c r="Y124" s="612"/>
    </row>
    <row r="125" spans="1:25" ht="15.6">
      <c r="A125" s="480"/>
      <c r="B125" s="300"/>
      <c r="C125" s="304"/>
      <c r="D125" s="304"/>
      <c r="E125" s="304"/>
      <c r="F125" s="304"/>
      <c r="G125" s="304"/>
      <c r="H125" s="182"/>
      <c r="I125" s="304"/>
      <c r="J125" s="178"/>
      <c r="K125" s="178"/>
      <c r="L125" s="457"/>
      <c r="M125" s="304"/>
      <c r="N125" s="300"/>
      <c r="O125" s="300"/>
      <c r="P125" s="300"/>
      <c r="Q125" s="306"/>
      <c r="R125" s="302"/>
      <c r="S125" s="301"/>
      <c r="T125" s="300"/>
      <c r="U125" s="300"/>
      <c r="V125" s="284">
        <f>Table62689345679101112133[[#This Row],[Offer Value]]-Table62689345679101112133[[#This Row],[PO Value]]</f>
        <v>0</v>
      </c>
      <c r="W125" s="300"/>
      <c r="X125" s="300"/>
      <c r="Y125" s="612"/>
    </row>
    <row r="126" spans="1:25" ht="15.6">
      <c r="A126" s="480"/>
      <c r="B126" s="300"/>
      <c r="C126" s="304"/>
      <c r="D126" s="304"/>
      <c r="E126" s="304"/>
      <c r="F126" s="304"/>
      <c r="G126" s="304"/>
      <c r="H126" s="182"/>
      <c r="I126" s="304"/>
      <c r="J126" s="178"/>
      <c r="K126" s="178"/>
      <c r="L126" s="457"/>
      <c r="M126" s="304"/>
      <c r="N126" s="300"/>
      <c r="O126" s="300"/>
      <c r="P126" s="300"/>
      <c r="Q126" s="306"/>
      <c r="R126" s="302"/>
      <c r="S126" s="301"/>
      <c r="T126" s="300"/>
      <c r="U126" s="300"/>
      <c r="V126" s="284">
        <f>Table62689345679101112133[[#This Row],[Offer Value]]-Table62689345679101112133[[#This Row],[PO Value]]</f>
        <v>0</v>
      </c>
      <c r="W126" s="300"/>
      <c r="X126" s="300"/>
      <c r="Y126" s="612"/>
    </row>
    <row r="127" spans="1:25" ht="15.6">
      <c r="A127" s="480"/>
      <c r="B127" s="300"/>
      <c r="C127" s="304"/>
      <c r="D127" s="304"/>
      <c r="E127" s="304"/>
      <c r="F127" s="304"/>
      <c r="G127" s="304"/>
      <c r="H127" s="182"/>
      <c r="I127" s="304"/>
      <c r="J127" s="178"/>
      <c r="K127" s="178"/>
      <c r="L127" s="457"/>
      <c r="M127" s="304"/>
      <c r="N127" s="300"/>
      <c r="O127" s="300"/>
      <c r="P127" s="300"/>
      <c r="Q127" s="306"/>
      <c r="R127" s="302"/>
      <c r="S127" s="301"/>
      <c r="T127" s="300"/>
      <c r="U127" s="300"/>
      <c r="V127" s="284">
        <f>Table62689345679101112133[[#This Row],[Offer Value]]-Table62689345679101112133[[#This Row],[PO Value]]</f>
        <v>0</v>
      </c>
      <c r="W127" s="300"/>
      <c r="X127" s="300"/>
      <c r="Y127" s="612"/>
    </row>
    <row r="128" spans="1:25" ht="15.6">
      <c r="A128" s="480"/>
      <c r="B128" s="300"/>
      <c r="C128" s="304"/>
      <c r="D128" s="304"/>
      <c r="E128" s="304"/>
      <c r="F128" s="304"/>
      <c r="G128" s="304"/>
      <c r="H128" s="182"/>
      <c r="I128" s="304"/>
      <c r="J128" s="178"/>
      <c r="K128" s="178"/>
      <c r="L128" s="178"/>
      <c r="M128" s="304"/>
      <c r="N128" s="300"/>
      <c r="O128" s="300"/>
      <c r="P128" s="300"/>
      <c r="Q128" s="306"/>
      <c r="R128" s="302"/>
      <c r="S128" s="301"/>
      <c r="T128" s="300"/>
      <c r="U128" s="300"/>
      <c r="V128" s="284">
        <f>Table62689345679101112133[[#This Row],[Offer Value]]-Table62689345679101112133[[#This Row],[PO Value]]</f>
        <v>0</v>
      </c>
      <c r="W128" s="300"/>
      <c r="X128" s="300"/>
      <c r="Y128" s="613"/>
    </row>
    <row r="129" spans="1:25" ht="15.6">
      <c r="A129" s="480"/>
      <c r="B129" s="300"/>
      <c r="C129" s="304"/>
      <c r="D129" s="304"/>
      <c r="E129" s="304"/>
      <c r="F129" s="304"/>
      <c r="G129" s="304"/>
      <c r="H129" s="182"/>
      <c r="I129" s="304"/>
      <c r="J129" s="178"/>
      <c r="K129" s="178"/>
      <c r="L129" s="457"/>
      <c r="M129" s="304"/>
      <c r="N129" s="300"/>
      <c r="O129" s="300"/>
      <c r="P129" s="300"/>
      <c r="Q129" s="306"/>
      <c r="R129" s="302"/>
      <c r="S129" s="301"/>
      <c r="T129" s="300"/>
      <c r="U129" s="300"/>
      <c r="V129" s="284">
        <f>Table62689345679101112133[[#This Row],[Offer Value]]-Table62689345679101112133[[#This Row],[PO Value]]</f>
        <v>0</v>
      </c>
      <c r="W129" s="300"/>
      <c r="X129" s="300"/>
      <c r="Y129" s="614"/>
    </row>
    <row r="130" spans="1:25" ht="15.6">
      <c r="A130" s="480"/>
      <c r="B130" s="300"/>
      <c r="C130" s="304"/>
      <c r="D130" s="304"/>
      <c r="E130" s="304"/>
      <c r="F130" s="304"/>
      <c r="G130" s="304"/>
      <c r="H130" s="182"/>
      <c r="I130" s="304"/>
      <c r="J130" s="178"/>
      <c r="K130" s="178"/>
      <c r="L130" s="457"/>
      <c r="M130" s="304"/>
      <c r="N130" s="300"/>
      <c r="O130" s="300"/>
      <c r="P130" s="300"/>
      <c r="Q130" s="306"/>
      <c r="R130" s="302"/>
      <c r="S130" s="301"/>
      <c r="T130" s="300"/>
      <c r="U130" s="300"/>
      <c r="V130" s="284">
        <f>Table62689345679101112133[[#This Row],[Offer Value]]-Table62689345679101112133[[#This Row],[PO Value]]</f>
        <v>0</v>
      </c>
      <c r="W130" s="300"/>
      <c r="X130" s="300"/>
      <c r="Y130" s="614"/>
    </row>
    <row r="131" spans="1:25" ht="15.6">
      <c r="A131" s="480"/>
      <c r="B131" s="300"/>
      <c r="C131" s="304"/>
      <c r="D131" s="304"/>
      <c r="E131" s="304"/>
      <c r="F131" s="304"/>
      <c r="G131" s="304"/>
      <c r="H131" s="182"/>
      <c r="I131" s="304"/>
      <c r="J131" s="178"/>
      <c r="K131" s="178"/>
      <c r="L131" s="178"/>
      <c r="M131" s="304"/>
      <c r="N131" s="300"/>
      <c r="O131" s="300"/>
      <c r="P131" s="300"/>
      <c r="Q131" s="306"/>
      <c r="R131" s="302"/>
      <c r="S131" s="300"/>
      <c r="T131" s="300"/>
      <c r="U131" s="300"/>
      <c r="V131" s="284">
        <f>Table62689345679101112133[[#This Row],[Offer Value]]-Table62689345679101112133[[#This Row],[PO Value]]</f>
        <v>0</v>
      </c>
      <c r="W131" s="300"/>
      <c r="X131" s="300"/>
      <c r="Y131" s="614"/>
    </row>
    <row r="132" spans="1:25" ht="15.6">
      <c r="A132" s="480"/>
      <c r="B132" s="300"/>
      <c r="C132" s="113"/>
      <c r="D132" s="113"/>
      <c r="E132" s="113"/>
      <c r="F132" s="113"/>
      <c r="G132" s="113"/>
      <c r="H132" s="248"/>
      <c r="I132" s="113"/>
      <c r="J132" s="108"/>
      <c r="K132" s="108"/>
      <c r="L132" s="113"/>
      <c r="M132" s="304"/>
      <c r="N132" s="106"/>
      <c r="O132" s="106"/>
      <c r="P132" s="106"/>
      <c r="Q132" s="109"/>
      <c r="R132" s="289"/>
      <c r="S132" s="107"/>
      <c r="T132" s="106"/>
      <c r="U132" s="106"/>
      <c r="V132" s="284">
        <f>Table62689345679101112133[[#This Row],[Offer Value]]-Table62689345679101112133[[#This Row],[PO Value]]</f>
        <v>0</v>
      </c>
      <c r="W132" s="106"/>
      <c r="X132" s="106"/>
      <c r="Y132" s="615"/>
    </row>
    <row r="133" spans="1:25" ht="15.6">
      <c r="A133" s="480"/>
      <c r="B133" s="106"/>
      <c r="C133" s="113"/>
      <c r="D133" s="113"/>
      <c r="E133" s="113"/>
      <c r="F133" s="113"/>
      <c r="G133" s="113"/>
      <c r="H133" s="248"/>
      <c r="I133" s="113"/>
      <c r="J133" s="108"/>
      <c r="K133" s="108"/>
      <c r="L133" s="113"/>
      <c r="M133" s="114"/>
      <c r="N133" s="106"/>
      <c r="O133" s="106"/>
      <c r="P133" s="106"/>
      <c r="Q133" s="109"/>
      <c r="R133" s="289"/>
      <c r="S133" s="107"/>
      <c r="T133" s="106"/>
      <c r="U133" s="106"/>
      <c r="V133" s="284">
        <f>Table62689345679101112133[[#This Row],[Offer Value]]-Table62689345679101112133[[#This Row],[PO Value]]</f>
        <v>0</v>
      </c>
      <c r="W133" s="106"/>
      <c r="X133" s="106"/>
      <c r="Y133" s="616"/>
    </row>
    <row r="134" spans="1:25" ht="15.6">
      <c r="A134" s="480"/>
      <c r="B134" s="106"/>
      <c r="C134" s="113"/>
      <c r="D134" s="113"/>
      <c r="E134" s="113"/>
      <c r="F134" s="113"/>
      <c r="G134" s="113"/>
      <c r="H134" s="248"/>
      <c r="I134" s="113"/>
      <c r="J134" s="108"/>
      <c r="K134" s="108"/>
      <c r="L134" s="113"/>
      <c r="M134" s="114"/>
      <c r="N134" s="106"/>
      <c r="O134" s="106"/>
      <c r="P134" s="106"/>
      <c r="Q134" s="109"/>
      <c r="R134" s="289"/>
      <c r="S134" s="107"/>
      <c r="T134" s="106"/>
      <c r="U134" s="106"/>
      <c r="V134" s="284">
        <f>Table62689345679101112133[[#This Row],[Offer Value]]-Table62689345679101112133[[#This Row],[PO Value]]</f>
        <v>0</v>
      </c>
      <c r="W134" s="106"/>
      <c r="X134" s="106"/>
      <c r="Y134" s="615"/>
    </row>
    <row r="135" spans="1:25" ht="15.6">
      <c r="A135" s="480"/>
      <c r="B135" s="106"/>
      <c r="C135" s="105"/>
      <c r="D135" s="105"/>
      <c r="E135" s="105"/>
      <c r="F135" s="105"/>
      <c r="G135" s="113"/>
      <c r="H135" s="250"/>
      <c r="I135" s="105"/>
      <c r="J135" s="115"/>
      <c r="K135" s="115"/>
      <c r="L135" s="113"/>
      <c r="M135" s="114"/>
      <c r="N135" s="106"/>
      <c r="O135" s="106"/>
      <c r="P135" s="106"/>
      <c r="Q135" s="109"/>
      <c r="R135" s="289"/>
      <c r="S135" s="107"/>
      <c r="T135" s="106"/>
      <c r="U135" s="106"/>
      <c r="V135" s="284">
        <f>Table62689345679101112133[[#This Row],[Offer Value]]-Table62689345679101112133[[#This Row],[PO Value]]</f>
        <v>0</v>
      </c>
      <c r="W135" s="106"/>
      <c r="X135" s="106"/>
      <c r="Y135" s="217"/>
    </row>
    <row r="136" spans="1:25" ht="15.6">
      <c r="A136" s="480"/>
      <c r="B136" s="106"/>
      <c r="C136" s="105"/>
      <c r="D136" s="105"/>
      <c r="E136" s="105"/>
      <c r="F136" s="113"/>
      <c r="G136" s="113"/>
      <c r="H136" s="248"/>
      <c r="I136" s="113"/>
      <c r="J136" s="115"/>
      <c r="K136" s="115"/>
      <c r="L136" s="113"/>
      <c r="M136" s="114"/>
      <c r="N136" s="106"/>
      <c r="O136" s="106"/>
      <c r="P136" s="106"/>
      <c r="Q136" s="109"/>
      <c r="R136" s="289"/>
      <c r="S136" s="107"/>
      <c r="T136" s="106"/>
      <c r="U136" s="106"/>
      <c r="V136" s="284">
        <f>Table62689345679101112133[[#This Row],[Offer Value]]-Table62689345679101112133[[#This Row],[PO Value]]</f>
        <v>0</v>
      </c>
      <c r="W136" s="106"/>
      <c r="X136" s="106"/>
      <c r="Y136" s="617"/>
    </row>
    <row r="137" spans="1:25" ht="15.6">
      <c r="A137" s="480"/>
      <c r="B137" s="107"/>
      <c r="C137" s="105"/>
      <c r="D137" s="105"/>
      <c r="E137" s="105"/>
      <c r="F137" s="105"/>
      <c r="G137" s="113"/>
      <c r="H137" s="250"/>
      <c r="I137" s="105"/>
      <c r="J137" s="115"/>
      <c r="K137" s="115"/>
      <c r="L137" s="113"/>
      <c r="M137" s="116"/>
      <c r="N137" s="106"/>
      <c r="O137" s="106"/>
      <c r="P137" s="106"/>
      <c r="Q137" s="109"/>
      <c r="R137" s="289"/>
      <c r="S137" s="107"/>
      <c r="T137" s="106"/>
      <c r="U137" s="106"/>
      <c r="V137" s="284">
        <f>Table62689345679101112133[[#This Row],[Offer Value]]-Table62689345679101112133[[#This Row],[PO Value]]</f>
        <v>0</v>
      </c>
      <c r="W137" s="106"/>
      <c r="X137" s="106"/>
      <c r="Y137" s="617"/>
    </row>
    <row r="138" spans="1:25" ht="15.6">
      <c r="A138" s="480"/>
      <c r="B138" s="106"/>
      <c r="C138" s="105"/>
      <c r="D138" s="105"/>
      <c r="E138" s="105"/>
      <c r="F138" s="105"/>
      <c r="G138" s="113"/>
      <c r="H138" s="250"/>
      <c r="I138" s="105"/>
      <c r="J138" s="115"/>
      <c r="K138" s="115"/>
      <c r="L138" s="113"/>
      <c r="M138" s="116"/>
      <c r="N138" s="106"/>
      <c r="O138" s="106"/>
      <c r="P138" s="106"/>
      <c r="Q138" s="109"/>
      <c r="R138" s="289"/>
      <c r="S138" s="107"/>
      <c r="T138" s="106"/>
      <c r="U138" s="106"/>
      <c r="V138" s="284">
        <f>Table62689345679101112133[[#This Row],[Offer Value]]-Table62689345679101112133[[#This Row],[PO Value]]</f>
        <v>0</v>
      </c>
      <c r="W138" s="106"/>
      <c r="X138" s="106"/>
      <c r="Y138" s="617"/>
    </row>
    <row r="139" spans="1:25" ht="15.6">
      <c r="A139" s="480"/>
      <c r="B139" s="106"/>
      <c r="C139" s="105"/>
      <c r="D139" s="105"/>
      <c r="E139" s="105"/>
      <c r="F139" s="105"/>
      <c r="G139" s="113"/>
      <c r="H139" s="250"/>
      <c r="I139" s="113"/>
      <c r="J139" s="115"/>
      <c r="K139" s="115"/>
      <c r="L139" s="113"/>
      <c r="M139" s="116"/>
      <c r="N139" s="106"/>
      <c r="O139" s="106"/>
      <c r="P139" s="106"/>
      <c r="Q139" s="109"/>
      <c r="R139" s="289"/>
      <c r="S139" s="107"/>
      <c r="T139" s="106"/>
      <c r="U139" s="106"/>
      <c r="V139" s="284">
        <f>Table62689345679101112133[[#This Row],[Offer Value]]-Table62689345679101112133[[#This Row],[PO Value]]</f>
        <v>0</v>
      </c>
      <c r="W139" s="106"/>
      <c r="X139" s="106"/>
      <c r="Y139" s="217"/>
    </row>
    <row r="140" spans="1:25" ht="15.6">
      <c r="A140" s="480"/>
      <c r="B140" s="107"/>
      <c r="C140" s="105"/>
      <c r="D140" s="105"/>
      <c r="E140" s="108"/>
      <c r="F140" s="108"/>
      <c r="G140" s="108"/>
      <c r="H140" s="251"/>
      <c r="I140" s="108"/>
      <c r="J140" s="115"/>
      <c r="K140" s="115"/>
      <c r="L140" s="113"/>
      <c r="M140" s="116"/>
      <c r="N140" s="106"/>
      <c r="O140" s="106"/>
      <c r="P140" s="106"/>
      <c r="Q140" s="109"/>
      <c r="R140" s="256"/>
      <c r="S140" s="107"/>
      <c r="T140" s="106"/>
      <c r="U140" s="106"/>
      <c r="V140" s="284">
        <f>Table62689345679101112133[[#This Row],[Offer Value]]-Table62689345679101112133[[#This Row],[PO Value]]</f>
        <v>0</v>
      </c>
      <c r="W140" s="106"/>
      <c r="X140" s="106"/>
      <c r="Y140" s="617"/>
    </row>
    <row r="141" spans="1:25" ht="15.6">
      <c r="A141" s="480"/>
      <c r="B141" s="107"/>
      <c r="C141" s="105"/>
      <c r="D141" s="105"/>
      <c r="E141" s="105"/>
      <c r="F141" s="105"/>
      <c r="G141" s="105"/>
      <c r="H141" s="248"/>
      <c r="I141" s="105"/>
      <c r="J141" s="115"/>
      <c r="K141" s="115"/>
      <c r="L141" s="113"/>
      <c r="M141" s="116"/>
      <c r="N141" s="106"/>
      <c r="O141" s="106"/>
      <c r="P141" s="106"/>
      <c r="Q141" s="109"/>
      <c r="R141" s="289"/>
      <c r="S141" s="107"/>
      <c r="T141" s="106"/>
      <c r="U141" s="106"/>
      <c r="V141" s="284">
        <f>Table62689345679101112133[[#This Row],[Offer Value]]-Table62689345679101112133[[#This Row],[PO Value]]</f>
        <v>0</v>
      </c>
      <c r="W141" s="106"/>
      <c r="X141" s="106"/>
      <c r="Y141" s="617"/>
    </row>
    <row r="142" spans="1:25" ht="15.6">
      <c r="A142" s="480"/>
      <c r="B142" s="34"/>
      <c r="C142" s="105"/>
      <c r="D142" s="105"/>
      <c r="E142" s="105"/>
      <c r="F142" s="105"/>
      <c r="G142" s="105"/>
      <c r="H142" s="248"/>
      <c r="I142" s="105"/>
      <c r="J142" s="115"/>
      <c r="K142" s="115"/>
      <c r="L142" s="113"/>
      <c r="M142" s="116"/>
      <c r="N142" s="106"/>
      <c r="O142" s="106"/>
      <c r="P142" s="106"/>
      <c r="Q142" s="109"/>
      <c r="R142" s="289"/>
      <c r="S142" s="107"/>
      <c r="T142" s="106"/>
      <c r="U142" s="174"/>
      <c r="V142" s="284">
        <f>Table62689345679101112133[[#This Row],[Offer Value]]-Table62689345679101112133[[#This Row],[PO Value]]</f>
        <v>0</v>
      </c>
      <c r="W142" s="177"/>
      <c r="X142" s="177"/>
      <c r="Y142" s="618"/>
    </row>
    <row r="143" spans="1:25" ht="15.6">
      <c r="A143" s="480"/>
      <c r="B143" s="34"/>
      <c r="C143" s="105"/>
      <c r="D143" s="105"/>
      <c r="E143" s="105"/>
      <c r="F143" s="105"/>
      <c r="G143" s="105"/>
      <c r="H143" s="248"/>
      <c r="I143" s="105"/>
      <c r="J143" s="115"/>
      <c r="K143" s="115"/>
      <c r="L143" s="113"/>
      <c r="M143" s="116"/>
      <c r="N143" s="106"/>
      <c r="O143" s="106"/>
      <c r="P143" s="106"/>
      <c r="Q143" s="109"/>
      <c r="R143" s="289"/>
      <c r="S143" s="107"/>
      <c r="T143" s="106"/>
      <c r="U143" s="174"/>
      <c r="V143" s="284">
        <f>Table62689345679101112133[[#This Row],[Offer Value]]-Table62689345679101112133[[#This Row],[PO Value]]</f>
        <v>0</v>
      </c>
      <c r="W143" s="177"/>
      <c r="X143" s="177"/>
      <c r="Y143" s="618"/>
    </row>
    <row r="144" spans="1:25" ht="15.6">
      <c r="A144" s="480"/>
      <c r="B144" s="107"/>
      <c r="C144" s="105"/>
      <c r="D144" s="105"/>
      <c r="E144" s="108"/>
      <c r="F144" s="108"/>
      <c r="G144" s="105"/>
      <c r="H144" s="250"/>
      <c r="I144" s="108"/>
      <c r="J144" s="115"/>
      <c r="K144" s="115"/>
      <c r="L144" s="113"/>
      <c r="M144" s="116"/>
      <c r="N144" s="106"/>
      <c r="O144" s="106"/>
      <c r="P144" s="106"/>
      <c r="Q144" s="109"/>
      <c r="R144" s="289"/>
      <c r="S144" s="107"/>
      <c r="T144" s="106"/>
      <c r="U144" s="106"/>
      <c r="V144" s="284">
        <f>Table62689345679101112133[[#This Row],[Offer Value]]-Table62689345679101112133[[#This Row],[PO Value]]</f>
        <v>0</v>
      </c>
      <c r="W144" s="106"/>
      <c r="X144" s="106"/>
      <c r="Y144" s="617"/>
    </row>
    <row r="145" spans="1:25" ht="15.6">
      <c r="A145" s="480"/>
      <c r="B145" s="106"/>
      <c r="C145" s="105"/>
      <c r="D145" s="105"/>
      <c r="E145" s="108"/>
      <c r="F145" s="108"/>
      <c r="G145" s="105"/>
      <c r="H145" s="250"/>
      <c r="I145" s="108"/>
      <c r="J145" s="115"/>
      <c r="K145" s="115"/>
      <c r="L145" s="113"/>
      <c r="M145" s="106"/>
      <c r="N145" s="106"/>
      <c r="O145" s="106"/>
      <c r="P145" s="106"/>
      <c r="Q145" s="109"/>
      <c r="R145" s="289"/>
      <c r="S145" s="105"/>
      <c r="T145" s="106"/>
      <c r="U145" s="106"/>
      <c r="V145" s="284">
        <f>Table62689345679101112133[[#This Row],[Offer Value]]-Table62689345679101112133[[#This Row],[PO Value]]</f>
        <v>0</v>
      </c>
      <c r="W145" s="106"/>
      <c r="X145" s="106"/>
      <c r="Y145" s="217"/>
    </row>
    <row r="146" spans="1:25" ht="15.6">
      <c r="A146" s="480"/>
      <c r="B146" s="106"/>
      <c r="C146" s="105"/>
      <c r="D146" s="105"/>
      <c r="E146" s="105"/>
      <c r="F146" s="105"/>
      <c r="G146" s="105"/>
      <c r="H146" s="248"/>
      <c r="I146" s="105"/>
      <c r="J146" s="115"/>
      <c r="K146" s="115"/>
      <c r="L146" s="113"/>
      <c r="M146" s="106"/>
      <c r="N146" s="106"/>
      <c r="O146" s="106"/>
      <c r="P146" s="106"/>
      <c r="Q146" s="109"/>
      <c r="R146" s="289"/>
      <c r="S146" s="107"/>
      <c r="T146" s="106"/>
      <c r="U146" s="106"/>
      <c r="V146" s="284">
        <f>Table62689345679101112133[[#This Row],[Offer Value]]-Table62689345679101112133[[#This Row],[PO Value]]</f>
        <v>0</v>
      </c>
      <c r="W146" s="106"/>
      <c r="X146" s="106"/>
      <c r="Y146" s="217"/>
    </row>
    <row r="147" spans="1:25" ht="15.6">
      <c r="A147" s="480"/>
      <c r="B147" s="106"/>
      <c r="C147" s="105"/>
      <c r="D147" s="105"/>
      <c r="E147" s="105"/>
      <c r="F147" s="105"/>
      <c r="G147" s="105"/>
      <c r="H147" s="248"/>
      <c r="I147" s="105"/>
      <c r="J147" s="115"/>
      <c r="K147" s="115"/>
      <c r="L147" s="113"/>
      <c r="M147" s="106"/>
      <c r="N147" s="106"/>
      <c r="O147" s="106"/>
      <c r="P147" s="106"/>
      <c r="Q147" s="109"/>
      <c r="R147" s="256"/>
      <c r="S147" s="107"/>
      <c r="T147" s="106"/>
      <c r="U147" s="106"/>
      <c r="V147" s="284">
        <f>Table62689345679101112133[[#This Row],[Offer Value]]-Table62689345679101112133[[#This Row],[PO Value]]</f>
        <v>0</v>
      </c>
      <c r="W147" s="106"/>
      <c r="X147" s="106"/>
      <c r="Y147" s="617"/>
    </row>
    <row r="148" spans="1:25" ht="15.6">
      <c r="A148" s="480"/>
      <c r="B148" s="106"/>
      <c r="C148" s="105"/>
      <c r="D148" s="105"/>
      <c r="E148" s="105"/>
      <c r="F148" s="105"/>
      <c r="G148" s="105"/>
      <c r="H148" s="248"/>
      <c r="I148" s="105"/>
      <c r="J148" s="115"/>
      <c r="K148" s="115"/>
      <c r="L148" s="113"/>
      <c r="M148" s="106"/>
      <c r="N148" s="106"/>
      <c r="O148" s="106"/>
      <c r="P148" s="106"/>
      <c r="Q148" s="109"/>
      <c r="R148" s="289"/>
      <c r="S148" s="107"/>
      <c r="T148" s="106"/>
      <c r="U148" s="106"/>
      <c r="V148" s="284">
        <f>Table62689345679101112133[[#This Row],[Offer Value]]-Table62689345679101112133[[#This Row],[PO Value]]</f>
        <v>0</v>
      </c>
      <c r="W148" s="106"/>
      <c r="X148" s="106"/>
      <c r="Y148" s="217"/>
    </row>
    <row r="149" spans="1:25" ht="15.6">
      <c r="A149" s="480"/>
      <c r="B149" s="107"/>
      <c r="C149" s="105"/>
      <c r="D149" s="105"/>
      <c r="E149" s="105"/>
      <c r="F149" s="105"/>
      <c r="G149" s="105"/>
      <c r="H149" s="248"/>
      <c r="I149" s="105"/>
      <c r="J149" s="115"/>
      <c r="K149" s="115"/>
      <c r="L149" s="113"/>
      <c r="M149" s="116"/>
      <c r="N149" s="106"/>
      <c r="O149" s="106"/>
      <c r="P149" s="106"/>
      <c r="Q149" s="109"/>
      <c r="R149" s="256"/>
      <c r="S149" s="107"/>
      <c r="T149" s="106"/>
      <c r="U149" s="106"/>
      <c r="V149" s="284">
        <f>Table62689345679101112133[[#This Row],[Offer Value]]-Table62689345679101112133[[#This Row],[PO Value]]</f>
        <v>0</v>
      </c>
      <c r="W149" s="106"/>
      <c r="X149" s="106"/>
      <c r="Y149" s="617"/>
    </row>
    <row r="150" spans="1:25" ht="15.6">
      <c r="A150" s="480"/>
      <c r="B150" s="106"/>
      <c r="C150" s="105"/>
      <c r="D150" s="105"/>
      <c r="E150" s="105"/>
      <c r="F150" s="105"/>
      <c r="G150" s="105"/>
      <c r="H150" s="248"/>
      <c r="I150" s="105"/>
      <c r="J150" s="115"/>
      <c r="K150" s="115"/>
      <c r="L150" s="113"/>
      <c r="M150" s="116"/>
      <c r="N150" s="106"/>
      <c r="O150" s="106"/>
      <c r="P150" s="106"/>
      <c r="Q150" s="109"/>
      <c r="R150" s="256"/>
      <c r="S150" s="107"/>
      <c r="T150" s="106"/>
      <c r="U150" s="106"/>
      <c r="V150" s="284">
        <f>Table62689345679101112133[[#This Row],[Offer Value]]-Table62689345679101112133[[#This Row],[PO Value]]</f>
        <v>0</v>
      </c>
      <c r="W150" s="106"/>
      <c r="X150" s="106"/>
      <c r="Y150" s="617"/>
    </row>
    <row r="151" spans="1:25" ht="15.6">
      <c r="A151" s="480"/>
      <c r="B151" s="107"/>
      <c r="C151" s="105"/>
      <c r="D151" s="178"/>
      <c r="E151" s="178"/>
      <c r="F151" s="178"/>
      <c r="G151" s="178"/>
      <c r="H151" s="316"/>
      <c r="I151" s="178"/>
      <c r="J151" s="115"/>
      <c r="K151" s="115"/>
      <c r="L151" s="113"/>
      <c r="M151" s="116"/>
      <c r="N151" s="106"/>
      <c r="O151" s="106"/>
      <c r="P151" s="106"/>
      <c r="Q151" s="109"/>
      <c r="R151" s="289"/>
      <c r="S151" s="107"/>
      <c r="T151" s="106"/>
      <c r="U151" s="106"/>
      <c r="V151" s="284">
        <f>Table62689345679101112133[[#This Row],[Offer Value]]-Table62689345679101112133[[#This Row],[PO Value]]</f>
        <v>0</v>
      </c>
      <c r="W151" s="106"/>
      <c r="X151" s="106"/>
      <c r="Y151" s="217"/>
    </row>
    <row r="152" spans="1:25" ht="15.6">
      <c r="A152" s="480"/>
      <c r="B152" s="107"/>
      <c r="C152" s="105"/>
      <c r="D152" s="105"/>
      <c r="E152" s="108"/>
      <c r="F152" s="108"/>
      <c r="G152" s="108"/>
      <c r="H152" s="251"/>
      <c r="I152" s="108"/>
      <c r="J152" s="115"/>
      <c r="K152" s="115"/>
      <c r="L152" s="113"/>
      <c r="M152" s="116"/>
      <c r="N152" s="106"/>
      <c r="O152" s="106"/>
      <c r="P152" s="106"/>
      <c r="Q152" s="109"/>
      <c r="R152" s="289"/>
      <c r="S152" s="107"/>
      <c r="T152" s="106"/>
      <c r="U152" s="106"/>
      <c r="V152" s="284">
        <f>Table62689345679101112133[[#This Row],[Offer Value]]-Table62689345679101112133[[#This Row],[PO Value]]</f>
        <v>0</v>
      </c>
      <c r="W152" s="106"/>
      <c r="X152" s="106"/>
      <c r="Y152" s="617"/>
    </row>
    <row r="153" spans="1:25" ht="15.6">
      <c r="A153" s="480"/>
      <c r="B153" s="107"/>
      <c r="C153" s="105"/>
      <c r="D153" s="105"/>
      <c r="E153" s="105"/>
      <c r="F153" s="105"/>
      <c r="G153" s="105"/>
      <c r="H153" s="250"/>
      <c r="I153" s="105"/>
      <c r="J153" s="108"/>
      <c r="K153" s="108"/>
      <c r="L153" s="113"/>
      <c r="M153" s="116"/>
      <c r="N153" s="106"/>
      <c r="O153" s="106"/>
      <c r="P153" s="106"/>
      <c r="Q153" s="109"/>
      <c r="R153" s="289"/>
      <c r="S153" s="107"/>
      <c r="T153" s="106"/>
      <c r="U153" s="106"/>
      <c r="V153" s="284">
        <f>Table62689345679101112133[[#This Row],[Offer Value]]-Table62689345679101112133[[#This Row],[PO Value]]</f>
        <v>0</v>
      </c>
      <c r="W153" s="106"/>
      <c r="X153" s="106"/>
      <c r="Y153" s="617"/>
    </row>
    <row r="154" spans="1:25" ht="15.6">
      <c r="A154" s="480"/>
      <c r="B154" s="107"/>
      <c r="C154" s="105"/>
      <c r="D154" s="105"/>
      <c r="E154" s="108"/>
      <c r="F154" s="304"/>
      <c r="G154" s="304"/>
      <c r="H154" s="182"/>
      <c r="I154" s="108"/>
      <c r="J154" s="115"/>
      <c r="K154" s="115"/>
      <c r="L154" s="113"/>
      <c r="M154" s="116"/>
      <c r="N154" s="106"/>
      <c r="O154" s="106"/>
      <c r="P154" s="106"/>
      <c r="Q154" s="109"/>
      <c r="R154" s="289"/>
      <c r="S154" s="107"/>
      <c r="T154" s="106"/>
      <c r="U154" s="106"/>
      <c r="V154" s="284">
        <f>Table62689345679101112133[[#This Row],[Offer Value]]-Table62689345679101112133[[#This Row],[PO Value]]</f>
        <v>0</v>
      </c>
      <c r="W154" s="106"/>
      <c r="X154" s="106"/>
      <c r="Y154" s="217"/>
    </row>
    <row r="155" spans="1:25" ht="15.6">
      <c r="A155" s="480"/>
      <c r="B155" s="107"/>
      <c r="C155" s="105"/>
      <c r="D155" s="105"/>
      <c r="E155" s="108"/>
      <c r="F155" s="108"/>
      <c r="G155" s="105"/>
      <c r="H155" s="250"/>
      <c r="I155" s="108"/>
      <c r="J155" s="115"/>
      <c r="K155" s="115"/>
      <c r="L155" s="113"/>
      <c r="M155" s="116"/>
      <c r="N155" s="106"/>
      <c r="O155" s="106"/>
      <c r="P155" s="106"/>
      <c r="Q155" s="109"/>
      <c r="R155" s="256"/>
      <c r="S155" s="107"/>
      <c r="T155" s="106"/>
      <c r="U155" s="106"/>
      <c r="V155" s="284">
        <f>Table62689345679101112133[[#This Row],[Offer Value]]-Table62689345679101112133[[#This Row],[PO Value]]</f>
        <v>0</v>
      </c>
      <c r="W155" s="106"/>
      <c r="X155" s="106"/>
      <c r="Y155" s="217"/>
    </row>
    <row r="156" spans="1:25" ht="15.6">
      <c r="A156" s="480"/>
      <c r="B156" s="107"/>
      <c r="C156" s="105"/>
      <c r="D156" s="105"/>
      <c r="E156" s="108"/>
      <c r="F156" s="108"/>
      <c r="G156" s="108"/>
      <c r="H156" s="251"/>
      <c r="I156" s="108"/>
      <c r="J156" s="115"/>
      <c r="K156" s="115"/>
      <c r="L156" s="113"/>
      <c r="M156" s="116"/>
      <c r="N156" s="106"/>
      <c r="O156" s="106"/>
      <c r="P156" s="106"/>
      <c r="Q156" s="109"/>
      <c r="R156" s="289"/>
      <c r="S156" s="107"/>
      <c r="T156" s="106"/>
      <c r="U156" s="106"/>
      <c r="V156" s="284">
        <f>Table62689345679101112133[[#This Row],[Offer Value]]-Table62689345679101112133[[#This Row],[PO Value]]</f>
        <v>0</v>
      </c>
      <c r="W156" s="106"/>
      <c r="X156" s="106"/>
      <c r="Y156" s="217"/>
    </row>
    <row r="157" spans="1:25" ht="15.6">
      <c r="A157" s="480"/>
      <c r="B157" s="34"/>
      <c r="C157" s="105"/>
      <c r="D157" s="105"/>
      <c r="E157" s="108"/>
      <c r="F157" s="108"/>
      <c r="G157" s="108"/>
      <c r="H157" s="251"/>
      <c r="I157" s="108"/>
      <c r="J157" s="115"/>
      <c r="K157" s="115"/>
      <c r="L157" s="113"/>
      <c r="M157" s="116"/>
      <c r="N157" s="106"/>
      <c r="O157" s="106"/>
      <c r="P157" s="106"/>
      <c r="Q157" s="109"/>
      <c r="R157" s="195"/>
      <c r="S157" s="587"/>
      <c r="T157" s="106"/>
      <c r="U157" s="106"/>
      <c r="V157" s="284">
        <f>Table62689345679101112133[[#This Row],[Offer Value]]-Table62689345679101112133[[#This Row],[PO Value]]</f>
        <v>0</v>
      </c>
      <c r="W157" s="177"/>
      <c r="X157" s="177"/>
      <c r="Y157" s="217"/>
    </row>
    <row r="158" spans="1:25" ht="18.600000000000001" customHeight="1">
      <c r="A158" s="480"/>
      <c r="B158" s="107"/>
      <c r="C158" s="105"/>
      <c r="D158" s="105"/>
      <c r="E158" s="108"/>
      <c r="F158" s="108"/>
      <c r="G158" s="108"/>
      <c r="H158" s="251"/>
      <c r="I158" s="108"/>
      <c r="J158" s="115"/>
      <c r="K158" s="115"/>
      <c r="L158" s="113"/>
      <c r="M158" s="116"/>
      <c r="N158" s="106"/>
      <c r="O158" s="106"/>
      <c r="P158" s="106"/>
      <c r="Q158" s="109"/>
      <c r="R158" s="289"/>
      <c r="S158" s="107"/>
      <c r="T158" s="106"/>
      <c r="U158" s="106"/>
      <c r="V158" s="284">
        <f>Table62689345679101112133[[#This Row],[Offer Value]]-Table62689345679101112133[[#This Row],[PO Value]]</f>
        <v>0</v>
      </c>
      <c r="W158" s="106"/>
      <c r="X158" s="106"/>
      <c r="Y158" s="217"/>
    </row>
    <row r="159" spans="1:25" ht="18">
      <c r="A159" s="480"/>
      <c r="B159" s="107"/>
      <c r="C159" s="105"/>
      <c r="D159" s="105"/>
      <c r="E159" s="113"/>
      <c r="F159" s="108"/>
      <c r="G159" s="105"/>
      <c r="H159" s="250"/>
      <c r="I159" s="113"/>
      <c r="J159" s="108"/>
      <c r="K159" s="108"/>
      <c r="L159" s="366"/>
      <c r="M159" s="116"/>
      <c r="N159" s="106"/>
      <c r="O159" s="106"/>
      <c r="P159" s="106"/>
      <c r="Q159" s="109"/>
      <c r="R159" s="256"/>
      <c r="S159" s="107"/>
      <c r="T159" s="106"/>
      <c r="U159" s="106"/>
      <c r="V159" s="284">
        <f>Table62689345679101112133[[#This Row],[Offer Value]]-Table62689345679101112133[[#This Row],[PO Value]]</f>
        <v>0</v>
      </c>
      <c r="W159" s="106"/>
      <c r="X159" s="106"/>
      <c r="Y159" s="617"/>
    </row>
    <row r="160" spans="1:25" ht="18">
      <c r="A160" s="480"/>
      <c r="B160" s="107"/>
      <c r="C160" s="105"/>
      <c r="D160" s="105"/>
      <c r="E160" s="108"/>
      <c r="F160" s="108"/>
      <c r="G160" s="108"/>
      <c r="H160" s="251"/>
      <c r="I160" s="108"/>
      <c r="J160" s="108"/>
      <c r="K160" s="108"/>
      <c r="L160" s="366"/>
      <c r="M160" s="116"/>
      <c r="N160" s="106"/>
      <c r="O160" s="106"/>
      <c r="P160" s="106"/>
      <c r="Q160" s="109"/>
      <c r="R160" s="289"/>
      <c r="S160" s="107"/>
      <c r="T160" s="106"/>
      <c r="U160" s="106"/>
      <c r="V160" s="284">
        <f>Table62689345679101112133[[#This Row],[Offer Value]]-Table62689345679101112133[[#This Row],[PO Value]]</f>
        <v>0</v>
      </c>
      <c r="W160" s="106"/>
      <c r="X160" s="106"/>
      <c r="Y160" s="217"/>
    </row>
    <row r="161" spans="1:25" ht="18">
      <c r="A161" s="480"/>
      <c r="B161" s="106"/>
      <c r="C161" s="105"/>
      <c r="D161" s="105"/>
      <c r="E161" s="108"/>
      <c r="F161" s="108"/>
      <c r="G161" s="108"/>
      <c r="H161" s="251"/>
      <c r="I161" s="108"/>
      <c r="J161" s="115"/>
      <c r="K161" s="115"/>
      <c r="L161" s="366"/>
      <c r="M161" s="116"/>
      <c r="N161" s="106"/>
      <c r="O161" s="106"/>
      <c r="P161" s="106"/>
      <c r="Q161" s="109"/>
      <c r="R161" s="289"/>
      <c r="S161" s="107"/>
      <c r="T161" s="106"/>
      <c r="U161" s="106"/>
      <c r="V161" s="284">
        <f>Table62689345679101112133[[#This Row],[Offer Value]]-Table62689345679101112133[[#This Row],[PO Value]]</f>
        <v>0</v>
      </c>
      <c r="W161" s="106"/>
      <c r="X161" s="106"/>
      <c r="Y161" s="217"/>
    </row>
    <row r="162" spans="1:25" ht="18">
      <c r="A162" s="480"/>
      <c r="B162" s="106"/>
      <c r="C162" s="105"/>
      <c r="D162" s="105"/>
      <c r="E162" s="108"/>
      <c r="F162" s="105"/>
      <c r="G162" s="105"/>
      <c r="H162" s="248"/>
      <c r="I162" s="105"/>
      <c r="J162" s="115"/>
      <c r="K162" s="115"/>
      <c r="L162" s="366"/>
      <c r="M162" s="116"/>
      <c r="N162" s="106"/>
      <c r="O162" s="106"/>
      <c r="P162" s="106"/>
      <c r="Q162" s="109"/>
      <c r="R162" s="289"/>
      <c r="S162" s="107"/>
      <c r="T162" s="106"/>
      <c r="U162" s="106"/>
      <c r="V162" s="284">
        <f>Table62689345679101112133[[#This Row],[Offer Value]]-Table62689345679101112133[[#This Row],[PO Value]]</f>
        <v>0</v>
      </c>
      <c r="W162" s="106"/>
      <c r="X162" s="106"/>
      <c r="Y162" s="217"/>
    </row>
    <row r="163" spans="1:25" ht="18">
      <c r="A163" s="480"/>
      <c r="B163" s="106"/>
      <c r="C163" s="105"/>
      <c r="D163" s="113"/>
      <c r="E163" s="113"/>
      <c r="F163" s="113"/>
      <c r="G163" s="304"/>
      <c r="H163" s="182"/>
      <c r="I163" s="105"/>
      <c r="J163" s="115"/>
      <c r="K163" s="115"/>
      <c r="L163" s="366"/>
      <c r="M163" s="116"/>
      <c r="N163" s="106"/>
      <c r="O163" s="106"/>
      <c r="P163" s="106"/>
      <c r="Q163" s="109"/>
      <c r="R163" s="256"/>
      <c r="S163" s="107"/>
      <c r="T163" s="106"/>
      <c r="U163" s="106"/>
      <c r="V163" s="284">
        <f>Table62689345679101112133[[#This Row],[Offer Value]]-Table62689345679101112133[[#This Row],[PO Value]]</f>
        <v>0</v>
      </c>
      <c r="W163" s="106"/>
      <c r="X163" s="106"/>
      <c r="Y163" s="617"/>
    </row>
    <row r="164" spans="1:25" ht="18">
      <c r="A164" s="480"/>
      <c r="B164" s="106"/>
      <c r="C164" s="105"/>
      <c r="D164" s="105"/>
      <c r="E164" s="105"/>
      <c r="F164" s="113"/>
      <c r="G164" s="113"/>
      <c r="H164" s="248"/>
      <c r="I164" s="105"/>
      <c r="J164" s="115"/>
      <c r="K164" s="115"/>
      <c r="L164" s="366"/>
      <c r="M164" s="116"/>
      <c r="N164" s="106"/>
      <c r="O164" s="106"/>
      <c r="P164" s="106"/>
      <c r="Q164" s="109"/>
      <c r="R164" s="289"/>
      <c r="S164" s="107"/>
      <c r="T164" s="106"/>
      <c r="U164" s="106"/>
      <c r="V164" s="284">
        <f>Table62689345679101112133[[#This Row],[Offer Value]]-Table62689345679101112133[[#This Row],[PO Value]]</f>
        <v>0</v>
      </c>
      <c r="W164" s="106"/>
      <c r="X164" s="106"/>
      <c r="Y164" s="217"/>
    </row>
    <row r="165" spans="1:25" ht="18">
      <c r="A165" s="480"/>
      <c r="B165" s="106"/>
      <c r="C165" s="105"/>
      <c r="D165" s="105"/>
      <c r="E165" s="105"/>
      <c r="F165" s="113"/>
      <c r="G165" s="113"/>
      <c r="H165" s="248"/>
      <c r="I165" s="108"/>
      <c r="J165" s="115"/>
      <c r="K165" s="115"/>
      <c r="L165" s="366"/>
      <c r="M165" s="116"/>
      <c r="N165" s="106"/>
      <c r="O165" s="106"/>
      <c r="P165" s="106"/>
      <c r="Q165" s="109"/>
      <c r="R165" s="289"/>
      <c r="S165" s="107"/>
      <c r="T165" s="106"/>
      <c r="U165" s="106"/>
      <c r="V165" s="284">
        <f>Table62689345679101112133[[#This Row],[Offer Value]]-Table62689345679101112133[[#This Row],[PO Value]]</f>
        <v>0</v>
      </c>
      <c r="W165" s="106"/>
      <c r="X165" s="106"/>
      <c r="Y165" s="217"/>
    </row>
    <row r="166" spans="1:25" ht="18">
      <c r="A166" s="480"/>
      <c r="B166" s="106"/>
      <c r="C166" s="105"/>
      <c r="D166" s="105"/>
      <c r="E166" s="105"/>
      <c r="F166" s="113"/>
      <c r="G166" s="113"/>
      <c r="H166" s="248"/>
      <c r="I166" s="113"/>
      <c r="J166" s="115"/>
      <c r="K166" s="115"/>
      <c r="L166" s="366"/>
      <c r="M166" s="116"/>
      <c r="N166" s="106"/>
      <c r="O166" s="106"/>
      <c r="P166" s="106"/>
      <c r="Q166" s="109"/>
      <c r="R166" s="289"/>
      <c r="S166" s="107"/>
      <c r="T166" s="106"/>
      <c r="U166" s="106"/>
      <c r="V166" s="284">
        <f>Table62689345679101112133[[#This Row],[Offer Value]]-Table62689345679101112133[[#This Row],[PO Value]]</f>
        <v>0</v>
      </c>
      <c r="W166" s="106"/>
      <c r="X166" s="106"/>
      <c r="Y166" s="217"/>
    </row>
    <row r="167" spans="1:25" ht="18">
      <c r="A167" s="480"/>
      <c r="B167" s="106"/>
      <c r="C167" s="105"/>
      <c r="D167" s="105"/>
      <c r="E167" s="105"/>
      <c r="F167" s="113"/>
      <c r="G167" s="113"/>
      <c r="H167" s="248"/>
      <c r="I167" s="108"/>
      <c r="J167" s="115"/>
      <c r="K167" s="115"/>
      <c r="L167" s="366"/>
      <c r="M167" s="116"/>
      <c r="N167" s="106"/>
      <c r="O167" s="106"/>
      <c r="P167" s="106"/>
      <c r="Q167" s="109"/>
      <c r="R167" s="289"/>
      <c r="S167" s="107"/>
      <c r="T167" s="106"/>
      <c r="U167" s="106"/>
      <c r="V167" s="284">
        <f>Table62689345679101112133[[#This Row],[Offer Value]]-Table62689345679101112133[[#This Row],[PO Value]]</f>
        <v>0</v>
      </c>
      <c r="W167" s="106"/>
      <c r="X167" s="106"/>
      <c r="Y167" s="217"/>
    </row>
    <row r="168" spans="1:25" ht="18">
      <c r="A168" s="480"/>
      <c r="B168" s="107"/>
      <c r="C168" s="105"/>
      <c r="D168" s="105"/>
      <c r="E168" s="105"/>
      <c r="F168" s="113"/>
      <c r="G168" s="113"/>
      <c r="H168" s="248"/>
      <c r="I168" s="105"/>
      <c r="J168" s="115"/>
      <c r="K168" s="115"/>
      <c r="L168" s="366"/>
      <c r="M168" s="116"/>
      <c r="N168" s="106"/>
      <c r="O168" s="106"/>
      <c r="P168" s="106"/>
      <c r="Q168" s="109"/>
      <c r="R168" s="289"/>
      <c r="S168" s="107"/>
      <c r="T168" s="106"/>
      <c r="U168" s="106"/>
      <c r="V168" s="284">
        <f>Table62689345679101112133[[#This Row],[Offer Value]]-Table62689345679101112133[[#This Row],[PO Value]]</f>
        <v>0</v>
      </c>
      <c r="W168" s="106"/>
      <c r="X168" s="106"/>
      <c r="Y168" s="217"/>
    </row>
    <row r="169" spans="1:25" ht="18">
      <c r="A169" s="480"/>
      <c r="B169" s="107"/>
      <c r="C169" s="105"/>
      <c r="D169" s="105"/>
      <c r="E169" s="105"/>
      <c r="F169" s="113"/>
      <c r="G169" s="113"/>
      <c r="H169" s="248"/>
      <c r="I169" s="105"/>
      <c r="J169" s="115"/>
      <c r="K169" s="115"/>
      <c r="L169" s="366"/>
      <c r="M169" s="116"/>
      <c r="N169" s="106"/>
      <c r="O169" s="106"/>
      <c r="P169" s="106"/>
      <c r="Q169" s="109"/>
      <c r="R169" s="289"/>
      <c r="S169" s="107"/>
      <c r="T169" s="106"/>
      <c r="U169" s="106"/>
      <c r="V169" s="284">
        <f>Table62689345679101112133[[#This Row],[Offer Value]]-Table62689345679101112133[[#This Row],[PO Value]]</f>
        <v>0</v>
      </c>
      <c r="W169" s="106"/>
      <c r="X169" s="106"/>
      <c r="Y169" s="217"/>
    </row>
    <row r="170" spans="1:25" ht="18">
      <c r="A170" s="480"/>
      <c r="B170" s="106"/>
      <c r="C170" s="105"/>
      <c r="D170" s="105"/>
      <c r="E170" s="105"/>
      <c r="F170" s="113"/>
      <c r="G170" s="113"/>
      <c r="H170" s="248"/>
      <c r="I170" s="108"/>
      <c r="J170" s="115"/>
      <c r="K170" s="115"/>
      <c r="L170" s="366"/>
      <c r="M170" s="116"/>
      <c r="N170" s="106"/>
      <c r="O170" s="106"/>
      <c r="P170" s="106"/>
      <c r="Q170" s="109"/>
      <c r="R170" s="289"/>
      <c r="S170" s="107"/>
      <c r="T170" s="106"/>
      <c r="U170" s="106"/>
      <c r="V170" s="284">
        <f>Table62689345679101112133[[#This Row],[Offer Value]]-Table62689345679101112133[[#This Row],[PO Value]]</f>
        <v>0</v>
      </c>
      <c r="W170" s="106"/>
      <c r="X170" s="106"/>
      <c r="Y170" s="217"/>
    </row>
    <row r="171" spans="1:25" ht="18">
      <c r="A171" s="480"/>
      <c r="B171" s="106"/>
      <c r="C171" s="105"/>
      <c r="D171" s="105"/>
      <c r="E171" s="105"/>
      <c r="F171" s="113"/>
      <c r="G171" s="113"/>
      <c r="H171" s="248"/>
      <c r="I171" s="105"/>
      <c r="J171" s="115"/>
      <c r="K171" s="115"/>
      <c r="L171" s="366"/>
      <c r="M171" s="116"/>
      <c r="N171" s="106"/>
      <c r="O171" s="106"/>
      <c r="P171" s="106"/>
      <c r="Q171" s="109"/>
      <c r="R171" s="289"/>
      <c r="S171" s="107"/>
      <c r="T171" s="106"/>
      <c r="U171" s="106"/>
      <c r="V171" s="284">
        <f>Table62689345679101112133[[#This Row],[Offer Value]]-Table62689345679101112133[[#This Row],[PO Value]]</f>
        <v>0</v>
      </c>
      <c r="W171" s="106"/>
      <c r="X171" s="106"/>
      <c r="Y171" s="217"/>
    </row>
    <row r="172" spans="1:25" ht="18">
      <c r="A172" s="480"/>
      <c r="B172" s="106"/>
      <c r="C172" s="105"/>
      <c r="D172" s="105"/>
      <c r="E172" s="105"/>
      <c r="F172" s="113"/>
      <c r="G172" s="113"/>
      <c r="H172" s="248"/>
      <c r="I172" s="105"/>
      <c r="J172" s="115"/>
      <c r="K172" s="115"/>
      <c r="L172" s="366"/>
      <c r="M172" s="116"/>
      <c r="N172" s="106"/>
      <c r="O172" s="106"/>
      <c r="P172" s="106"/>
      <c r="Q172" s="109"/>
      <c r="R172" s="289"/>
      <c r="S172" s="107"/>
      <c r="T172" s="106"/>
      <c r="U172" s="106"/>
      <c r="V172" s="284">
        <f>Table62689345679101112133[[#This Row],[Offer Value]]-Table62689345679101112133[[#This Row],[PO Value]]</f>
        <v>0</v>
      </c>
      <c r="W172" s="106"/>
      <c r="X172" s="106"/>
      <c r="Y172" s="217"/>
    </row>
    <row r="173" spans="1:25" ht="18">
      <c r="A173" s="480"/>
      <c r="B173" s="106"/>
      <c r="C173" s="105"/>
      <c r="D173" s="105"/>
      <c r="E173" s="105"/>
      <c r="F173" s="113"/>
      <c r="G173" s="113"/>
      <c r="H173" s="248"/>
      <c r="I173" s="105"/>
      <c r="J173" s="115"/>
      <c r="K173" s="115"/>
      <c r="L173" s="366"/>
      <c r="M173" s="116"/>
      <c r="N173" s="106"/>
      <c r="O173" s="106"/>
      <c r="P173" s="106"/>
      <c r="Q173" s="109"/>
      <c r="R173" s="289"/>
      <c r="S173" s="107"/>
      <c r="T173" s="106"/>
      <c r="U173" s="106"/>
      <c r="V173" s="284">
        <f>Table62689345679101112133[[#This Row],[Offer Value]]-Table62689345679101112133[[#This Row],[PO Value]]</f>
        <v>0</v>
      </c>
      <c r="W173" s="106"/>
      <c r="X173" s="106"/>
      <c r="Y173" s="217"/>
    </row>
    <row r="174" spans="1:25" ht="18">
      <c r="A174" s="480"/>
      <c r="B174" s="106"/>
      <c r="C174" s="105"/>
      <c r="D174" s="105"/>
      <c r="E174" s="105"/>
      <c r="F174" s="108"/>
      <c r="G174" s="108"/>
      <c r="H174" s="251"/>
      <c r="I174" s="105"/>
      <c r="J174" s="115"/>
      <c r="K174" s="115"/>
      <c r="L174" s="366"/>
      <c r="M174" s="116"/>
      <c r="N174" s="106"/>
      <c r="O174" s="106"/>
      <c r="P174" s="106"/>
      <c r="Q174" s="109"/>
      <c r="R174" s="289"/>
      <c r="S174" s="107"/>
      <c r="T174" s="106"/>
      <c r="U174" s="106"/>
      <c r="V174" s="284">
        <f>Table62689345679101112133[[#This Row],[Offer Value]]-Table62689345679101112133[[#This Row],[PO Value]]</f>
        <v>0</v>
      </c>
      <c r="W174" s="106"/>
      <c r="X174" s="106"/>
      <c r="Y174" s="217"/>
    </row>
    <row r="175" spans="1:25" ht="18">
      <c r="A175" s="480"/>
      <c r="B175" s="106"/>
      <c r="C175" s="105"/>
      <c r="D175" s="105"/>
      <c r="E175" s="105"/>
      <c r="F175" s="108"/>
      <c r="G175" s="108"/>
      <c r="H175" s="251"/>
      <c r="I175" s="105"/>
      <c r="J175" s="115"/>
      <c r="K175" s="115"/>
      <c r="L175" s="366"/>
      <c r="M175" s="116"/>
      <c r="N175" s="106"/>
      <c r="O175" s="106"/>
      <c r="P175" s="106"/>
      <c r="Q175" s="109"/>
      <c r="R175" s="289"/>
      <c r="S175" s="107"/>
      <c r="T175" s="106"/>
      <c r="U175" s="106"/>
      <c r="V175" s="284">
        <f>Table62689345679101112133[[#This Row],[Offer Value]]-Table62689345679101112133[[#This Row],[PO Value]]</f>
        <v>0</v>
      </c>
      <c r="W175" s="106"/>
      <c r="X175" s="106"/>
      <c r="Y175" s="617"/>
    </row>
    <row r="176" spans="1:25" ht="18">
      <c r="A176" s="480"/>
      <c r="B176" s="106"/>
      <c r="C176" s="105"/>
      <c r="D176" s="105"/>
      <c r="E176" s="105"/>
      <c r="F176" s="105"/>
      <c r="G176" s="105"/>
      <c r="H176" s="248"/>
      <c r="I176" s="105"/>
      <c r="J176" s="115"/>
      <c r="K176" s="115"/>
      <c r="L176" s="366"/>
      <c r="M176" s="116"/>
      <c r="N176" s="106"/>
      <c r="O176" s="106"/>
      <c r="P176" s="106"/>
      <c r="Q176" s="109"/>
      <c r="R176" s="289"/>
      <c r="S176" s="107"/>
      <c r="T176" s="106"/>
      <c r="U176" s="106"/>
      <c r="V176" s="284">
        <f>Table62689345679101112133[[#This Row],[Offer Value]]-Table62689345679101112133[[#This Row],[PO Value]]</f>
        <v>0</v>
      </c>
      <c r="W176" s="106"/>
      <c r="X176" s="106"/>
      <c r="Y176" s="617"/>
    </row>
    <row r="177" spans="1:25" ht="18">
      <c r="A177" s="480"/>
      <c r="B177" s="106"/>
      <c r="C177" s="105"/>
      <c r="D177" s="304"/>
      <c r="E177" s="304"/>
      <c r="F177" s="304"/>
      <c r="G177" s="304"/>
      <c r="H177" s="182"/>
      <c r="I177" s="105"/>
      <c r="J177" s="115"/>
      <c r="K177" s="115"/>
      <c r="L177" s="366"/>
      <c r="M177" s="116"/>
      <c r="N177" s="106"/>
      <c r="O177" s="106"/>
      <c r="P177" s="106"/>
      <c r="Q177" s="109"/>
      <c r="R177" s="256"/>
      <c r="S177" s="107"/>
      <c r="T177" s="106"/>
      <c r="U177" s="106"/>
      <c r="V177" s="284">
        <f>Table62689345679101112133[[#This Row],[Offer Value]]-Table62689345679101112133[[#This Row],[PO Value]]</f>
        <v>0</v>
      </c>
      <c r="W177" s="106"/>
      <c r="X177" s="106"/>
      <c r="Y177" s="617"/>
    </row>
    <row r="178" spans="1:25" ht="18">
      <c r="A178" s="480"/>
      <c r="B178" s="106"/>
      <c r="C178" s="105"/>
      <c r="D178" s="304"/>
      <c r="E178" s="304"/>
      <c r="F178" s="304"/>
      <c r="G178" s="304"/>
      <c r="H178" s="182"/>
      <c r="I178" s="105"/>
      <c r="J178" s="115"/>
      <c r="K178" s="115"/>
      <c r="L178" s="366"/>
      <c r="M178" s="116"/>
      <c r="N178" s="106"/>
      <c r="O178" s="106"/>
      <c r="P178" s="106"/>
      <c r="Q178" s="109"/>
      <c r="R178" s="289"/>
      <c r="S178" s="107"/>
      <c r="T178" s="106"/>
      <c r="U178" s="106"/>
      <c r="V178" s="284">
        <f>Table62689345679101112133[[#This Row],[Offer Value]]-Table62689345679101112133[[#This Row],[PO Value]]</f>
        <v>0</v>
      </c>
      <c r="W178" s="106"/>
      <c r="X178" s="106"/>
      <c r="Y178" s="617"/>
    </row>
    <row r="179" spans="1:25" ht="18">
      <c r="A179" s="480"/>
      <c r="B179" s="107"/>
      <c r="C179" s="105"/>
      <c r="D179" s="105"/>
      <c r="E179" s="108"/>
      <c r="F179" s="105"/>
      <c r="G179" s="105"/>
      <c r="H179" s="248"/>
      <c r="I179" s="105"/>
      <c r="J179" s="115"/>
      <c r="K179" s="115"/>
      <c r="L179" s="366"/>
      <c r="M179" s="116"/>
      <c r="N179" s="106"/>
      <c r="O179" s="106"/>
      <c r="P179" s="106"/>
      <c r="Q179" s="109"/>
      <c r="R179" s="256"/>
      <c r="S179" s="107"/>
      <c r="T179" s="106"/>
      <c r="U179" s="106"/>
      <c r="V179" s="284">
        <f>Table62689345679[[#This Row],[PO Value]]-Table62689345679[[#This Row],[Offer Value]]</f>
        <v>-66000</v>
      </c>
      <c r="W179" s="106"/>
      <c r="X179" s="106"/>
      <c r="Y179" s="617"/>
    </row>
    <row r="180" spans="1:25" ht="18">
      <c r="A180" s="480"/>
      <c r="B180" s="107"/>
      <c r="C180" s="105"/>
      <c r="D180" s="105"/>
      <c r="E180" s="108"/>
      <c r="F180" s="108"/>
      <c r="G180" s="108"/>
      <c r="H180" s="251"/>
      <c r="I180" s="105"/>
      <c r="J180" s="115"/>
      <c r="K180" s="115"/>
      <c r="L180" s="366"/>
      <c r="M180" s="116"/>
      <c r="N180" s="106"/>
      <c r="O180" s="106"/>
      <c r="P180" s="106"/>
      <c r="Q180" s="109"/>
      <c r="R180" s="289"/>
      <c r="S180" s="107"/>
      <c r="T180" s="106"/>
      <c r="U180" s="106"/>
      <c r="V180" s="284">
        <f>Table62689345679[[#This Row],[PO Value]]-Table62689345679[[#This Row],[Offer Value]]</f>
        <v>-66000</v>
      </c>
      <c r="W180" s="106"/>
      <c r="X180" s="106"/>
      <c r="Y180" s="217"/>
    </row>
    <row r="181" spans="1:25" ht="18">
      <c r="A181" s="480"/>
      <c r="B181" s="106"/>
      <c r="C181" s="105"/>
      <c r="D181" s="105"/>
      <c r="E181" s="108"/>
      <c r="F181" s="108"/>
      <c r="G181" s="108"/>
      <c r="H181" s="251"/>
      <c r="I181" s="105"/>
      <c r="J181" s="115"/>
      <c r="K181" s="115"/>
      <c r="L181" s="366"/>
      <c r="M181" s="116"/>
      <c r="N181" s="106"/>
      <c r="O181" s="106"/>
      <c r="P181" s="106"/>
      <c r="Q181" s="109"/>
      <c r="R181" s="256"/>
      <c r="S181" s="107"/>
      <c r="T181" s="106"/>
      <c r="U181" s="106"/>
      <c r="V181" s="284">
        <f>Table62689345679[[#This Row],[PO Value]]-Table62689345679[[#This Row],[Offer Value]]</f>
        <v>-66000</v>
      </c>
      <c r="W181" s="106"/>
      <c r="X181" s="106"/>
      <c r="Y181" s="617"/>
    </row>
    <row r="182" spans="1:25" ht="18">
      <c r="A182" s="480"/>
      <c r="B182" s="106"/>
      <c r="C182" s="105"/>
      <c r="D182" s="105"/>
      <c r="E182" s="105"/>
      <c r="F182" s="105"/>
      <c r="G182" s="105"/>
      <c r="H182" s="248"/>
      <c r="I182" s="105"/>
      <c r="J182" s="115"/>
      <c r="K182" s="115"/>
      <c r="L182" s="366"/>
      <c r="M182" s="116"/>
      <c r="N182" s="106"/>
      <c r="O182" s="106"/>
      <c r="P182" s="106"/>
      <c r="Q182" s="109"/>
      <c r="R182" s="289"/>
      <c r="S182" s="107"/>
      <c r="T182" s="106"/>
      <c r="U182" s="106"/>
      <c r="V182" s="284">
        <f>Table62689345679[[#This Row],[PO Value]]-Table62689345679[[#This Row],[Offer Value]]</f>
        <v>-66000</v>
      </c>
      <c r="W182" s="106"/>
      <c r="X182" s="106"/>
      <c r="Y182" s="217"/>
    </row>
    <row r="183" spans="1:25" ht="18">
      <c r="A183" s="480"/>
      <c r="B183" s="106"/>
      <c r="C183" s="105"/>
      <c r="D183" s="105"/>
      <c r="E183" s="105"/>
      <c r="F183" s="105"/>
      <c r="G183" s="105"/>
      <c r="H183" s="248"/>
      <c r="I183" s="105"/>
      <c r="J183" s="115"/>
      <c r="K183" s="115"/>
      <c r="L183" s="366"/>
      <c r="M183" s="105"/>
      <c r="N183" s="106"/>
      <c r="O183" s="106"/>
      <c r="P183" s="106"/>
      <c r="Q183" s="109"/>
      <c r="R183" s="289"/>
      <c r="S183" s="107"/>
      <c r="T183" s="106"/>
      <c r="U183" s="106"/>
      <c r="V183" s="284">
        <f>Table62689345679[[#This Row],[PO Value]]-Table62689345679[[#This Row],[Offer Value]]</f>
        <v>-66000</v>
      </c>
      <c r="W183" s="106"/>
      <c r="X183" s="106"/>
      <c r="Y183" s="217"/>
    </row>
    <row r="184" spans="1:25" ht="18">
      <c r="A184" s="480"/>
      <c r="B184" s="107"/>
      <c r="C184" s="105"/>
      <c r="D184" s="105"/>
      <c r="E184" s="105"/>
      <c r="F184" s="108"/>
      <c r="G184" s="105"/>
      <c r="H184" s="248"/>
      <c r="I184" s="105"/>
      <c r="J184" s="115"/>
      <c r="K184" s="115"/>
      <c r="L184" s="366"/>
      <c r="M184" s="116"/>
      <c r="N184" s="106"/>
      <c r="O184" s="106"/>
      <c r="P184" s="106"/>
      <c r="Q184" s="109"/>
      <c r="R184" s="289"/>
      <c r="S184" s="107"/>
      <c r="T184" s="106"/>
      <c r="U184" s="106"/>
      <c r="V184" s="284">
        <f>Table62689345679[[#This Row],[PO Value]]-Table62689345679[[#This Row],[Offer Value]]</f>
        <v>0</v>
      </c>
      <c r="W184" s="106"/>
      <c r="X184" s="106"/>
      <c r="Y184" s="217"/>
    </row>
    <row r="185" spans="1:25" ht="18">
      <c r="A185" s="480"/>
      <c r="B185" s="107"/>
      <c r="C185" s="105"/>
      <c r="D185" s="105"/>
      <c r="E185" s="105"/>
      <c r="F185" s="105"/>
      <c r="G185" s="105"/>
      <c r="H185" s="248"/>
      <c r="I185" s="105"/>
      <c r="J185" s="115"/>
      <c r="K185" s="115"/>
      <c r="L185" s="366"/>
      <c r="M185" s="116"/>
      <c r="N185" s="106"/>
      <c r="O185" s="106"/>
      <c r="P185" s="106"/>
      <c r="Q185" s="109"/>
      <c r="R185" s="289"/>
      <c r="S185" s="107"/>
      <c r="T185" s="106"/>
      <c r="U185" s="106"/>
      <c r="V185" s="284">
        <f>Table62689345679[[#This Row],[PO Value]]-Table62689345679[[#This Row],[Offer Value]]</f>
        <v>0</v>
      </c>
      <c r="W185" s="106"/>
      <c r="X185" s="106"/>
      <c r="Y185" s="217"/>
    </row>
    <row r="186" spans="1:25" ht="18">
      <c r="A186" s="480"/>
      <c r="B186" s="107"/>
      <c r="C186" s="105"/>
      <c r="D186" s="105"/>
      <c r="E186" s="113"/>
      <c r="F186" s="113"/>
      <c r="G186" s="113"/>
      <c r="H186" s="248"/>
      <c r="I186" s="113"/>
      <c r="J186" s="115"/>
      <c r="K186" s="115"/>
      <c r="L186" s="366"/>
      <c r="M186" s="116"/>
      <c r="N186" s="106"/>
      <c r="O186" s="106"/>
      <c r="P186" s="106"/>
      <c r="Q186" s="109"/>
      <c r="R186" s="256"/>
      <c r="S186" s="107"/>
      <c r="T186" s="106"/>
      <c r="U186" s="106"/>
      <c r="V186" s="284">
        <f>Table62689345679[[#This Row],[PO Value]]-Table62689345679[[#This Row],[Offer Value]]</f>
        <v>-9836</v>
      </c>
      <c r="W186" s="106"/>
      <c r="X186" s="106"/>
      <c r="Y186" s="617"/>
    </row>
    <row r="187" spans="1:25" ht="18">
      <c r="A187" s="480"/>
      <c r="B187" s="107"/>
      <c r="C187" s="105"/>
      <c r="D187" s="105"/>
      <c r="E187" s="105"/>
      <c r="F187" s="105"/>
      <c r="G187" s="105"/>
      <c r="H187" s="248"/>
      <c r="I187" s="105"/>
      <c r="J187" s="115"/>
      <c r="K187" s="115"/>
      <c r="L187" s="366"/>
      <c r="M187" s="116"/>
      <c r="N187" s="106"/>
      <c r="O187" s="106"/>
      <c r="P187" s="106"/>
      <c r="Q187" s="109"/>
      <c r="R187" s="289"/>
      <c r="S187" s="107"/>
      <c r="T187" s="106"/>
      <c r="U187" s="106"/>
      <c r="V187" s="284">
        <f>Table62689345679[[#This Row],[PO Value]]-Table62689345679[[#This Row],[Offer Value]]</f>
        <v>-58500</v>
      </c>
      <c r="W187" s="106"/>
      <c r="X187" s="106"/>
      <c r="Y187" s="217"/>
    </row>
    <row r="188" spans="1:25" ht="18">
      <c r="A188" s="480"/>
      <c r="B188" s="106"/>
      <c r="C188" s="105"/>
      <c r="D188" s="105"/>
      <c r="E188" s="108"/>
      <c r="F188" s="108"/>
      <c r="G188" s="105"/>
      <c r="H188" s="250"/>
      <c r="I188" s="105"/>
      <c r="J188" s="115"/>
      <c r="K188" s="115"/>
      <c r="L188" s="366"/>
      <c r="M188" s="105"/>
      <c r="N188" s="106"/>
      <c r="O188" s="106"/>
      <c r="P188" s="106"/>
      <c r="Q188" s="109"/>
      <c r="R188" s="289"/>
      <c r="S188" s="107"/>
      <c r="T188" s="106"/>
      <c r="U188" s="106"/>
      <c r="V188" s="284">
        <f>Table62689345679[[#This Row],[PO Value]]-Table62689345679[[#This Row],[Offer Value]]</f>
        <v>-58500</v>
      </c>
      <c r="W188" s="106"/>
      <c r="X188" s="106"/>
      <c r="Y188" s="217"/>
    </row>
    <row r="189" spans="1:25" ht="18">
      <c r="A189" s="480"/>
      <c r="B189" s="106"/>
      <c r="C189" s="105"/>
      <c r="D189" s="105"/>
      <c r="E189" s="108"/>
      <c r="F189" s="108"/>
      <c r="G189" s="105"/>
      <c r="H189" s="250"/>
      <c r="I189" s="105"/>
      <c r="J189" s="115"/>
      <c r="K189" s="115"/>
      <c r="L189" s="366"/>
      <c r="M189" s="105"/>
      <c r="N189" s="106"/>
      <c r="O189" s="106"/>
      <c r="P189" s="106"/>
      <c r="Q189" s="109"/>
      <c r="R189" s="289"/>
      <c r="S189" s="107"/>
      <c r="T189" s="106"/>
      <c r="U189" s="106"/>
      <c r="V189" s="284">
        <f>Table62689345679[[#This Row],[PO Value]]-Table62689345679[[#This Row],[Offer Value]]</f>
        <v>-58500</v>
      </c>
      <c r="W189" s="106"/>
      <c r="X189" s="106"/>
      <c r="Y189" s="217"/>
    </row>
    <row r="190" spans="1:25" ht="18">
      <c r="A190" s="480"/>
      <c r="B190" s="106"/>
      <c r="C190" s="105"/>
      <c r="D190" s="105"/>
      <c r="E190" s="303"/>
      <c r="F190" s="303"/>
      <c r="G190" s="303"/>
      <c r="H190" s="250"/>
      <c r="I190" s="105"/>
      <c r="J190" s="115"/>
      <c r="K190" s="115"/>
      <c r="L190" s="366"/>
      <c r="M190" s="105"/>
      <c r="N190" s="106"/>
      <c r="O190" s="106"/>
      <c r="P190" s="106"/>
      <c r="Q190" s="109"/>
      <c r="R190" s="256"/>
      <c r="S190" s="107"/>
      <c r="T190" s="106"/>
      <c r="U190" s="106"/>
      <c r="V190" s="284">
        <f>Table62689345679[[#This Row],[PO Value]]-Table62689345679[[#This Row],[Offer Value]]</f>
        <v>-58500</v>
      </c>
      <c r="W190" s="106"/>
      <c r="X190" s="106"/>
      <c r="Y190" s="617"/>
    </row>
    <row r="191" spans="1:25" ht="18">
      <c r="A191" s="480"/>
      <c r="B191" s="106"/>
      <c r="C191" s="105"/>
      <c r="D191" s="105"/>
      <c r="E191" s="108"/>
      <c r="F191" s="108"/>
      <c r="G191" s="108"/>
      <c r="H191" s="251"/>
      <c r="I191" s="108"/>
      <c r="J191" s="115"/>
      <c r="K191" s="115"/>
      <c r="L191" s="366"/>
      <c r="M191" s="105"/>
      <c r="N191" s="106"/>
      <c r="O191" s="106"/>
      <c r="P191" s="106"/>
      <c r="Q191" s="109"/>
      <c r="R191" s="256"/>
      <c r="S191" s="107"/>
      <c r="T191" s="106"/>
      <c r="U191" s="106"/>
      <c r="V191" s="284">
        <f>Table62689345679[[#This Row],[PO Value]]-Table62689345679[[#This Row],[Offer Value]]</f>
        <v>-58500</v>
      </c>
      <c r="W191" s="106"/>
      <c r="X191" s="106"/>
      <c r="Y191" s="617"/>
    </row>
    <row r="192" spans="1:25" ht="18">
      <c r="A192" s="480"/>
      <c r="B192" s="106"/>
      <c r="C192" s="105"/>
      <c r="D192" s="105"/>
      <c r="E192" s="108"/>
      <c r="F192" s="108"/>
      <c r="G192" s="108"/>
      <c r="H192" s="251"/>
      <c r="I192" s="108"/>
      <c r="J192" s="115"/>
      <c r="K192" s="115"/>
      <c r="L192" s="366"/>
      <c r="M192" s="116"/>
      <c r="N192" s="106"/>
      <c r="O192" s="106"/>
      <c r="P192" s="106"/>
      <c r="Q192" s="109"/>
      <c r="R192" s="289"/>
      <c r="S192" s="107"/>
      <c r="T192" s="106"/>
      <c r="U192" s="106"/>
      <c r="V192" s="284">
        <f>Table62689345679[[#This Row],[PO Value]]-Table62689345679[[#This Row],[Offer Value]]</f>
        <v>-58500</v>
      </c>
      <c r="W192" s="106"/>
      <c r="X192" s="106"/>
      <c r="Y192" s="217"/>
    </row>
    <row r="193" spans="1:25" ht="18">
      <c r="A193" s="480"/>
      <c r="B193" s="106"/>
      <c r="C193" s="105"/>
      <c r="D193" s="105"/>
      <c r="E193" s="108"/>
      <c r="F193" s="108"/>
      <c r="G193" s="108"/>
      <c r="H193" s="251"/>
      <c r="I193" s="108"/>
      <c r="J193" s="115"/>
      <c r="K193" s="115"/>
      <c r="L193" s="366"/>
      <c r="M193" s="116"/>
      <c r="N193" s="106"/>
      <c r="O193" s="106"/>
      <c r="P193" s="106"/>
      <c r="Q193" s="109"/>
      <c r="R193" s="289"/>
      <c r="S193" s="107"/>
      <c r="T193" s="106"/>
      <c r="U193" s="106"/>
      <c r="V193" s="284">
        <f>Table62689345679[[#This Row],[PO Value]]-Table62689345679[[#This Row],[Offer Value]]</f>
        <v>-58500</v>
      </c>
      <c r="W193" s="106"/>
      <c r="X193" s="106"/>
      <c r="Y193" s="217"/>
    </row>
    <row r="194" spans="1:25" ht="18">
      <c r="A194" s="480"/>
      <c r="B194" s="106"/>
      <c r="C194" s="105"/>
      <c r="D194" s="105"/>
      <c r="E194" s="108"/>
      <c r="F194" s="105"/>
      <c r="G194" s="105"/>
      <c r="H194" s="248"/>
      <c r="I194" s="105"/>
      <c r="J194" s="115"/>
      <c r="K194" s="115"/>
      <c r="L194" s="366"/>
      <c r="M194" s="105"/>
      <c r="N194" s="106"/>
      <c r="O194" s="106"/>
      <c r="P194" s="106"/>
      <c r="Q194" s="109"/>
      <c r="R194" s="289"/>
      <c r="S194" s="107"/>
      <c r="T194" s="106"/>
      <c r="U194" s="106"/>
      <c r="V194" s="284">
        <f>Table62689345679[[#This Row],[PO Value]]-Table62689345679[[#This Row],[Offer Value]]</f>
        <v>-57500</v>
      </c>
      <c r="W194" s="106"/>
      <c r="X194" s="106"/>
      <c r="Y194" s="217"/>
    </row>
    <row r="195" spans="1:25" ht="18">
      <c r="A195" s="480"/>
      <c r="B195" s="106"/>
      <c r="C195" s="105"/>
      <c r="D195" s="105"/>
      <c r="E195" s="108"/>
      <c r="F195" s="105"/>
      <c r="G195" s="105"/>
      <c r="H195" s="248"/>
      <c r="I195" s="105"/>
      <c r="J195" s="115"/>
      <c r="K195" s="115"/>
      <c r="L195" s="366"/>
      <c r="M195" s="105"/>
      <c r="N195" s="106"/>
      <c r="O195" s="106"/>
      <c r="P195" s="106"/>
      <c r="Q195" s="109"/>
      <c r="R195" s="256"/>
      <c r="S195" s="107"/>
      <c r="T195" s="106"/>
      <c r="U195" s="106"/>
      <c r="V195" s="284">
        <f>Table62689345679[[#This Row],[PO Value]]-Table62689345679[[#This Row],[Offer Value]]</f>
        <v>-57500</v>
      </c>
      <c r="W195" s="106"/>
      <c r="X195" s="106"/>
      <c r="Y195" s="617"/>
    </row>
    <row r="196" spans="1:25" ht="18">
      <c r="A196" s="480"/>
      <c r="B196" s="106"/>
      <c r="C196" s="105"/>
      <c r="D196" s="105"/>
      <c r="E196" s="108"/>
      <c r="F196" s="105"/>
      <c r="G196" s="105"/>
      <c r="H196" s="248"/>
      <c r="I196" s="105"/>
      <c r="J196" s="115"/>
      <c r="K196" s="115"/>
      <c r="L196" s="366"/>
      <c r="M196" s="105"/>
      <c r="N196" s="106"/>
      <c r="O196" s="106"/>
      <c r="P196" s="106"/>
      <c r="Q196" s="109"/>
      <c r="R196" s="289"/>
      <c r="S196" s="107"/>
      <c r="T196" s="106"/>
      <c r="U196" s="106"/>
      <c r="V196" s="284">
        <f>Table62689345679[[#This Row],[PO Value]]-Table62689345679[[#This Row],[Offer Value]]</f>
        <v>-57500</v>
      </c>
      <c r="W196" s="106"/>
      <c r="X196" s="106"/>
      <c r="Y196" s="217"/>
    </row>
    <row r="197" spans="1:25" ht="18">
      <c r="A197" s="480"/>
      <c r="B197" s="106"/>
      <c r="C197" s="105"/>
      <c r="D197" s="105"/>
      <c r="E197" s="105"/>
      <c r="F197" s="105"/>
      <c r="G197" s="105"/>
      <c r="H197" s="250"/>
      <c r="I197" s="105"/>
      <c r="J197" s="115"/>
      <c r="K197" s="115"/>
      <c r="L197" s="366"/>
      <c r="M197" s="116"/>
      <c r="N197" s="106"/>
      <c r="O197" s="106"/>
      <c r="P197" s="106"/>
      <c r="Q197" s="109"/>
      <c r="R197" s="256"/>
      <c r="S197" s="107"/>
      <c r="T197" s="106"/>
      <c r="U197" s="106"/>
      <c r="V197" s="284">
        <f>Table62689345679[[#This Row],[PO Value]]-Table62689345679[[#This Row],[Offer Value]]</f>
        <v>-57500</v>
      </c>
      <c r="W197" s="106"/>
      <c r="X197" s="106"/>
      <c r="Y197" s="617"/>
    </row>
    <row r="198" spans="1:25" ht="18">
      <c r="A198" s="480"/>
      <c r="B198" s="106"/>
      <c r="C198" s="105"/>
      <c r="D198" s="105"/>
      <c r="E198" s="304"/>
      <c r="F198" s="304"/>
      <c r="G198" s="304"/>
      <c r="H198" s="182"/>
      <c r="I198" s="304"/>
      <c r="J198" s="115"/>
      <c r="K198" s="115"/>
      <c r="L198" s="366"/>
      <c r="M198" s="105"/>
      <c r="N198" s="106"/>
      <c r="O198" s="106"/>
      <c r="P198" s="106"/>
      <c r="Q198" s="109"/>
      <c r="R198" s="289"/>
      <c r="S198" s="107"/>
      <c r="T198" s="106"/>
      <c r="U198" s="106"/>
      <c r="V198" s="284">
        <f>Table62689345679[[#This Row],[PO Value]]-Table62689345679[[#This Row],[Offer Value]]</f>
        <v>-57500</v>
      </c>
      <c r="W198" s="110"/>
      <c r="X198" s="110"/>
      <c r="Y198" s="217"/>
    </row>
    <row r="199" spans="1:25" ht="18">
      <c r="A199" s="480"/>
      <c r="B199" s="106"/>
      <c r="C199" s="105"/>
      <c r="D199" s="105"/>
      <c r="E199" s="105"/>
      <c r="F199" s="105"/>
      <c r="G199" s="105"/>
      <c r="H199" s="248"/>
      <c r="I199" s="105"/>
      <c r="J199" s="115"/>
      <c r="K199" s="115"/>
      <c r="L199" s="366"/>
      <c r="M199" s="105"/>
      <c r="N199" s="106"/>
      <c r="O199" s="106"/>
      <c r="P199" s="106"/>
      <c r="Q199" s="109"/>
      <c r="R199" s="289"/>
      <c r="S199" s="107"/>
      <c r="T199" s="106"/>
      <c r="U199" s="106"/>
      <c r="V199" s="284">
        <f>Table62689345679[[#This Row],[PO Value]]-Table62689345679[[#This Row],[Offer Value]]</f>
        <v>0</v>
      </c>
      <c r="W199" s="106"/>
      <c r="X199" s="106"/>
      <c r="Y199" s="217"/>
    </row>
    <row r="200" spans="1:25" ht="15.6" customHeight="1">
      <c r="A200" s="480"/>
      <c r="B200" s="106"/>
      <c r="C200" s="105"/>
      <c r="D200" s="105"/>
      <c r="E200" s="105"/>
      <c r="F200" s="105"/>
      <c r="G200" s="105"/>
      <c r="H200" s="248"/>
      <c r="I200" s="105"/>
      <c r="J200" s="115"/>
      <c r="K200" s="115"/>
      <c r="L200" s="366"/>
      <c r="M200" s="116"/>
      <c r="N200" s="106"/>
      <c r="O200" s="106"/>
      <c r="P200" s="106"/>
      <c r="Q200" s="109"/>
      <c r="R200" s="289"/>
      <c r="S200" s="107"/>
      <c r="T200" s="106"/>
      <c r="U200" s="106"/>
      <c r="V200" s="284">
        <f>Table62689345679[[#This Row],[PO Value]]-Table62689345679[[#This Row],[Offer Value]]</f>
        <v>-58000</v>
      </c>
      <c r="W200" s="106"/>
      <c r="X200" s="106"/>
      <c r="Y200" s="217"/>
    </row>
    <row r="201" spans="1:25" ht="15.6">
      <c r="A201" s="106"/>
      <c r="B201" s="106"/>
      <c r="C201" s="105"/>
      <c r="D201" s="105"/>
      <c r="E201" s="105"/>
      <c r="F201" s="105"/>
      <c r="G201" s="105"/>
      <c r="H201" s="248"/>
      <c r="I201" s="105"/>
      <c r="J201" s="115"/>
      <c r="K201" s="115"/>
      <c r="L201" s="105"/>
      <c r="M201" s="105"/>
      <c r="N201" s="106"/>
      <c r="O201" s="106"/>
      <c r="P201" s="106"/>
      <c r="Q201" s="109"/>
      <c r="R201" s="256"/>
      <c r="S201" s="107"/>
      <c r="T201" s="106"/>
      <c r="U201" s="106"/>
      <c r="V201" s="284">
        <f>Table62689345679[[#This Row],[PO Value]]-Table62689345679[[#This Row],[Offer Value]]</f>
        <v>-58000</v>
      </c>
      <c r="W201" s="106"/>
      <c r="X201" s="106"/>
      <c r="Y201" s="617"/>
    </row>
    <row r="202" spans="1:25" ht="15.6">
      <c r="A202" s="106"/>
      <c r="B202" s="106"/>
      <c r="C202" s="105"/>
      <c r="D202" s="105"/>
      <c r="E202" s="105"/>
      <c r="F202" s="105"/>
      <c r="G202" s="105"/>
      <c r="H202" s="248"/>
      <c r="I202" s="105"/>
      <c r="J202" s="115"/>
      <c r="K202" s="115"/>
      <c r="L202" s="105"/>
      <c r="M202" s="105"/>
      <c r="N202" s="106"/>
      <c r="O202" s="106"/>
      <c r="P202" s="106"/>
      <c r="Q202" s="109"/>
      <c r="R202" s="289"/>
      <c r="S202" s="107"/>
      <c r="T202" s="106"/>
      <c r="U202" s="106"/>
      <c r="V202" s="284">
        <f>Table62689345679[[#This Row],[PO Value]]-Table62689345679[[#This Row],[Offer Value]]</f>
        <v>-58000</v>
      </c>
      <c r="W202" s="106"/>
      <c r="X202" s="106"/>
      <c r="Y202" s="217"/>
    </row>
    <row r="203" spans="1:25" ht="18.600000000000001" customHeight="1">
      <c r="A203" s="106"/>
      <c r="B203" s="106"/>
      <c r="C203" s="105"/>
      <c r="D203" s="105"/>
      <c r="E203" s="105"/>
      <c r="F203" s="105"/>
      <c r="G203" s="105"/>
      <c r="H203" s="248"/>
      <c r="I203" s="105"/>
      <c r="J203" s="115"/>
      <c r="K203" s="115"/>
      <c r="L203" s="105"/>
      <c r="M203" s="105"/>
      <c r="N203" s="106"/>
      <c r="O203" s="106"/>
      <c r="P203" s="106"/>
      <c r="Q203" s="109"/>
      <c r="R203" s="289"/>
      <c r="S203" s="107"/>
      <c r="T203" s="106"/>
      <c r="U203" s="106"/>
      <c r="V203" s="284">
        <f>Table62689345679[[#This Row],[PO Value]]-Table62689345679[[#This Row],[Offer Value]]</f>
        <v>-60000</v>
      </c>
      <c r="W203" s="106"/>
      <c r="X203" s="106"/>
      <c r="Y203" s="217"/>
    </row>
    <row r="204" spans="1:25" ht="18">
      <c r="A204" s="106"/>
      <c r="B204" s="106"/>
      <c r="C204" s="105"/>
      <c r="D204" s="105"/>
      <c r="E204" s="108"/>
      <c r="F204" s="108"/>
      <c r="G204" s="108"/>
      <c r="H204" s="251"/>
      <c r="I204" s="105"/>
      <c r="J204" s="115"/>
      <c r="K204" s="115"/>
      <c r="L204" s="366"/>
      <c r="M204" s="105"/>
      <c r="N204" s="106"/>
      <c r="O204" s="106"/>
      <c r="P204" s="106"/>
      <c r="Q204" s="109"/>
      <c r="R204" s="289"/>
      <c r="S204" s="107"/>
      <c r="T204" s="106"/>
      <c r="U204" s="106"/>
      <c r="V204" s="284">
        <f>Table62689345679[[#This Row],[PO Value]]-Table62689345679[[#This Row],[Offer Value]]</f>
        <v>-175600</v>
      </c>
      <c r="W204" s="106"/>
      <c r="X204" s="106"/>
      <c r="Y204" s="217"/>
    </row>
    <row r="205" spans="1:25" ht="18">
      <c r="A205" s="106"/>
      <c r="B205" s="106"/>
      <c r="C205" s="105"/>
      <c r="D205" s="105"/>
      <c r="E205" s="108"/>
      <c r="F205" s="108"/>
      <c r="G205" s="108"/>
      <c r="H205" s="251"/>
      <c r="I205" s="108"/>
      <c r="J205" s="115"/>
      <c r="K205" s="115"/>
      <c r="L205" s="366"/>
      <c r="M205" s="105"/>
      <c r="N205" s="106"/>
      <c r="O205" s="106"/>
      <c r="P205" s="106"/>
      <c r="Q205" s="109"/>
      <c r="R205" s="289"/>
      <c r="S205" s="107"/>
      <c r="T205" s="106"/>
      <c r="U205" s="106"/>
      <c r="V205" s="284">
        <f>Table62689345679[[#This Row],[PO Value]]-Table62689345679[[#This Row],[Offer Value]]</f>
        <v>0</v>
      </c>
      <c r="W205" s="106"/>
      <c r="X205" s="106"/>
      <c r="Y205" s="217"/>
    </row>
    <row r="206" spans="1:25" ht="18">
      <c r="A206" s="106"/>
      <c r="B206" s="106"/>
      <c r="C206" s="105"/>
      <c r="D206" s="105"/>
      <c r="E206" s="105"/>
      <c r="F206" s="105"/>
      <c r="G206" s="105"/>
      <c r="H206" s="250"/>
      <c r="I206" s="105"/>
      <c r="J206" s="115"/>
      <c r="K206" s="115"/>
      <c r="L206" s="366"/>
      <c r="M206" s="105"/>
      <c r="N206" s="106"/>
      <c r="O206" s="106"/>
      <c r="P206" s="106"/>
      <c r="Q206" s="109"/>
      <c r="R206" s="256"/>
      <c r="S206" s="107"/>
      <c r="T206" s="106"/>
      <c r="U206" s="106"/>
      <c r="V206" s="284">
        <f>Table62689345679[[#This Row],[PO Value]]-Table62689345679[[#This Row],[Offer Value]]</f>
        <v>0</v>
      </c>
      <c r="W206" s="106"/>
      <c r="X206" s="106"/>
      <c r="Y206" s="617"/>
    </row>
    <row r="207" spans="1:25" ht="18">
      <c r="A207" s="106"/>
      <c r="B207" s="106"/>
      <c r="C207" s="105"/>
      <c r="D207" s="105"/>
      <c r="E207" s="105"/>
      <c r="F207" s="105"/>
      <c r="G207" s="105"/>
      <c r="H207" s="250"/>
      <c r="I207" s="105"/>
      <c r="J207" s="115"/>
      <c r="K207" s="115"/>
      <c r="L207" s="366"/>
      <c r="M207" s="105"/>
      <c r="N207" s="106"/>
      <c r="O207" s="106"/>
      <c r="P207" s="106"/>
      <c r="Q207" s="109"/>
      <c r="R207" s="256"/>
      <c r="S207" s="107"/>
      <c r="T207" s="106"/>
      <c r="U207" s="106"/>
      <c r="V207" s="284">
        <f>Table62689345679[[#This Row],[PO Value]]-Table62689345679[[#This Row],[Offer Value]]</f>
        <v>0</v>
      </c>
      <c r="W207" s="106"/>
      <c r="X207" s="106"/>
      <c r="Y207" s="217"/>
    </row>
    <row r="208" spans="1:25" ht="18">
      <c r="A208" s="106"/>
      <c r="B208" s="106"/>
      <c r="C208" s="105"/>
      <c r="D208" s="105"/>
      <c r="E208" s="105"/>
      <c r="F208" s="105"/>
      <c r="G208" s="105"/>
      <c r="H208" s="250"/>
      <c r="I208" s="105"/>
      <c r="J208" s="115"/>
      <c r="K208" s="115"/>
      <c r="L208" s="366"/>
      <c r="M208" s="105"/>
      <c r="N208" s="106"/>
      <c r="O208" s="106"/>
      <c r="P208" s="106"/>
      <c r="Q208" s="109"/>
      <c r="R208" s="256"/>
      <c r="S208" s="107"/>
      <c r="T208" s="106"/>
      <c r="U208" s="106"/>
      <c r="V208" s="284">
        <f>Table62689345679[[#This Row],[PO Value]]-Table62689345679[[#This Row],[Offer Value]]</f>
        <v>0</v>
      </c>
      <c r="W208" s="106"/>
      <c r="X208" s="106"/>
      <c r="Y208" s="217"/>
    </row>
    <row r="209" spans="1:25" ht="18">
      <c r="A209" s="106"/>
      <c r="B209" s="106"/>
      <c r="C209" s="105"/>
      <c r="D209" s="105"/>
      <c r="E209" s="108"/>
      <c r="F209" s="108"/>
      <c r="G209" s="108"/>
      <c r="H209" s="251"/>
      <c r="I209" s="108"/>
      <c r="J209" s="115"/>
      <c r="K209" s="115"/>
      <c r="L209" s="366"/>
      <c r="M209" s="105"/>
      <c r="N209" s="106"/>
      <c r="O209" s="106"/>
      <c r="P209" s="106"/>
      <c r="Q209" s="109"/>
      <c r="R209" s="256"/>
      <c r="S209" s="107"/>
      <c r="T209" s="106"/>
      <c r="U209" s="106"/>
      <c r="V209" s="284">
        <f>Table62689345679[[#This Row],[PO Value]]-Table62689345679[[#This Row],[Offer Value]]</f>
        <v>0</v>
      </c>
      <c r="W209" s="106"/>
      <c r="X209" s="106"/>
      <c r="Y209" s="617"/>
    </row>
    <row r="210" spans="1:25" ht="18">
      <c r="A210" s="106"/>
      <c r="B210" s="106"/>
      <c r="C210" s="108"/>
      <c r="D210" s="108"/>
      <c r="E210" s="108"/>
      <c r="F210" s="108"/>
      <c r="G210" s="108"/>
      <c r="H210" s="251"/>
      <c r="I210" s="108"/>
      <c r="J210" s="115"/>
      <c r="K210" s="115"/>
      <c r="L210" s="366"/>
      <c r="M210" s="105"/>
      <c r="N210" s="106"/>
      <c r="O210" s="106"/>
      <c r="P210" s="106"/>
      <c r="Q210" s="109"/>
      <c r="R210" s="256"/>
      <c r="S210" s="107"/>
      <c r="T210" s="106"/>
      <c r="U210" s="106"/>
      <c r="V210" s="284">
        <f>Table62689345679[[#This Row],[PO Value]]-Table62689345679[[#This Row],[Offer Value]]</f>
        <v>0</v>
      </c>
      <c r="W210" s="106"/>
      <c r="X210" s="106"/>
      <c r="Y210" s="617"/>
    </row>
    <row r="211" spans="1:25" ht="18">
      <c r="A211" s="106"/>
      <c r="B211" s="106"/>
      <c r="C211" s="108"/>
      <c r="D211" s="108"/>
      <c r="E211" s="108"/>
      <c r="F211" s="108"/>
      <c r="G211" s="108"/>
      <c r="H211" s="251"/>
      <c r="I211" s="108"/>
      <c r="J211" s="115"/>
      <c r="K211" s="115"/>
      <c r="L211" s="366"/>
      <c r="M211" s="105"/>
      <c r="N211" s="106"/>
      <c r="O211" s="106"/>
      <c r="P211" s="106"/>
      <c r="Q211" s="109"/>
      <c r="R211" s="256"/>
      <c r="S211" s="107"/>
      <c r="T211" s="106"/>
      <c r="U211" s="106"/>
      <c r="V211" s="284">
        <f>Table62689345679[[#This Row],[PO Value]]-Table62689345679[[#This Row],[Offer Value]]</f>
        <v>0</v>
      </c>
      <c r="W211" s="106"/>
      <c r="X211" s="106"/>
      <c r="Y211" s="217"/>
    </row>
    <row r="212" spans="1:25" ht="18">
      <c r="A212" s="106"/>
      <c r="B212" s="106"/>
      <c r="C212" s="108"/>
      <c r="D212" s="108"/>
      <c r="E212" s="108"/>
      <c r="F212" s="108"/>
      <c r="G212" s="108"/>
      <c r="H212" s="251"/>
      <c r="I212" s="105"/>
      <c r="J212" s="115"/>
      <c r="K212" s="115"/>
      <c r="L212" s="366"/>
      <c r="M212" s="105"/>
      <c r="N212" s="106"/>
      <c r="O212" s="106"/>
      <c r="P212" s="106"/>
      <c r="Q212" s="109"/>
      <c r="R212" s="256"/>
      <c r="S212" s="107"/>
      <c r="T212" s="106"/>
      <c r="U212" s="106"/>
      <c r="V212" s="284">
        <f>Table62689345679[[#This Row],[PO Value]]-Table62689345679[[#This Row],[Offer Value]]</f>
        <v>0</v>
      </c>
      <c r="W212" s="106"/>
      <c r="X212" s="106"/>
      <c r="Y212" s="617"/>
    </row>
    <row r="213" spans="1:25" ht="18">
      <c r="A213" s="106"/>
      <c r="B213" s="106"/>
      <c r="C213" s="108"/>
      <c r="D213" s="108"/>
      <c r="E213" s="108"/>
      <c r="F213" s="108"/>
      <c r="G213" s="108"/>
      <c r="H213" s="251"/>
      <c r="I213" s="105"/>
      <c r="J213" s="115"/>
      <c r="K213" s="115"/>
      <c r="L213" s="366"/>
      <c r="M213" s="105"/>
      <c r="N213" s="106"/>
      <c r="O213" s="106"/>
      <c r="P213" s="106"/>
      <c r="Q213" s="109"/>
      <c r="R213" s="256"/>
      <c r="S213" s="107"/>
      <c r="T213" s="106"/>
      <c r="U213" s="106"/>
      <c r="V213" s="284">
        <f>Table62689345679[[#This Row],[PO Value]]-Table62689345679[[#This Row],[Offer Value]]</f>
        <v>0</v>
      </c>
      <c r="W213" s="106"/>
      <c r="X213" s="106"/>
      <c r="Y213" s="617"/>
    </row>
    <row r="214" spans="1:25" ht="18">
      <c r="A214" s="106"/>
      <c r="B214" s="106"/>
      <c r="C214" s="108"/>
      <c r="D214" s="108"/>
      <c r="E214" s="108"/>
      <c r="F214" s="108"/>
      <c r="G214" s="108"/>
      <c r="H214" s="251"/>
      <c r="I214" s="105"/>
      <c r="J214" s="115"/>
      <c r="K214" s="115"/>
      <c r="L214" s="366"/>
      <c r="M214" s="105"/>
      <c r="N214" s="106"/>
      <c r="O214" s="106"/>
      <c r="P214" s="106"/>
      <c r="Q214" s="109"/>
      <c r="R214" s="256"/>
      <c r="S214" s="107"/>
      <c r="T214" s="106"/>
      <c r="U214" s="106"/>
      <c r="V214" s="284">
        <f>Table62689345679[[#This Row],[PO Value]]-Table62689345679[[#This Row],[Offer Value]]</f>
        <v>0</v>
      </c>
      <c r="W214" s="106"/>
      <c r="X214" s="106"/>
      <c r="Y214" s="617"/>
    </row>
    <row r="215" spans="1:25" ht="18">
      <c r="A215" s="106"/>
      <c r="B215" s="106"/>
      <c r="C215" s="304"/>
      <c r="D215" s="303"/>
      <c r="E215" s="304"/>
      <c r="F215" s="304"/>
      <c r="G215" s="304"/>
      <c r="H215" s="182"/>
      <c r="I215" s="304"/>
      <c r="J215" s="115"/>
      <c r="K215" s="115"/>
      <c r="L215" s="366"/>
      <c r="M215" s="116"/>
      <c r="N215" s="106"/>
      <c r="O215" s="106"/>
      <c r="P215" s="106"/>
      <c r="Q215" s="109"/>
      <c r="R215" s="289"/>
      <c r="S215" s="107"/>
      <c r="T215" s="106"/>
      <c r="U215" s="106"/>
      <c r="V215" s="284">
        <f>Table62689345679[[#This Row],[PO Value]]-Table62689345679[[#This Row],[Offer Value]]</f>
        <v>0</v>
      </c>
      <c r="W215" s="106"/>
      <c r="X215" s="106"/>
      <c r="Y215" s="217"/>
    </row>
    <row r="216" spans="1:25" ht="18">
      <c r="A216" s="106"/>
      <c r="B216" s="107"/>
      <c r="C216" s="304"/>
      <c r="D216" s="303"/>
      <c r="E216" s="304"/>
      <c r="F216" s="304"/>
      <c r="G216" s="304"/>
      <c r="H216" s="182"/>
      <c r="I216" s="304"/>
      <c r="J216" s="115"/>
      <c r="K216" s="115"/>
      <c r="L216" s="366"/>
      <c r="M216" s="116"/>
      <c r="N216" s="106"/>
      <c r="O216" s="106"/>
      <c r="P216" s="106"/>
      <c r="Q216" s="109"/>
      <c r="R216" s="289"/>
      <c r="S216" s="107"/>
      <c r="T216" s="106"/>
      <c r="U216" s="106"/>
      <c r="V216" s="284">
        <f>Table62689345679[[#This Row],[PO Value]]-Table62689345679[[#This Row],[Offer Value]]</f>
        <v>0</v>
      </c>
      <c r="W216" s="106"/>
      <c r="X216" s="106"/>
      <c r="Y216" s="217"/>
    </row>
    <row r="217" spans="1:25" ht="18">
      <c r="A217" s="106"/>
      <c r="B217" s="107"/>
      <c r="C217" s="304"/>
      <c r="D217" s="303"/>
      <c r="E217" s="304"/>
      <c r="F217" s="304"/>
      <c r="G217" s="304"/>
      <c r="H217" s="182"/>
      <c r="I217" s="304"/>
      <c r="J217" s="115"/>
      <c r="K217" s="115"/>
      <c r="L217" s="366"/>
      <c r="M217" s="116"/>
      <c r="N217" s="106"/>
      <c r="O217" s="106"/>
      <c r="P217" s="106"/>
      <c r="Q217" s="109"/>
      <c r="R217" s="289"/>
      <c r="S217" s="107"/>
      <c r="T217" s="106"/>
      <c r="U217" s="106"/>
      <c r="V217" s="284">
        <f>Table62689345679[[#This Row],[PO Value]]-Table62689345679[[#This Row],[Offer Value]]</f>
        <v>0</v>
      </c>
      <c r="W217" s="106"/>
      <c r="X217" s="106"/>
      <c r="Y217" s="217"/>
    </row>
    <row r="218" spans="1:25" ht="18">
      <c r="A218" s="106"/>
      <c r="B218" s="107"/>
      <c r="C218" s="304"/>
      <c r="D218" s="303"/>
      <c r="E218" s="304"/>
      <c r="F218" s="304"/>
      <c r="G218" s="304"/>
      <c r="H218" s="182"/>
      <c r="I218" s="304"/>
      <c r="J218" s="115"/>
      <c r="K218" s="115"/>
      <c r="L218" s="366"/>
      <c r="M218" s="116"/>
      <c r="N218" s="106"/>
      <c r="O218" s="106"/>
      <c r="P218" s="106"/>
      <c r="Q218" s="109"/>
      <c r="R218" s="289"/>
      <c r="S218" s="107"/>
      <c r="T218" s="106"/>
      <c r="U218" s="106"/>
      <c r="V218" s="284">
        <f>Table62689345679[[#This Row],[PO Value]]-Table62689345679[[#This Row],[Offer Value]]</f>
        <v>0</v>
      </c>
      <c r="W218" s="106"/>
      <c r="X218" s="106"/>
      <c r="Y218" s="217"/>
    </row>
    <row r="219" spans="1:25" ht="18">
      <c r="A219" s="106"/>
      <c r="B219" s="107"/>
      <c r="C219" s="304"/>
      <c r="D219" s="303"/>
      <c r="E219" s="304"/>
      <c r="F219" s="304"/>
      <c r="G219" s="304"/>
      <c r="H219" s="182"/>
      <c r="I219" s="304"/>
      <c r="J219" s="115"/>
      <c r="K219" s="115"/>
      <c r="L219" s="366"/>
      <c r="M219" s="116"/>
      <c r="N219" s="106"/>
      <c r="O219" s="106"/>
      <c r="P219" s="106"/>
      <c r="Q219" s="109"/>
      <c r="R219" s="289"/>
      <c r="S219" s="107"/>
      <c r="T219" s="106"/>
      <c r="U219" s="106"/>
      <c r="V219" s="284">
        <f>Table62689345679[[#This Row],[PO Value]]-Table62689345679[[#This Row],[Offer Value]]</f>
        <v>0</v>
      </c>
      <c r="W219" s="106"/>
      <c r="X219" s="106"/>
      <c r="Y219" s="217"/>
    </row>
    <row r="220" spans="1:25" ht="18">
      <c r="A220" s="106"/>
      <c r="B220" s="106"/>
      <c r="C220" s="105"/>
      <c r="D220" s="108"/>
      <c r="E220" s="108"/>
      <c r="F220" s="108"/>
      <c r="G220" s="108"/>
      <c r="H220" s="251"/>
      <c r="I220" s="105"/>
      <c r="J220" s="115"/>
      <c r="K220" s="366"/>
      <c r="L220" s="366"/>
      <c r="M220" s="105"/>
      <c r="N220" s="106"/>
      <c r="O220" s="106"/>
      <c r="P220" s="106"/>
      <c r="Q220" s="109"/>
      <c r="R220" s="256"/>
      <c r="S220" s="107"/>
      <c r="T220" s="106"/>
      <c r="U220" s="106"/>
      <c r="V220" s="284">
        <f>Table62689345679[[#This Row],[PO Value]]-Table62689345679[[#This Row],[Offer Value]]</f>
        <v>0</v>
      </c>
      <c r="W220" s="106"/>
      <c r="X220" s="106"/>
      <c r="Y220" s="617"/>
    </row>
    <row r="221" spans="1:25" ht="18">
      <c r="A221" s="106"/>
      <c r="B221" s="107"/>
      <c r="C221" s="105"/>
      <c r="D221" s="108"/>
      <c r="E221" s="108"/>
      <c r="F221" s="108"/>
      <c r="G221" s="108"/>
      <c r="H221" s="251"/>
      <c r="I221" s="105"/>
      <c r="J221" s="115"/>
      <c r="K221" s="115"/>
      <c r="L221" s="366"/>
      <c r="M221" s="105"/>
      <c r="N221" s="106"/>
      <c r="O221" s="106"/>
      <c r="P221" s="106"/>
      <c r="Q221" s="109"/>
      <c r="R221" s="256"/>
      <c r="S221" s="107"/>
      <c r="T221" s="106"/>
      <c r="U221" s="106"/>
      <c r="V221" s="284">
        <f>Table62689345679[[#This Row],[PO Value]]-Table62689345679[[#This Row],[Offer Value]]</f>
        <v>0</v>
      </c>
      <c r="W221" s="106"/>
      <c r="X221" s="106"/>
      <c r="Y221" s="617"/>
    </row>
    <row r="222" spans="1:25" ht="15.6" customHeight="1">
      <c r="A222" s="106"/>
      <c r="B222" s="106"/>
      <c r="C222" s="105"/>
      <c r="D222" s="108"/>
      <c r="E222" s="108"/>
      <c r="F222" s="108"/>
      <c r="G222" s="108"/>
      <c r="H222" s="251"/>
      <c r="I222" s="105"/>
      <c r="J222" s="115"/>
      <c r="K222" s="115"/>
      <c r="L222" s="366"/>
      <c r="M222" s="105"/>
      <c r="N222" s="106"/>
      <c r="O222" s="106"/>
      <c r="P222" s="106"/>
      <c r="Q222" s="109"/>
      <c r="R222" s="289"/>
      <c r="S222" s="107"/>
      <c r="T222" s="106"/>
      <c r="U222" s="106"/>
      <c r="V222" s="284">
        <f>Table62689345679[[#This Row],[PO Value]]-Table62689345679[[#This Row],[Offer Value]]</f>
        <v>0</v>
      </c>
      <c r="W222" s="106"/>
      <c r="X222" s="106"/>
      <c r="Y222" s="217"/>
    </row>
    <row r="223" spans="1:25" ht="15.6">
      <c r="A223" s="106"/>
      <c r="B223" s="106"/>
      <c r="C223" s="105"/>
      <c r="D223" s="105"/>
      <c r="E223" s="105"/>
      <c r="F223" s="105"/>
      <c r="G223" s="105"/>
      <c r="H223" s="105"/>
      <c r="I223" s="105"/>
      <c r="J223" s="115"/>
      <c r="K223" s="115"/>
      <c r="L223" s="105"/>
      <c r="M223" s="116"/>
      <c r="N223" s="106"/>
      <c r="O223" s="106"/>
      <c r="P223" s="106"/>
      <c r="Q223" s="109"/>
      <c r="R223" s="289"/>
      <c r="S223" s="107"/>
      <c r="T223" s="106"/>
      <c r="U223" s="106"/>
      <c r="V223" s="284">
        <f>Table62689345679[[#This Row],[PO Value]]-Table62689345679[[#This Row],[Offer Value]]</f>
        <v>0</v>
      </c>
      <c r="W223" s="106"/>
      <c r="X223" s="106"/>
      <c r="Y223" s="217"/>
    </row>
    <row r="224" spans="1:25" ht="15.6">
      <c r="A224" s="106"/>
      <c r="B224" s="106"/>
      <c r="C224" s="105"/>
      <c r="D224" s="105"/>
      <c r="E224" s="105"/>
      <c r="F224" s="105"/>
      <c r="G224" s="105"/>
      <c r="H224" s="105"/>
      <c r="I224" s="105"/>
      <c r="J224" s="105"/>
      <c r="K224" s="105"/>
      <c r="L224" s="115"/>
      <c r="M224" s="116"/>
      <c r="N224" s="106"/>
      <c r="O224" s="106"/>
      <c r="P224" s="106"/>
      <c r="Q224" s="109"/>
      <c r="R224" s="256"/>
      <c r="S224" s="107"/>
      <c r="T224" s="106"/>
      <c r="U224" s="106"/>
      <c r="V224" s="284">
        <f>Table62689345679[[#This Row],[PO Value]]-Table62689345679[[#This Row],[Offer Value]]</f>
        <v>0</v>
      </c>
      <c r="W224" s="106"/>
      <c r="X224" s="106"/>
      <c r="Y224" s="617"/>
    </row>
    <row r="225" spans="1:25" ht="15.6">
      <c r="A225" s="106"/>
      <c r="B225" s="106"/>
      <c r="C225" s="105"/>
      <c r="D225" s="105"/>
      <c r="E225" s="105"/>
      <c r="F225" s="105"/>
      <c r="G225" s="105"/>
      <c r="H225" s="105"/>
      <c r="I225" s="105"/>
      <c r="J225" s="115"/>
      <c r="K225" s="115"/>
      <c r="L225" s="105"/>
      <c r="M225" s="105"/>
      <c r="N225" s="106"/>
      <c r="O225" s="106"/>
      <c r="P225" s="106"/>
      <c r="Q225" s="109"/>
      <c r="R225" s="289"/>
      <c r="S225" s="107"/>
      <c r="T225" s="106"/>
      <c r="U225" s="106"/>
      <c r="V225" s="284">
        <f>Table62689345679[[#This Row],[PO Value]]-Table62689345679[[#This Row],[Offer Value]]</f>
        <v>0</v>
      </c>
      <c r="W225" s="106"/>
      <c r="X225" s="106"/>
      <c r="Y225" s="217"/>
    </row>
    <row r="226" spans="1:25" ht="15.6">
      <c r="A226" s="106"/>
      <c r="B226" s="106"/>
      <c r="C226" s="105"/>
      <c r="D226" s="105"/>
      <c r="E226" s="105"/>
      <c r="F226" s="105"/>
      <c r="G226" s="105"/>
      <c r="H226" s="105"/>
      <c r="I226" s="105"/>
      <c r="J226" s="115"/>
      <c r="K226" s="115"/>
      <c r="L226" s="105"/>
      <c r="M226" s="105"/>
      <c r="N226" s="106"/>
      <c r="O226" s="106"/>
      <c r="P226" s="106"/>
      <c r="Q226" s="109"/>
      <c r="R226" s="289"/>
      <c r="S226" s="107"/>
      <c r="T226" s="106"/>
      <c r="U226" s="106"/>
      <c r="V226" s="284">
        <f>Table62689345679[[#This Row],[PO Value]]-Table62689345679[[#This Row],[Offer Value]]</f>
        <v>0</v>
      </c>
      <c r="W226" s="106"/>
      <c r="X226" s="106"/>
      <c r="Y226" s="217"/>
    </row>
    <row r="227" spans="1:25" ht="15.6">
      <c r="A227" s="106"/>
      <c r="B227" s="106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05"/>
      <c r="N227" s="106"/>
      <c r="O227" s="106"/>
      <c r="P227" s="106"/>
      <c r="Q227" s="109"/>
      <c r="R227" s="289"/>
      <c r="S227" s="107"/>
      <c r="T227" s="106"/>
      <c r="U227" s="106"/>
      <c r="V227" s="284">
        <f>Table62689345679[[#This Row],[PO Value]]-Table62689345679[[#This Row],[Offer Value]]</f>
        <v>0</v>
      </c>
      <c r="W227" s="106"/>
      <c r="X227" s="106"/>
      <c r="Y227" s="217"/>
    </row>
    <row r="228" spans="1:25" ht="15.6">
      <c r="A228" s="106"/>
      <c r="B228" s="106"/>
      <c r="C228" s="105"/>
      <c r="D228" s="105"/>
      <c r="E228" s="105"/>
      <c r="F228" s="105"/>
      <c r="G228" s="105"/>
      <c r="H228" s="105"/>
      <c r="I228" s="105"/>
      <c r="J228" s="115"/>
      <c r="K228" s="115"/>
      <c r="L228" s="105"/>
      <c r="M228" s="105"/>
      <c r="N228" s="106"/>
      <c r="O228" s="106"/>
      <c r="P228" s="106"/>
      <c r="Q228" s="109"/>
      <c r="R228" s="289"/>
      <c r="S228" s="107"/>
      <c r="T228" s="106"/>
      <c r="U228" s="106"/>
      <c r="V228" s="284">
        <f>Table62689345679[[#This Row],[PO Value]]-Table62689345679[[#This Row],[Offer Value]]</f>
        <v>0</v>
      </c>
      <c r="W228" s="106"/>
      <c r="X228" s="106"/>
      <c r="Y228" s="217"/>
    </row>
    <row r="229" spans="1:25" ht="15.6">
      <c r="A229" s="106"/>
      <c r="B229" s="106"/>
      <c r="C229" s="105"/>
      <c r="D229" s="105"/>
      <c r="E229" s="105"/>
      <c r="F229" s="105"/>
      <c r="G229" s="105"/>
      <c r="H229" s="105"/>
      <c r="I229" s="105"/>
      <c r="J229" s="115"/>
      <c r="K229" s="115"/>
      <c r="L229" s="105"/>
      <c r="M229" s="105"/>
      <c r="N229" s="106"/>
      <c r="O229" s="106"/>
      <c r="P229" s="106"/>
      <c r="Q229" s="109"/>
      <c r="R229" s="256"/>
      <c r="S229" s="107"/>
      <c r="T229" s="106"/>
      <c r="U229" s="106"/>
      <c r="V229" s="284">
        <f>Table62689345679[[#This Row],[PO Value]]-Table62689345679[[#This Row],[Offer Value]]</f>
        <v>0</v>
      </c>
      <c r="W229" s="106"/>
      <c r="X229" s="106"/>
      <c r="Y229" s="617"/>
    </row>
    <row r="230" spans="1:25" ht="15.6">
      <c r="A230" s="106"/>
      <c r="B230" s="106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05"/>
      <c r="N230" s="106"/>
      <c r="O230" s="106"/>
      <c r="P230" s="106"/>
      <c r="Q230" s="109"/>
      <c r="R230" s="289"/>
      <c r="S230" s="107"/>
      <c r="T230" s="106"/>
      <c r="U230" s="106"/>
      <c r="V230" s="284">
        <f>Table62689345679[[#This Row],[PO Value]]-Table62689345679[[#This Row],[Offer Value]]</f>
        <v>0</v>
      </c>
      <c r="W230" s="106"/>
      <c r="X230" s="106"/>
      <c r="Y230" s="217"/>
    </row>
    <row r="231" spans="1:25" ht="15.6">
      <c r="A231" s="106"/>
      <c r="B231" s="106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05"/>
      <c r="N231" s="106"/>
      <c r="O231" s="106"/>
      <c r="P231" s="106"/>
      <c r="Q231" s="109"/>
      <c r="R231" s="256"/>
      <c r="S231" s="107"/>
      <c r="T231" s="106"/>
      <c r="U231" s="106"/>
      <c r="V231" s="284">
        <f>Table62689345679[[#This Row],[PO Value]]-Table62689345679[[#This Row],[Offer Value]]</f>
        <v>0</v>
      </c>
      <c r="W231" s="106"/>
      <c r="X231" s="106"/>
      <c r="Y231" s="617"/>
    </row>
    <row r="232" spans="1:25" ht="15.6">
      <c r="A232" s="106"/>
      <c r="B232" s="106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05"/>
      <c r="N232" s="106"/>
      <c r="O232" s="106"/>
      <c r="P232" s="106"/>
      <c r="Q232" s="109"/>
      <c r="R232" s="256"/>
      <c r="S232" s="107"/>
      <c r="T232" s="106"/>
      <c r="U232" s="106"/>
      <c r="V232" s="284">
        <f>Table62689345679[[#This Row],[PO Value]]-Table62689345679[[#This Row],[Offer Value]]</f>
        <v>0</v>
      </c>
      <c r="W232" s="106"/>
      <c r="X232" s="106"/>
      <c r="Y232" s="617"/>
    </row>
    <row r="233" spans="1:25" ht="15.6">
      <c r="A233" s="106"/>
      <c r="B233" s="106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16"/>
      <c r="N233" s="106"/>
      <c r="O233" s="106"/>
      <c r="P233" s="106"/>
      <c r="Q233" s="109"/>
      <c r="R233" s="289"/>
      <c r="S233" s="107"/>
      <c r="T233" s="106"/>
      <c r="U233" s="106"/>
      <c r="V233" s="284">
        <f>Table62689345679[[#This Row],[PO Value]]-Table62689345679[[#This Row],[Offer Value]]</f>
        <v>0</v>
      </c>
      <c r="W233" s="106"/>
      <c r="X233" s="106"/>
      <c r="Y233" s="217"/>
    </row>
    <row r="234" spans="1:25" ht="15.6">
      <c r="A234" s="106"/>
      <c r="B234" s="106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05"/>
      <c r="N234" s="106"/>
      <c r="O234" s="106"/>
      <c r="P234" s="106"/>
      <c r="Q234" s="109"/>
      <c r="R234" s="289"/>
      <c r="S234" s="107"/>
      <c r="T234" s="106"/>
      <c r="U234" s="106"/>
      <c r="V234" s="284">
        <f>Table62689345679[[#This Row],[PO Value]]-Table62689345679[[#This Row],[Offer Value]]</f>
        <v>0</v>
      </c>
      <c r="W234" s="106"/>
      <c r="X234" s="106"/>
      <c r="Y234" s="217"/>
    </row>
    <row r="235" spans="1:25" ht="15.6">
      <c r="A235" s="106"/>
      <c r="B235" s="106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05"/>
      <c r="N235" s="106"/>
      <c r="O235" s="106"/>
      <c r="P235" s="106"/>
      <c r="Q235" s="109"/>
      <c r="R235" s="256"/>
      <c r="S235" s="107"/>
      <c r="T235" s="106"/>
      <c r="U235" s="106"/>
      <c r="V235" s="284">
        <f>Table62689345679[[#This Row],[PO Value]]-Table62689345679[[#This Row],[Offer Value]]</f>
        <v>0</v>
      </c>
      <c r="W235" s="106"/>
      <c r="X235" s="106"/>
      <c r="Y235" s="617"/>
    </row>
    <row r="236" spans="1:25" ht="15.6">
      <c r="A236" s="106"/>
      <c r="B236" s="106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05"/>
      <c r="N236" s="106"/>
      <c r="O236" s="106"/>
      <c r="P236" s="106"/>
      <c r="Q236" s="109"/>
      <c r="R236" s="256"/>
      <c r="S236" s="107"/>
      <c r="T236" s="106"/>
      <c r="U236" s="106"/>
      <c r="V236" s="284">
        <f>Table62689345679[[#This Row],[PO Value]]-Table62689345679[[#This Row],[Offer Value]]</f>
        <v>0</v>
      </c>
      <c r="W236" s="106"/>
      <c r="X236" s="106"/>
      <c r="Y236" s="617"/>
    </row>
    <row r="237" spans="1:25" ht="15.6">
      <c r="A237" s="106"/>
      <c r="B237" s="106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16"/>
      <c r="N237" s="106"/>
      <c r="O237" s="106"/>
      <c r="P237" s="106"/>
      <c r="Q237" s="109"/>
      <c r="R237" s="289"/>
      <c r="S237" s="107"/>
      <c r="T237" s="106"/>
      <c r="U237" s="106"/>
      <c r="V237" s="284">
        <f>Table62689345679[[#This Row],[PO Value]]-Table62689345679[[#This Row],[Offer Value]]</f>
        <v>0</v>
      </c>
      <c r="W237" s="106"/>
      <c r="X237" s="106"/>
      <c r="Y237" s="217"/>
    </row>
    <row r="238" spans="1:25" ht="15.6">
      <c r="A238" s="106"/>
      <c r="B238" s="106"/>
      <c r="C238" s="105"/>
      <c r="D238" s="105"/>
      <c r="E238" s="105"/>
      <c r="F238" s="105"/>
      <c r="G238" s="105"/>
      <c r="H238" s="105"/>
      <c r="I238" s="105"/>
      <c r="J238" s="115"/>
      <c r="K238" s="115"/>
      <c r="L238" s="105"/>
      <c r="M238" s="105"/>
      <c r="N238" s="106"/>
      <c r="O238" s="106"/>
      <c r="P238" s="106"/>
      <c r="Q238" s="109"/>
      <c r="R238" s="289"/>
      <c r="S238" s="107"/>
      <c r="T238" s="106"/>
      <c r="U238" s="106"/>
      <c r="V238" s="284">
        <f>Table62689345679[[#This Row],[PO Value]]-Table62689345679[[#This Row],[Offer Value]]</f>
        <v>0</v>
      </c>
      <c r="W238" s="106"/>
      <c r="X238" s="106"/>
      <c r="Y238" s="217"/>
    </row>
    <row r="239" spans="1:25" ht="15.6">
      <c r="A239" s="106"/>
      <c r="B239" s="106"/>
      <c r="C239" s="117"/>
      <c r="D239" s="117"/>
      <c r="E239" s="117"/>
      <c r="F239" s="117"/>
      <c r="G239" s="117"/>
      <c r="H239" s="117"/>
      <c r="I239" s="117"/>
      <c r="J239" s="108"/>
      <c r="K239" s="108"/>
      <c r="L239" s="105"/>
      <c r="M239" s="105"/>
      <c r="N239" s="106"/>
      <c r="O239" s="106"/>
      <c r="P239" s="106"/>
      <c r="Q239" s="109"/>
      <c r="R239" s="289"/>
      <c r="S239" s="107"/>
      <c r="T239" s="106"/>
      <c r="U239" s="106"/>
      <c r="V239" s="284">
        <f>Table62689345679[[#This Row],[PO Value]]-Table62689345679[[#This Row],[Offer Value]]</f>
        <v>0</v>
      </c>
      <c r="W239" s="106"/>
      <c r="X239" s="106"/>
      <c r="Y239" s="217"/>
    </row>
    <row r="240" spans="1:25" ht="15.6">
      <c r="A240" s="106"/>
      <c r="B240" s="106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05"/>
      <c r="N240" s="106"/>
      <c r="O240" s="106"/>
      <c r="P240" s="106"/>
      <c r="Q240" s="109"/>
      <c r="R240" s="289"/>
      <c r="S240" s="107"/>
      <c r="T240" s="106"/>
      <c r="U240" s="106"/>
      <c r="V240" s="284">
        <f>Table62689345679[[#This Row],[PO Value]]-Table62689345679[[#This Row],[Offer Value]]</f>
        <v>0</v>
      </c>
      <c r="W240" s="106"/>
      <c r="X240" s="106"/>
      <c r="Y240" s="217"/>
    </row>
    <row r="241" spans="1:25" ht="15.6">
      <c r="A241" s="106"/>
      <c r="B241" s="106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05"/>
      <c r="N241" s="106"/>
      <c r="O241" s="106"/>
      <c r="P241" s="106"/>
      <c r="Q241" s="109"/>
      <c r="R241" s="289"/>
      <c r="S241" s="107"/>
      <c r="T241" s="106"/>
      <c r="U241" s="106"/>
      <c r="V241" s="284">
        <f>Table62689345679[[#This Row],[PO Value]]-Table62689345679[[#This Row],[Offer Value]]</f>
        <v>0</v>
      </c>
      <c r="W241" s="106"/>
      <c r="X241" s="106"/>
      <c r="Y241" s="217"/>
    </row>
    <row r="242" spans="1:25" ht="15.6">
      <c r="A242" s="106"/>
      <c r="B242" s="106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106"/>
      <c r="O242" s="106"/>
      <c r="P242" s="106"/>
      <c r="Q242" s="109"/>
      <c r="R242" s="289"/>
      <c r="S242" s="107"/>
      <c r="T242" s="106"/>
      <c r="U242" s="106"/>
      <c r="V242" s="284">
        <f>Table62689345679[[#This Row],[PO Value]]-Table62689345679[[#This Row],[Offer Value]]</f>
        <v>0</v>
      </c>
      <c r="W242" s="106"/>
      <c r="X242" s="106"/>
      <c r="Y242" s="217"/>
    </row>
    <row r="243" spans="1:25" ht="15.6">
      <c r="A243" s="106"/>
      <c r="B243" s="106"/>
      <c r="C243" s="105"/>
      <c r="D243" s="105"/>
      <c r="E243" s="105"/>
      <c r="F243" s="105"/>
      <c r="G243" s="105"/>
      <c r="H243" s="105"/>
      <c r="I243" s="105"/>
      <c r="J243" s="115"/>
      <c r="K243" s="115"/>
      <c r="L243" s="105"/>
      <c r="M243" s="105"/>
      <c r="N243" s="106"/>
      <c r="O243" s="106"/>
      <c r="P243" s="106"/>
      <c r="Q243" s="109"/>
      <c r="R243" s="289"/>
      <c r="S243" s="107"/>
      <c r="T243" s="106"/>
      <c r="U243" s="106"/>
      <c r="V243" s="284">
        <f>Table62689345679[[#This Row],[PO Value]]-Table62689345679[[#This Row],[Offer Value]]</f>
        <v>0</v>
      </c>
      <c r="W243" s="106"/>
      <c r="X243" s="106"/>
      <c r="Y243" s="217"/>
    </row>
    <row r="244" spans="1:25" ht="15.6">
      <c r="A244" s="106"/>
      <c r="B244" s="106"/>
      <c r="C244" s="105"/>
      <c r="D244" s="105"/>
      <c r="E244" s="105"/>
      <c r="F244" s="105"/>
      <c r="G244" s="105"/>
      <c r="H244" s="105"/>
      <c r="I244" s="105"/>
      <c r="J244" s="108"/>
      <c r="K244" s="108"/>
      <c r="L244" s="105"/>
      <c r="M244" s="105"/>
      <c r="N244" s="106"/>
      <c r="O244" s="106"/>
      <c r="P244" s="106"/>
      <c r="Q244" s="109"/>
      <c r="R244" s="289"/>
      <c r="S244" s="107"/>
      <c r="T244" s="106"/>
      <c r="U244" s="106"/>
      <c r="V244" s="284">
        <f>Table62689345679[[#This Row],[PO Value]]-Table62689345679[[#This Row],[Offer Value]]</f>
        <v>0</v>
      </c>
      <c r="W244" s="106"/>
      <c r="X244" s="106"/>
      <c r="Y244" s="217"/>
    </row>
    <row r="245" spans="1:25" ht="15.6">
      <c r="A245" s="106"/>
      <c r="B245" s="106"/>
      <c r="C245" s="105"/>
      <c r="D245" s="105"/>
      <c r="E245" s="105"/>
      <c r="F245" s="105"/>
      <c r="G245" s="105"/>
      <c r="H245" s="105"/>
      <c r="I245" s="105"/>
      <c r="J245" s="108"/>
      <c r="K245" s="108"/>
      <c r="L245" s="105"/>
      <c r="M245" s="105"/>
      <c r="N245" s="106"/>
      <c r="O245" s="106"/>
      <c r="P245" s="106"/>
      <c r="Q245" s="109"/>
      <c r="R245" s="289"/>
      <c r="S245" s="107"/>
      <c r="T245" s="106"/>
      <c r="U245" s="106"/>
      <c r="V245" s="284">
        <f>Table62689345679[[#This Row],[PO Value]]-Table62689345679[[#This Row],[Offer Value]]</f>
        <v>0</v>
      </c>
      <c r="W245" s="106"/>
      <c r="X245" s="106"/>
      <c r="Y245" s="217"/>
    </row>
    <row r="246" spans="1:25" ht="15.6">
      <c r="A246" s="106"/>
      <c r="B246" s="107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16"/>
      <c r="N246" s="106"/>
      <c r="O246" s="106"/>
      <c r="P246" s="106"/>
      <c r="Q246" s="109"/>
      <c r="R246" s="289"/>
      <c r="S246" s="107"/>
      <c r="T246" s="106"/>
      <c r="U246" s="106"/>
      <c r="V246" s="284">
        <f>Table62689345679[[#This Row],[PO Value]]-Table62689345679[[#This Row],[Offer Value]]</f>
        <v>0</v>
      </c>
      <c r="W246" s="106"/>
      <c r="X246" s="106"/>
      <c r="Y246" s="217"/>
    </row>
    <row r="247" spans="1:25" ht="15.6">
      <c r="A247" s="106"/>
      <c r="B247" s="107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16"/>
      <c r="N247" s="106"/>
      <c r="O247" s="106"/>
      <c r="P247" s="106"/>
      <c r="Q247" s="109"/>
      <c r="R247" s="289"/>
      <c r="S247" s="107"/>
      <c r="T247" s="106"/>
      <c r="U247" s="106"/>
      <c r="V247" s="284">
        <f>Table62689345679[[#This Row],[PO Value]]-Table62689345679[[#This Row],[Offer Value]]</f>
        <v>0</v>
      </c>
      <c r="W247" s="106"/>
      <c r="X247" s="106"/>
      <c r="Y247" s="217"/>
    </row>
    <row r="248" spans="1:25" ht="15.6">
      <c r="A248" s="106"/>
      <c r="B248" s="107"/>
      <c r="C248" s="105"/>
      <c r="D248" s="105"/>
      <c r="E248" s="105"/>
      <c r="F248" s="105"/>
      <c r="G248" s="105"/>
      <c r="H248" s="105"/>
      <c r="I248" s="105"/>
      <c r="J248" s="115"/>
      <c r="K248" s="115"/>
      <c r="L248" s="105"/>
      <c r="M248" s="116"/>
      <c r="N248" s="106"/>
      <c r="O248" s="106"/>
      <c r="P248" s="106"/>
      <c r="Q248" s="109"/>
      <c r="R248" s="289"/>
      <c r="S248" s="107"/>
      <c r="T248" s="106"/>
      <c r="U248" s="106"/>
      <c r="V248" s="284">
        <f>Table62689345679[[#This Row],[PO Value]]-Table62689345679[[#This Row],[Offer Value]]</f>
        <v>0</v>
      </c>
      <c r="W248" s="106"/>
      <c r="X248" s="106"/>
      <c r="Y248" s="217"/>
    </row>
    <row r="249" spans="1:25" ht="15.6">
      <c r="A249" s="106"/>
      <c r="B249" s="107"/>
      <c r="C249" s="105"/>
      <c r="D249" s="105"/>
      <c r="E249" s="105"/>
      <c r="F249" s="105"/>
      <c r="G249" s="105"/>
      <c r="H249" s="105"/>
      <c r="I249" s="105"/>
      <c r="J249" s="115"/>
      <c r="K249" s="115"/>
      <c r="L249" s="105"/>
      <c r="M249" s="105"/>
      <c r="N249" s="106"/>
      <c r="O249" s="106"/>
      <c r="P249" s="106"/>
      <c r="Q249" s="109"/>
      <c r="R249" s="256"/>
      <c r="S249" s="107"/>
      <c r="T249" s="106"/>
      <c r="U249" s="106"/>
      <c r="V249" s="284">
        <f>Table62689345679[[#This Row],[PO Value]]-Table62689345679[[#This Row],[Offer Value]]</f>
        <v>0</v>
      </c>
      <c r="W249" s="106"/>
      <c r="X249" s="106"/>
      <c r="Y249" s="617"/>
    </row>
    <row r="250" spans="1:25" ht="15.6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106"/>
      <c r="O250" s="106"/>
      <c r="P250" s="106"/>
      <c r="Q250" s="109"/>
      <c r="R250" s="289"/>
      <c r="S250" s="107"/>
      <c r="T250" s="106"/>
      <c r="U250" s="106"/>
      <c r="V250" s="284">
        <f>Table62689345679[[#This Row],[PO Value]]-Table62689345679[[#This Row],[Offer Value]]</f>
        <v>0</v>
      </c>
      <c r="W250" s="106"/>
      <c r="X250" s="106"/>
      <c r="Y250" s="217"/>
    </row>
    <row r="251" spans="1:25" ht="15.6">
      <c r="A251" s="106"/>
      <c r="B251" s="107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16"/>
      <c r="N251" s="106"/>
      <c r="O251" s="106"/>
      <c r="P251" s="106"/>
      <c r="Q251" s="109"/>
      <c r="R251" s="289"/>
      <c r="S251" s="107"/>
      <c r="T251" s="106"/>
      <c r="U251" s="106"/>
      <c r="V251" s="284">
        <f>Table62689345679[[#This Row],[PO Value]]-Table62689345679[[#This Row],[Offer Value]]</f>
        <v>0</v>
      </c>
      <c r="W251" s="106"/>
      <c r="X251" s="106"/>
      <c r="Y251" s="217"/>
    </row>
    <row r="252" spans="1:25" ht="15.6">
      <c r="A252" s="106"/>
      <c r="B252" s="107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16"/>
      <c r="N252" s="106"/>
      <c r="O252" s="106"/>
      <c r="P252" s="106"/>
      <c r="Q252" s="109"/>
      <c r="R252" s="289"/>
      <c r="S252" s="107"/>
      <c r="T252" s="106"/>
      <c r="U252" s="106"/>
      <c r="V252" s="284">
        <f>Table62689345679[[#This Row],[PO Value]]-Table62689345679[[#This Row],[Offer Value]]</f>
        <v>0</v>
      </c>
      <c r="W252" s="106"/>
      <c r="X252" s="106"/>
      <c r="Y252" s="217"/>
    </row>
    <row r="253" spans="1:25" ht="15.6">
      <c r="A253" s="106"/>
      <c r="B253" s="107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105"/>
      <c r="N253" s="106"/>
      <c r="O253" s="106"/>
      <c r="P253" s="106"/>
      <c r="Q253" s="109"/>
      <c r="R253" s="289"/>
      <c r="S253" s="107"/>
      <c r="T253" s="106"/>
      <c r="U253" s="106"/>
      <c r="V253" s="284">
        <f>Table62689345679[[#This Row],[PO Value]]-Table62689345679[[#This Row],[Offer Value]]</f>
        <v>0</v>
      </c>
      <c r="W253" s="106"/>
      <c r="X253" s="106"/>
      <c r="Y253" s="217"/>
    </row>
    <row r="254" spans="1:25" ht="15.6">
      <c r="A254" s="106"/>
      <c r="B254" s="107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116"/>
      <c r="N254" s="106"/>
      <c r="O254" s="106"/>
      <c r="P254" s="106"/>
      <c r="Q254" s="109"/>
      <c r="R254" s="256"/>
      <c r="S254" s="107"/>
      <c r="T254" s="106"/>
      <c r="U254" s="106"/>
      <c r="V254" s="284">
        <f>Table62689345679[[#This Row],[PO Value]]-Table62689345679[[#This Row],[Offer Value]]</f>
        <v>0</v>
      </c>
      <c r="W254" s="106"/>
      <c r="X254" s="106"/>
      <c r="Y254" s="617"/>
    </row>
    <row r="255" spans="1:25" ht="15.6">
      <c r="A255" s="106"/>
      <c r="B255" s="107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105"/>
      <c r="N255" s="106"/>
      <c r="O255" s="106"/>
      <c r="P255" s="106"/>
      <c r="Q255" s="109"/>
      <c r="R255" s="289"/>
      <c r="S255" s="107"/>
      <c r="T255" s="106"/>
      <c r="U255" s="106"/>
      <c r="V255" s="284">
        <f>Table62689345679[[#This Row],[PO Value]]-Table62689345679[[#This Row],[Offer Value]]</f>
        <v>0</v>
      </c>
      <c r="W255" s="106"/>
      <c r="X255" s="106"/>
      <c r="Y255" s="217"/>
    </row>
    <row r="256" spans="1:25" ht="15.6">
      <c r="A256" s="106"/>
      <c r="B256" s="107"/>
      <c r="C256" s="105"/>
      <c r="D256" s="105"/>
      <c r="E256" s="105"/>
      <c r="F256" s="105"/>
      <c r="G256" s="105"/>
      <c r="H256" s="105"/>
      <c r="I256" s="105"/>
      <c r="J256" s="115"/>
      <c r="K256" s="115"/>
      <c r="L256" s="105"/>
      <c r="M256" s="116"/>
      <c r="N256" s="106"/>
      <c r="O256" s="106"/>
      <c r="P256" s="106"/>
      <c r="Q256" s="109"/>
      <c r="R256" s="289"/>
      <c r="S256" s="107"/>
      <c r="T256" s="106"/>
      <c r="U256" s="106"/>
      <c r="V256" s="284">
        <f>Table62689345679[[#This Row],[PO Value]]-Table62689345679[[#This Row],[Offer Value]]</f>
        <v>0</v>
      </c>
      <c r="W256" s="106"/>
      <c r="X256" s="106"/>
      <c r="Y256" s="217"/>
    </row>
    <row r="257" spans="1:25" ht="15.6">
      <c r="A257" s="106"/>
      <c r="B257" s="107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16"/>
      <c r="N257" s="106"/>
      <c r="O257" s="106"/>
      <c r="P257" s="106"/>
      <c r="Q257" s="109"/>
      <c r="R257" s="289"/>
      <c r="S257" s="107"/>
      <c r="T257" s="106"/>
      <c r="U257" s="106"/>
      <c r="V257" s="284">
        <f>Table62689345679[[#This Row],[PO Value]]-Table62689345679[[#This Row],[Offer Value]]</f>
        <v>0</v>
      </c>
      <c r="W257" s="106"/>
      <c r="X257" s="106"/>
      <c r="Y257" s="217"/>
    </row>
    <row r="258" spans="1:25" ht="15.6">
      <c r="A258" s="106"/>
      <c r="B258" s="107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05"/>
      <c r="N258" s="106"/>
      <c r="O258" s="106"/>
      <c r="P258" s="106"/>
      <c r="Q258" s="109"/>
      <c r="R258" s="289"/>
      <c r="S258" s="107"/>
      <c r="T258" s="106"/>
      <c r="U258" s="106"/>
      <c r="V258" s="284">
        <f>Table62689345679[[#This Row],[PO Value]]-Table62689345679[[#This Row],[Offer Value]]</f>
        <v>0</v>
      </c>
      <c r="W258" s="106"/>
      <c r="X258" s="106"/>
      <c r="Y258" s="217"/>
    </row>
    <row r="259" spans="1:25" ht="15.6">
      <c r="A259" s="106"/>
      <c r="B259" s="107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106"/>
      <c r="O259" s="106"/>
      <c r="P259" s="106"/>
      <c r="Q259" s="109"/>
      <c r="R259" s="289"/>
      <c r="S259" s="107"/>
      <c r="T259" s="106"/>
      <c r="U259" s="106"/>
      <c r="V259" s="284">
        <f>Table62689345679[[#This Row],[PO Value]]-Table62689345679[[#This Row],[Offer Value]]</f>
        <v>0</v>
      </c>
      <c r="W259" s="106"/>
      <c r="X259" s="106"/>
      <c r="Y259" s="217"/>
    </row>
    <row r="260" spans="1:25" ht="15.6">
      <c r="A260" s="106"/>
      <c r="B260" s="107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05"/>
      <c r="N260" s="106"/>
      <c r="O260" s="106"/>
      <c r="P260" s="106"/>
      <c r="Q260" s="109"/>
      <c r="R260" s="256"/>
      <c r="S260" s="107"/>
      <c r="T260" s="106"/>
      <c r="U260" s="106"/>
      <c r="V260" s="284">
        <f>Table62689345679[[#This Row],[PO Value]]-Table62689345679[[#This Row],[Offer Value]]</f>
        <v>0</v>
      </c>
      <c r="W260" s="106"/>
      <c r="X260" s="106"/>
      <c r="Y260" s="617"/>
    </row>
    <row r="261" spans="1:25" ht="15.6">
      <c r="A261" s="106"/>
      <c r="B261" s="107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05"/>
      <c r="N261" s="106"/>
      <c r="O261" s="106"/>
      <c r="P261" s="106"/>
      <c r="Q261" s="109"/>
      <c r="R261" s="289"/>
      <c r="S261" s="107"/>
      <c r="T261" s="106"/>
      <c r="U261" s="106"/>
      <c r="V261" s="284">
        <f>Table62689345679[[#This Row],[PO Value]]-Table62689345679[[#This Row],[Offer Value]]</f>
        <v>0</v>
      </c>
      <c r="W261" s="106"/>
      <c r="X261" s="106"/>
      <c r="Y261" s="217"/>
    </row>
    <row r="262" spans="1:25" ht="15.6">
      <c r="A262" s="106"/>
      <c r="B262" s="107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106"/>
      <c r="O262" s="106"/>
      <c r="P262" s="106"/>
      <c r="Q262" s="109"/>
      <c r="R262" s="289"/>
      <c r="S262" s="107"/>
      <c r="T262" s="106"/>
      <c r="U262" s="106"/>
      <c r="V262" s="284">
        <f>Table62689345679[[#This Row],[PO Value]]-Table62689345679[[#This Row],[Offer Value]]</f>
        <v>0</v>
      </c>
      <c r="W262" s="106"/>
      <c r="X262" s="106"/>
      <c r="Y262" s="217"/>
    </row>
    <row r="263" spans="1:25" ht="15.6">
      <c r="A263" s="106"/>
      <c r="B263" s="107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05"/>
      <c r="N263" s="106"/>
      <c r="O263" s="106"/>
      <c r="P263" s="106"/>
      <c r="Q263" s="109"/>
      <c r="R263" s="256"/>
      <c r="S263" s="107"/>
      <c r="T263" s="106"/>
      <c r="U263" s="106"/>
      <c r="V263" s="284">
        <f>Table62689345679[[#This Row],[PO Value]]-Table62689345679[[#This Row],[Offer Value]]</f>
        <v>0</v>
      </c>
      <c r="W263" s="106"/>
      <c r="X263" s="106"/>
      <c r="Y263" s="617"/>
    </row>
    <row r="264" spans="1:25" ht="15.6">
      <c r="A264" s="106"/>
      <c r="B264" s="107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05"/>
      <c r="N264" s="106"/>
      <c r="O264" s="106"/>
      <c r="P264" s="106"/>
      <c r="Q264" s="109"/>
      <c r="R264" s="256"/>
      <c r="S264" s="107"/>
      <c r="T264" s="106"/>
      <c r="U264" s="106"/>
      <c r="V264" s="284">
        <f>Table62689345679[[#This Row],[PO Value]]-Table62689345679[[#This Row],[Offer Value]]</f>
        <v>0</v>
      </c>
      <c r="W264" s="106"/>
      <c r="X264" s="106"/>
      <c r="Y264" s="617"/>
    </row>
    <row r="265" spans="1:25" ht="15.6">
      <c r="A265" s="106"/>
      <c r="B265" s="107"/>
      <c r="C265" s="105"/>
      <c r="D265" s="105"/>
      <c r="E265" s="105"/>
      <c r="F265" s="105"/>
      <c r="G265" s="105"/>
      <c r="H265" s="105"/>
      <c r="I265" s="105"/>
      <c r="J265" s="115"/>
      <c r="K265" s="115"/>
      <c r="L265" s="105"/>
      <c r="M265" s="105"/>
      <c r="N265" s="106"/>
      <c r="O265" s="106"/>
      <c r="P265" s="106"/>
      <c r="Q265" s="109"/>
      <c r="R265" s="289"/>
      <c r="S265" s="107"/>
      <c r="T265" s="106"/>
      <c r="U265" s="106"/>
      <c r="V265" s="284">
        <f>Table62689345679[[#This Row],[PO Value]]-Table62689345679[[#This Row],[Offer Value]]</f>
        <v>0</v>
      </c>
      <c r="W265" s="106"/>
      <c r="X265" s="106"/>
      <c r="Y265" s="217"/>
    </row>
    <row r="266" spans="1:25" ht="15.6">
      <c r="A266" s="106"/>
      <c r="B266" s="107"/>
      <c r="C266" s="105"/>
      <c r="D266" s="105"/>
      <c r="E266" s="105"/>
      <c r="F266" s="105"/>
      <c r="G266" s="105"/>
      <c r="H266" s="105"/>
      <c r="I266" s="105"/>
      <c r="J266" s="115"/>
      <c r="K266" s="115"/>
      <c r="L266" s="105"/>
      <c r="M266" s="116"/>
      <c r="N266" s="106"/>
      <c r="O266" s="106"/>
      <c r="P266" s="106"/>
      <c r="Q266" s="109"/>
      <c r="R266" s="256"/>
      <c r="S266" s="107"/>
      <c r="T266" s="106"/>
      <c r="U266" s="106"/>
      <c r="V266" s="284">
        <f>Table62689345679[[#This Row],[PO Value]]-Table62689345679[[#This Row],[Offer Value]]</f>
        <v>0</v>
      </c>
      <c r="W266" s="106"/>
      <c r="X266" s="106"/>
      <c r="Y266" s="617"/>
    </row>
    <row r="267" spans="1:25" ht="15.6">
      <c r="A267" s="106"/>
      <c r="B267" s="106"/>
      <c r="C267" s="105"/>
      <c r="D267" s="105"/>
      <c r="E267" s="105"/>
      <c r="F267" s="105"/>
      <c r="G267" s="105"/>
      <c r="H267" s="105"/>
      <c r="I267" s="105"/>
      <c r="J267" s="108"/>
      <c r="K267" s="108"/>
      <c r="L267" s="105"/>
      <c r="M267" s="105"/>
      <c r="N267" s="106"/>
      <c r="O267" s="106"/>
      <c r="P267" s="106"/>
      <c r="Q267" s="109"/>
      <c r="R267" s="289"/>
      <c r="S267" s="107"/>
      <c r="T267" s="106"/>
      <c r="U267" s="106"/>
      <c r="V267" s="284">
        <f>Table62689345679[[#This Row],[PO Value]]-Table62689345679[[#This Row],[Offer Value]]</f>
        <v>0</v>
      </c>
      <c r="W267" s="106"/>
      <c r="X267" s="106"/>
      <c r="Y267" s="217"/>
    </row>
    <row r="268" spans="1:25" ht="15.6">
      <c r="A268" s="106"/>
      <c r="B268" s="106"/>
      <c r="C268" s="105"/>
      <c r="D268" s="105"/>
      <c r="E268" s="105"/>
      <c r="F268" s="105"/>
      <c r="G268" s="105"/>
      <c r="H268" s="105"/>
      <c r="I268" s="105"/>
      <c r="J268" s="108"/>
      <c r="K268" s="108"/>
      <c r="L268" s="105"/>
      <c r="M268" s="116"/>
      <c r="N268" s="106"/>
      <c r="O268" s="106"/>
      <c r="P268" s="106"/>
      <c r="Q268" s="109"/>
      <c r="R268" s="289"/>
      <c r="S268" s="107"/>
      <c r="T268" s="106"/>
      <c r="U268" s="106"/>
      <c r="V268" s="284">
        <f>Table62689345679[[#This Row],[PO Value]]-Table62689345679[[#This Row],[Offer Value]]</f>
        <v>0</v>
      </c>
      <c r="W268" s="106"/>
      <c r="X268" s="106"/>
      <c r="Y268" s="217"/>
    </row>
    <row r="269" spans="1:25" ht="15.6">
      <c r="A269" s="106"/>
      <c r="B269" s="106"/>
      <c r="C269" s="105"/>
      <c r="D269" s="105"/>
      <c r="E269" s="105"/>
      <c r="F269" s="105"/>
      <c r="G269" s="105"/>
      <c r="H269" s="105"/>
      <c r="I269" s="105"/>
      <c r="J269" s="108"/>
      <c r="K269" s="108"/>
      <c r="L269" s="105"/>
      <c r="M269" s="116"/>
      <c r="N269" s="106"/>
      <c r="O269" s="106"/>
      <c r="P269" s="106"/>
      <c r="Q269" s="109"/>
      <c r="R269" s="289"/>
      <c r="S269" s="107"/>
      <c r="T269" s="106"/>
      <c r="U269" s="106"/>
      <c r="V269" s="284">
        <f>Table62689345679[[#This Row],[PO Value]]-Table62689345679[[#This Row],[Offer Value]]</f>
        <v>0</v>
      </c>
      <c r="W269" s="106"/>
      <c r="X269" s="106"/>
      <c r="Y269" s="217"/>
    </row>
    <row r="270" spans="1:25" ht="15.6">
      <c r="A270" s="106"/>
      <c r="B270" s="106"/>
      <c r="C270" s="105"/>
      <c r="D270" s="105"/>
      <c r="E270" s="105"/>
      <c r="F270" s="105"/>
      <c r="G270" s="105"/>
      <c r="H270" s="105"/>
      <c r="I270" s="105"/>
      <c r="J270" s="108"/>
      <c r="K270" s="108"/>
      <c r="L270" s="105"/>
      <c r="M270" s="105"/>
      <c r="N270" s="106"/>
      <c r="O270" s="106"/>
      <c r="P270" s="106"/>
      <c r="Q270" s="109"/>
      <c r="R270" s="289"/>
      <c r="S270" s="107"/>
      <c r="T270" s="106"/>
      <c r="U270" s="106"/>
      <c r="V270" s="284">
        <f>Table62689345679[[#This Row],[PO Value]]-Table62689345679[[#This Row],[Offer Value]]</f>
        <v>0</v>
      </c>
      <c r="W270" s="106"/>
      <c r="X270" s="106"/>
      <c r="Y270" s="217"/>
    </row>
    <row r="271" spans="1:25" ht="15.6">
      <c r="A271" s="106"/>
      <c r="B271" s="106"/>
      <c r="C271" s="105"/>
      <c r="D271" s="105"/>
      <c r="E271" s="105"/>
      <c r="F271" s="105"/>
      <c r="G271" s="105"/>
      <c r="H271" s="105"/>
      <c r="I271" s="105"/>
      <c r="J271" s="108"/>
      <c r="K271" s="108"/>
      <c r="L271" s="105"/>
      <c r="M271" s="105"/>
      <c r="N271" s="106"/>
      <c r="O271" s="106"/>
      <c r="P271" s="106"/>
      <c r="Q271" s="109"/>
      <c r="R271" s="289"/>
      <c r="S271" s="107"/>
      <c r="T271" s="106"/>
      <c r="U271" s="106"/>
      <c r="V271" s="284">
        <f>Table62689345679[[#This Row],[PO Value]]-Table62689345679[[#This Row],[Offer Value]]</f>
        <v>0</v>
      </c>
      <c r="W271" s="106"/>
      <c r="X271" s="106"/>
      <c r="Y271" s="217"/>
    </row>
    <row r="272" spans="1:25" ht="15.6">
      <c r="A272" s="106"/>
      <c r="B272" s="106"/>
      <c r="C272" s="113"/>
      <c r="D272" s="113"/>
      <c r="E272" s="113"/>
      <c r="F272" s="113"/>
      <c r="G272" s="113"/>
      <c r="H272" s="113"/>
      <c r="I272" s="113"/>
      <c r="J272" s="108"/>
      <c r="K272" s="108"/>
      <c r="L272" s="105"/>
      <c r="M272" s="116"/>
      <c r="N272" s="106"/>
      <c r="O272" s="106"/>
      <c r="P272" s="106"/>
      <c r="Q272" s="109"/>
      <c r="R272" s="289"/>
      <c r="S272" s="107"/>
      <c r="T272" s="106"/>
      <c r="U272" s="106"/>
      <c r="V272" s="284">
        <f>Table62689345679[[#This Row],[PO Value]]-Table62689345679[[#This Row],[Offer Value]]</f>
        <v>0</v>
      </c>
      <c r="W272" s="106"/>
      <c r="X272" s="106"/>
      <c r="Y272" s="217"/>
    </row>
    <row r="273" spans="1:25" ht="15.6">
      <c r="A273" s="106"/>
      <c r="B273" s="106"/>
      <c r="C273" s="105"/>
      <c r="D273" s="105"/>
      <c r="E273" s="105"/>
      <c r="F273" s="105"/>
      <c r="G273" s="105"/>
      <c r="H273" s="105"/>
      <c r="I273" s="105"/>
      <c r="J273" s="115"/>
      <c r="K273" s="115"/>
      <c r="L273" s="105"/>
      <c r="M273" s="105"/>
      <c r="N273" s="106"/>
      <c r="O273" s="106"/>
      <c r="P273" s="106"/>
      <c r="Q273" s="109"/>
      <c r="R273" s="289"/>
      <c r="S273" s="107"/>
      <c r="T273" s="106"/>
      <c r="U273" s="106"/>
      <c r="V273" s="284">
        <f>Table62689345679[[#This Row],[PO Value]]-Table62689345679[[#This Row],[Offer Value]]</f>
        <v>0</v>
      </c>
      <c r="W273" s="106"/>
      <c r="X273" s="106"/>
      <c r="Y273" s="217"/>
    </row>
    <row r="274" spans="1:25" ht="15.6">
      <c r="A274" s="106"/>
      <c r="B274" s="106"/>
      <c r="C274" s="105"/>
      <c r="D274" s="105"/>
      <c r="E274" s="105"/>
      <c r="F274" s="105"/>
      <c r="G274" s="105"/>
      <c r="H274" s="105"/>
      <c r="I274" s="105"/>
      <c r="J274" s="115"/>
      <c r="K274" s="115"/>
      <c r="L274" s="105"/>
      <c r="M274" s="105"/>
      <c r="N274" s="106"/>
      <c r="O274" s="106"/>
      <c r="P274" s="106"/>
      <c r="Q274" s="109"/>
      <c r="R274" s="289"/>
      <c r="S274" s="107"/>
      <c r="T274" s="106"/>
      <c r="U274" s="106"/>
      <c r="V274" s="284">
        <f>Table62689345679[[#This Row],[PO Value]]-Table62689345679[[#This Row],[Offer Value]]</f>
        <v>0</v>
      </c>
      <c r="W274" s="106"/>
      <c r="X274" s="106"/>
      <c r="Y274" s="217"/>
    </row>
    <row r="275" spans="1:25" ht="15.6">
      <c r="A275" s="106"/>
      <c r="B275" s="106"/>
      <c r="C275" s="105"/>
      <c r="D275" s="105"/>
      <c r="E275" s="105"/>
      <c r="F275" s="105"/>
      <c r="G275" s="105"/>
      <c r="H275" s="105"/>
      <c r="I275" s="105"/>
      <c r="J275" s="115"/>
      <c r="K275" s="115"/>
      <c r="L275" s="105"/>
      <c r="M275" s="105"/>
      <c r="N275" s="106"/>
      <c r="O275" s="106"/>
      <c r="P275" s="106"/>
      <c r="Q275" s="109"/>
      <c r="R275" s="289"/>
      <c r="S275" s="107"/>
      <c r="T275" s="106"/>
      <c r="U275" s="106"/>
      <c r="V275" s="284">
        <f>Table62689345679[[#This Row],[PO Value]]-Table62689345679[[#This Row],[Offer Value]]</f>
        <v>0</v>
      </c>
      <c r="W275" s="106"/>
      <c r="X275" s="106"/>
      <c r="Y275" s="217"/>
    </row>
    <row r="276" spans="1:25" ht="15.6">
      <c r="A276" s="106"/>
      <c r="B276" s="106"/>
      <c r="C276" s="105"/>
      <c r="D276" s="105"/>
      <c r="E276" s="105"/>
      <c r="F276" s="105"/>
      <c r="G276" s="105"/>
      <c r="H276" s="105"/>
      <c r="I276" s="105"/>
      <c r="J276" s="115"/>
      <c r="K276" s="115"/>
      <c r="L276" s="105"/>
      <c r="M276" s="105"/>
      <c r="N276" s="106"/>
      <c r="O276" s="106"/>
      <c r="P276" s="106"/>
      <c r="Q276" s="109"/>
      <c r="R276" s="289"/>
      <c r="S276" s="107"/>
      <c r="T276" s="106"/>
      <c r="U276" s="106"/>
      <c r="V276" s="284">
        <f>Table62689345679[[#This Row],[PO Value]]-Table62689345679[[#This Row],[Offer Value]]</f>
        <v>0</v>
      </c>
      <c r="W276" s="106"/>
      <c r="X276" s="106"/>
      <c r="Y276" s="217"/>
    </row>
    <row r="277" spans="1:25" ht="15.6">
      <c r="A277" s="106"/>
      <c r="B277" s="106"/>
      <c r="C277" s="105"/>
      <c r="D277" s="105"/>
      <c r="E277" s="105"/>
      <c r="F277" s="105"/>
      <c r="G277" s="105"/>
      <c r="H277" s="105"/>
      <c r="I277" s="105"/>
      <c r="J277" s="115"/>
      <c r="K277" s="115"/>
      <c r="L277" s="105"/>
      <c r="M277" s="105"/>
      <c r="N277" s="106"/>
      <c r="O277" s="106"/>
      <c r="P277" s="106"/>
      <c r="Q277" s="109"/>
      <c r="R277" s="289"/>
      <c r="S277" s="107"/>
      <c r="T277" s="106"/>
      <c r="U277" s="106"/>
      <c r="V277" s="284">
        <f>Table62689345679[[#This Row],[PO Value]]-Table62689345679[[#This Row],[Offer Value]]</f>
        <v>0</v>
      </c>
      <c r="W277" s="106"/>
      <c r="X277" s="106"/>
      <c r="Y277" s="217"/>
    </row>
    <row r="278" spans="1:25" ht="15.6">
      <c r="A278" s="106"/>
      <c r="B278" s="106"/>
      <c r="C278" s="105"/>
      <c r="D278" s="105"/>
      <c r="E278" s="105"/>
      <c r="F278" s="105"/>
      <c r="G278" s="105"/>
      <c r="H278" s="105"/>
      <c r="I278" s="105"/>
      <c r="J278" s="115"/>
      <c r="K278" s="115"/>
      <c r="L278" s="105"/>
      <c r="M278" s="105"/>
      <c r="N278" s="106"/>
      <c r="O278" s="106"/>
      <c r="P278" s="106"/>
      <c r="Q278" s="109"/>
      <c r="R278" s="289"/>
      <c r="S278" s="107"/>
      <c r="T278" s="106"/>
      <c r="U278" s="106"/>
      <c r="V278" s="284">
        <f>Table62689345679[[#This Row],[PO Value]]-Table62689345679[[#This Row],[Offer Value]]</f>
        <v>0</v>
      </c>
      <c r="W278" s="106"/>
      <c r="X278" s="106"/>
      <c r="Y278" s="217"/>
    </row>
    <row r="279" spans="1:25" ht="15.6">
      <c r="A279" s="106"/>
      <c r="B279" s="106"/>
      <c r="C279" s="105"/>
      <c r="D279" s="105"/>
      <c r="E279" s="105"/>
      <c r="F279" s="105"/>
      <c r="G279" s="105"/>
      <c r="H279" s="105"/>
      <c r="I279" s="105"/>
      <c r="J279" s="115"/>
      <c r="K279" s="115"/>
      <c r="L279" s="105"/>
      <c r="M279" s="116"/>
      <c r="N279" s="106"/>
      <c r="O279" s="106"/>
      <c r="P279" s="106"/>
      <c r="Q279" s="109"/>
      <c r="R279" s="256"/>
      <c r="S279" s="107"/>
      <c r="T279" s="106"/>
      <c r="U279" s="106"/>
      <c r="V279" s="284">
        <f>Table62689345679[[#This Row],[PO Value]]-Table62689345679[[#This Row],[Offer Value]]</f>
        <v>0</v>
      </c>
      <c r="W279" s="106"/>
      <c r="X279" s="106"/>
      <c r="Y279" s="617"/>
    </row>
    <row r="280" spans="1:25" ht="15.6">
      <c r="A280" s="106"/>
      <c r="B280" s="106"/>
      <c r="C280" s="105"/>
      <c r="D280" s="105"/>
      <c r="E280" s="105"/>
      <c r="F280" s="105"/>
      <c r="G280" s="105"/>
      <c r="H280" s="105"/>
      <c r="I280" s="105"/>
      <c r="J280" s="115"/>
      <c r="K280" s="115"/>
      <c r="L280" s="105"/>
      <c r="M280" s="116"/>
      <c r="N280" s="106"/>
      <c r="O280" s="106"/>
      <c r="P280" s="106"/>
      <c r="Q280" s="109"/>
      <c r="R280" s="256"/>
      <c r="S280" s="107"/>
      <c r="T280" s="106"/>
      <c r="U280" s="106"/>
      <c r="V280" s="284">
        <f>Table62689345679[[#This Row],[PO Value]]-Table62689345679[[#This Row],[Offer Value]]</f>
        <v>0</v>
      </c>
      <c r="W280" s="106"/>
      <c r="X280" s="106"/>
      <c r="Y280" s="617"/>
    </row>
    <row r="281" spans="1:25" ht="15.6">
      <c r="A281" s="106"/>
      <c r="B281" s="107"/>
      <c r="C281" s="105"/>
      <c r="D281" s="105"/>
      <c r="E281" s="105"/>
      <c r="F281" s="105"/>
      <c r="G281" s="105"/>
      <c r="H281" s="105"/>
      <c r="I281" s="105"/>
      <c r="J281" s="108"/>
      <c r="K281" s="108"/>
      <c r="L281" s="106"/>
      <c r="M281" s="107"/>
      <c r="N281" s="106"/>
      <c r="O281" s="106"/>
      <c r="P281" s="106"/>
      <c r="Q281" s="109"/>
      <c r="R281" s="289"/>
      <c r="S281" s="107"/>
      <c r="T281" s="106"/>
      <c r="U281" s="106"/>
      <c r="V281" s="284">
        <f>Table62689345679[[#This Row],[PO Value]]-Table62689345679[[#This Row],[Offer Value]]</f>
        <v>0</v>
      </c>
      <c r="W281" s="106"/>
      <c r="X281" s="106"/>
      <c r="Y281" s="217"/>
    </row>
    <row r="282" spans="1:25" ht="15.6">
      <c r="A282" s="106"/>
      <c r="B282" s="107"/>
      <c r="C282" s="105"/>
      <c r="D282" s="105"/>
      <c r="E282" s="105"/>
      <c r="F282" s="105"/>
      <c r="G282" s="105"/>
      <c r="H282" s="105"/>
      <c r="I282" s="105"/>
      <c r="J282" s="108"/>
      <c r="K282" s="108"/>
      <c r="L282" s="106"/>
      <c r="M282" s="106"/>
      <c r="N282" s="106"/>
      <c r="O282" s="106"/>
      <c r="P282" s="106"/>
      <c r="Q282" s="109"/>
      <c r="R282" s="289"/>
      <c r="S282" s="107"/>
      <c r="T282" s="106"/>
      <c r="U282" s="106"/>
      <c r="V282" s="284">
        <f>Table62689345679[[#This Row],[PO Value]]-Table62689345679[[#This Row],[Offer Value]]</f>
        <v>0</v>
      </c>
      <c r="W282" s="106"/>
      <c r="X282" s="106"/>
      <c r="Y282" s="217"/>
    </row>
    <row r="283" spans="1:25" ht="15.6">
      <c r="A283" s="106"/>
      <c r="B283" s="107"/>
      <c r="C283" s="105"/>
      <c r="D283" s="105"/>
      <c r="E283" s="105"/>
      <c r="F283" s="105"/>
      <c r="G283" s="105"/>
      <c r="H283" s="105"/>
      <c r="I283" s="105"/>
      <c r="J283" s="108"/>
      <c r="K283" s="108"/>
      <c r="L283" s="106"/>
      <c r="M283" s="106"/>
      <c r="N283" s="106"/>
      <c r="O283" s="106"/>
      <c r="P283" s="106"/>
      <c r="Q283" s="109"/>
      <c r="R283" s="289"/>
      <c r="S283" s="107"/>
      <c r="T283" s="106"/>
      <c r="U283" s="106"/>
      <c r="V283" s="284">
        <f>Table62689345679[[#This Row],[PO Value]]-Table62689345679[[#This Row],[Offer Value]]</f>
        <v>0</v>
      </c>
      <c r="W283" s="106"/>
      <c r="X283" s="106"/>
      <c r="Y283" s="217"/>
    </row>
    <row r="284" spans="1:25" ht="15.6">
      <c r="A284" s="106"/>
      <c r="B284" s="107"/>
      <c r="C284" s="105"/>
      <c r="D284" s="105"/>
      <c r="E284" s="105"/>
      <c r="F284" s="105"/>
      <c r="G284" s="105"/>
      <c r="H284" s="105"/>
      <c r="I284" s="105"/>
      <c r="J284" s="108"/>
      <c r="K284" s="108"/>
      <c r="L284" s="106"/>
      <c r="M284" s="106"/>
      <c r="N284" s="106"/>
      <c r="O284" s="106"/>
      <c r="P284" s="106"/>
      <c r="Q284" s="109"/>
      <c r="R284" s="289"/>
      <c r="S284" s="107"/>
      <c r="T284" s="106"/>
      <c r="U284" s="106"/>
      <c r="V284" s="284">
        <f>Table62689345679[[#This Row],[PO Value]]-Table62689345679[[#This Row],[Offer Value]]</f>
        <v>0</v>
      </c>
      <c r="W284" s="106"/>
      <c r="X284" s="106"/>
      <c r="Y284" s="217"/>
    </row>
    <row r="285" spans="1:25" ht="15.6">
      <c r="A285" s="106"/>
      <c r="B285" s="107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6"/>
      <c r="N285" s="106"/>
      <c r="O285" s="106"/>
      <c r="P285" s="106"/>
      <c r="Q285" s="109"/>
      <c r="R285" s="256"/>
      <c r="S285" s="107"/>
      <c r="T285" s="106"/>
      <c r="U285" s="106"/>
      <c r="V285" s="284">
        <f>Table62689345679[[#This Row],[PO Value]]-Table62689345679[[#This Row],[Offer Value]]</f>
        <v>0</v>
      </c>
      <c r="W285" s="106"/>
      <c r="X285" s="106"/>
      <c r="Y285" s="617"/>
    </row>
    <row r="286" spans="1:25" ht="15.6">
      <c r="A286" s="106"/>
      <c r="B286" s="107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6"/>
      <c r="N286" s="106"/>
      <c r="O286" s="106"/>
      <c r="P286" s="106"/>
      <c r="Q286" s="109"/>
      <c r="R286" s="256"/>
      <c r="S286" s="107"/>
      <c r="T286" s="106"/>
      <c r="U286" s="106"/>
      <c r="V286" s="284">
        <f>Table62689345679[[#This Row],[PO Value]]-Table62689345679[[#This Row],[Offer Value]]</f>
        <v>0</v>
      </c>
      <c r="W286" s="106"/>
      <c r="X286" s="106"/>
      <c r="Y286" s="617"/>
    </row>
    <row r="287" spans="1:25" ht="15.6">
      <c r="A287" s="106"/>
      <c r="B287" s="107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7"/>
      <c r="N287" s="106"/>
      <c r="O287" s="106"/>
      <c r="P287" s="106"/>
      <c r="Q287" s="109"/>
      <c r="R287" s="289"/>
      <c r="S287" s="107"/>
      <c r="T287" s="106"/>
      <c r="U287" s="106"/>
      <c r="V287" s="284">
        <f>Table62689345679[[#This Row],[PO Value]]-Table62689345679[[#This Row],[Offer Value]]</f>
        <v>0</v>
      </c>
      <c r="W287" s="106"/>
      <c r="X287" s="106"/>
      <c r="Y287" s="217"/>
    </row>
    <row r="288" spans="1:25" ht="15.6">
      <c r="A288" s="106"/>
      <c r="B288" s="107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7"/>
      <c r="N288" s="106"/>
      <c r="O288" s="106"/>
      <c r="P288" s="106"/>
      <c r="Q288" s="109"/>
      <c r="R288" s="289"/>
      <c r="S288" s="107"/>
      <c r="T288" s="106"/>
      <c r="U288" s="106"/>
      <c r="V288" s="284">
        <f>Table62689345679[[#This Row],[PO Value]]-Table62689345679[[#This Row],[Offer Value]]</f>
        <v>0</v>
      </c>
      <c r="W288" s="106"/>
      <c r="X288" s="106"/>
      <c r="Y288" s="217"/>
    </row>
    <row r="289" spans="1:25" ht="15.6">
      <c r="A289" s="106"/>
      <c r="B289" s="107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6"/>
      <c r="N289" s="106"/>
      <c r="O289" s="106"/>
      <c r="P289" s="106"/>
      <c r="Q289" s="109"/>
      <c r="R289" s="289"/>
      <c r="S289" s="107"/>
      <c r="T289" s="106"/>
      <c r="U289" s="106"/>
      <c r="V289" s="284">
        <f>Table62689345679[[#This Row],[PO Value]]-Table62689345679[[#This Row],[Offer Value]]</f>
        <v>0</v>
      </c>
      <c r="W289" s="106"/>
      <c r="X289" s="106"/>
      <c r="Y289" s="217"/>
    </row>
    <row r="290" spans="1:25" ht="15.6">
      <c r="A290" s="106"/>
      <c r="B290" s="107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6"/>
      <c r="N290" s="106"/>
      <c r="O290" s="106"/>
      <c r="P290" s="106"/>
      <c r="Q290" s="109"/>
      <c r="R290" s="289"/>
      <c r="S290" s="107"/>
      <c r="T290" s="106"/>
      <c r="U290" s="106"/>
      <c r="V290" s="284">
        <f>Table62689345679[[#This Row],[PO Value]]-Table62689345679[[#This Row],[Offer Value]]</f>
        <v>0</v>
      </c>
      <c r="W290" s="106"/>
      <c r="X290" s="106"/>
      <c r="Y290" s="217"/>
    </row>
    <row r="291" spans="1:25" ht="15.6">
      <c r="A291" s="106"/>
      <c r="B291" s="107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6"/>
      <c r="N291" s="106"/>
      <c r="O291" s="106"/>
      <c r="P291" s="106"/>
      <c r="Q291" s="109"/>
      <c r="R291" s="289"/>
      <c r="S291" s="107"/>
      <c r="T291" s="106"/>
      <c r="U291" s="106"/>
      <c r="V291" s="284">
        <f>Table62689345679[[#This Row],[PO Value]]-Table62689345679[[#This Row],[Offer Value]]</f>
        <v>0</v>
      </c>
      <c r="W291" s="106"/>
      <c r="X291" s="106"/>
      <c r="Y291" s="217"/>
    </row>
    <row r="292" spans="1:25" ht="15.6">
      <c r="A292" s="106"/>
      <c r="B292" s="107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6"/>
      <c r="N292" s="106"/>
      <c r="O292" s="106"/>
      <c r="P292" s="106"/>
      <c r="Q292" s="109"/>
      <c r="R292" s="256"/>
      <c r="S292" s="107"/>
      <c r="T292" s="106"/>
      <c r="U292" s="106"/>
      <c r="V292" s="284">
        <f>Table62689345679[[#This Row],[PO Value]]-Table62689345679[[#This Row],[Offer Value]]</f>
        <v>0</v>
      </c>
      <c r="W292" s="106"/>
      <c r="X292" s="106"/>
      <c r="Y292" s="617"/>
    </row>
    <row r="293" spans="1:25" ht="15.6">
      <c r="A293" s="106"/>
      <c r="B293" s="107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106"/>
      <c r="O293" s="106"/>
      <c r="P293" s="106"/>
      <c r="Q293" s="109"/>
      <c r="R293" s="289"/>
      <c r="S293" s="107"/>
      <c r="T293" s="106"/>
      <c r="U293" s="106"/>
      <c r="V293" s="284">
        <f>Table62689345679[[#This Row],[PO Value]]-Table62689345679[[#This Row],[Offer Value]]</f>
        <v>0</v>
      </c>
      <c r="W293" s="106"/>
      <c r="X293" s="106"/>
      <c r="Y293" s="217"/>
    </row>
    <row r="294" spans="1:25" ht="15.6">
      <c r="A294" s="106"/>
      <c r="B294" s="107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106"/>
      <c r="P294" s="106"/>
      <c r="Q294" s="109"/>
      <c r="R294" s="289"/>
      <c r="S294" s="107"/>
      <c r="T294" s="106"/>
      <c r="U294" s="106"/>
      <c r="V294" s="284">
        <f>Table62689345679[[#This Row],[PO Value]]-Table62689345679[[#This Row],[Offer Value]]</f>
        <v>0</v>
      </c>
      <c r="W294" s="106"/>
      <c r="X294" s="106"/>
      <c r="Y294" s="217"/>
    </row>
    <row r="295" spans="1:25" ht="15.6">
      <c r="A295" s="106"/>
      <c r="B295" s="107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6"/>
      <c r="N295" s="106"/>
      <c r="O295" s="106"/>
      <c r="P295" s="106"/>
      <c r="Q295" s="109"/>
      <c r="R295" s="289"/>
      <c r="S295" s="107"/>
      <c r="T295" s="106"/>
      <c r="U295" s="106"/>
      <c r="V295" s="284">
        <f>Table62689345679[[#This Row],[PO Value]]-Table62689345679[[#This Row],[Offer Value]]</f>
        <v>0</v>
      </c>
      <c r="W295" s="106"/>
      <c r="X295" s="106"/>
      <c r="Y295" s="217"/>
    </row>
    <row r="296" spans="1:25" ht="15.6">
      <c r="A296" s="106"/>
      <c r="B296" s="107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7"/>
      <c r="N296" s="106"/>
      <c r="O296" s="106"/>
      <c r="P296" s="106"/>
      <c r="Q296" s="109"/>
      <c r="R296" s="289"/>
      <c r="S296" s="107"/>
      <c r="T296" s="106"/>
      <c r="U296" s="106"/>
      <c r="V296" s="284">
        <f>Table62689345679[[#This Row],[PO Value]]-Table62689345679[[#This Row],[Offer Value]]</f>
        <v>0</v>
      </c>
      <c r="W296" s="106"/>
      <c r="X296" s="106"/>
      <c r="Y296" s="217"/>
    </row>
    <row r="297" spans="1:25" ht="15.6">
      <c r="A297" s="106"/>
      <c r="B297" s="107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106"/>
      <c r="P297" s="106"/>
      <c r="Q297" s="109"/>
      <c r="R297" s="256"/>
      <c r="S297" s="107"/>
      <c r="T297" s="106"/>
      <c r="U297" s="106"/>
      <c r="V297" s="284">
        <f>Table62689345679[[#This Row],[PO Value]]-Table62689345679[[#This Row],[Offer Value]]</f>
        <v>0</v>
      </c>
      <c r="W297" s="106"/>
      <c r="X297" s="106"/>
      <c r="Y297" s="617"/>
    </row>
    <row r="298" spans="1:25" ht="15.6">
      <c r="A298" s="106"/>
      <c r="B298" s="106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6"/>
      <c r="N298" s="106"/>
      <c r="O298" s="106"/>
      <c r="P298" s="106"/>
      <c r="Q298" s="109"/>
      <c r="R298" s="289"/>
      <c r="S298" s="107"/>
      <c r="T298" s="106"/>
      <c r="U298" s="106"/>
      <c r="V298" s="284">
        <f>Table62689345679[[#This Row],[PO Value]]-Table62689345679[[#This Row],[Offer Value]]</f>
        <v>0</v>
      </c>
      <c r="W298" s="106"/>
      <c r="X298" s="106"/>
      <c r="Y298" s="217"/>
    </row>
    <row r="299" spans="1:25" ht="15.6">
      <c r="A299" s="106"/>
      <c r="B299" s="106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7"/>
      <c r="N299" s="106"/>
      <c r="O299" s="106"/>
      <c r="P299" s="106"/>
      <c r="Q299" s="109"/>
      <c r="R299" s="289"/>
      <c r="S299" s="107"/>
      <c r="T299" s="106"/>
      <c r="U299" s="106"/>
      <c r="V299" s="284">
        <f>Table62689345679[[#This Row],[PO Value]]-Table62689345679[[#This Row],[Offer Value]]</f>
        <v>0</v>
      </c>
      <c r="W299" s="106"/>
      <c r="X299" s="106"/>
      <c r="Y299" s="217"/>
    </row>
    <row r="300" spans="1:25" ht="15.6">
      <c r="A300" s="106"/>
      <c r="B300" s="106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7"/>
      <c r="N300" s="106"/>
      <c r="O300" s="106"/>
      <c r="P300" s="106"/>
      <c r="Q300" s="109"/>
      <c r="R300" s="289"/>
      <c r="S300" s="107"/>
      <c r="T300" s="106"/>
      <c r="U300" s="106"/>
      <c r="V300" s="284">
        <f>Table62689345679[[#This Row],[PO Value]]-Table62689345679[[#This Row],[Offer Value]]</f>
        <v>0</v>
      </c>
      <c r="W300" s="106"/>
      <c r="X300" s="106"/>
      <c r="Y300" s="217"/>
    </row>
    <row r="301" spans="1:25" ht="15.6">
      <c r="A301" s="106"/>
      <c r="B301" s="106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7"/>
      <c r="N301" s="106"/>
      <c r="O301" s="106"/>
      <c r="P301" s="106"/>
      <c r="Q301" s="109"/>
      <c r="R301" s="289"/>
      <c r="S301" s="107"/>
      <c r="T301" s="106"/>
      <c r="U301" s="106"/>
      <c r="V301" s="284">
        <f>Table62689345679[[#This Row],[PO Value]]-Table62689345679[[#This Row],[Offer Value]]</f>
        <v>0</v>
      </c>
      <c r="W301" s="106"/>
      <c r="X301" s="106"/>
      <c r="Y301" s="217"/>
    </row>
    <row r="302" spans="1:25" ht="15.6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7"/>
      <c r="N302" s="106"/>
      <c r="O302" s="106"/>
      <c r="P302" s="106"/>
      <c r="Q302" s="109"/>
      <c r="R302" s="289"/>
      <c r="S302" s="107"/>
      <c r="T302" s="106"/>
      <c r="U302" s="106"/>
      <c r="V302" s="284">
        <f>Table62689345679[[#This Row],[PO Value]]-Table62689345679[[#This Row],[Offer Value]]</f>
        <v>0</v>
      </c>
      <c r="W302" s="106"/>
      <c r="X302" s="106"/>
      <c r="Y302" s="217"/>
    </row>
    <row r="303" spans="1:25" ht="15.6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106"/>
      <c r="O303" s="106"/>
      <c r="P303" s="106"/>
      <c r="Q303" s="109"/>
      <c r="R303" s="289"/>
      <c r="S303" s="107"/>
      <c r="T303" s="106"/>
      <c r="U303" s="106"/>
      <c r="V303" s="284">
        <f>Table62689345679[[#This Row],[PO Value]]-Table62689345679[[#This Row],[Offer Value]]</f>
        <v>0</v>
      </c>
      <c r="W303" s="106"/>
      <c r="X303" s="106"/>
      <c r="Y303" s="217"/>
    </row>
    <row r="304" spans="1:25" ht="15.6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7"/>
      <c r="N304" s="106"/>
      <c r="O304" s="106"/>
      <c r="P304" s="106"/>
      <c r="Q304" s="109"/>
      <c r="R304" s="289"/>
      <c r="S304" s="107"/>
      <c r="T304" s="106"/>
      <c r="U304" s="106"/>
      <c r="V304" s="284">
        <f>Table62689345679[[#This Row],[PO Value]]-Table62689345679[[#This Row],[Offer Value]]</f>
        <v>0</v>
      </c>
      <c r="W304" s="106"/>
      <c r="X304" s="106"/>
      <c r="Y304" s="217"/>
    </row>
    <row r="305" spans="1:25" ht="15.6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7"/>
      <c r="N305" s="106"/>
      <c r="O305" s="106"/>
      <c r="P305" s="106"/>
      <c r="Q305" s="109"/>
      <c r="R305" s="289"/>
      <c r="S305" s="107"/>
      <c r="T305" s="106"/>
      <c r="U305" s="106"/>
      <c r="V305" s="284">
        <f>Table62689345679[[#This Row],[PO Value]]-Table62689345679[[#This Row],[Offer Value]]</f>
        <v>0</v>
      </c>
      <c r="W305" s="106"/>
      <c r="X305" s="106"/>
      <c r="Y305" s="217"/>
    </row>
    <row r="306" spans="1:25" ht="15.6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7"/>
      <c r="N306" s="106"/>
      <c r="O306" s="106"/>
      <c r="P306" s="106"/>
      <c r="Q306" s="109"/>
      <c r="R306" s="289"/>
      <c r="S306" s="107"/>
      <c r="T306" s="106"/>
      <c r="U306" s="106"/>
      <c r="V306" s="284">
        <f>Table62689345679[[#This Row],[PO Value]]-Table62689345679[[#This Row],[Offer Value]]</f>
        <v>0</v>
      </c>
      <c r="W306" s="106"/>
      <c r="X306" s="106"/>
      <c r="Y306" s="217"/>
    </row>
    <row r="307" spans="1:25" ht="15.6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6"/>
      <c r="N307" s="106"/>
      <c r="O307" s="106"/>
      <c r="P307" s="106"/>
      <c r="Q307" s="109"/>
      <c r="R307" s="289"/>
      <c r="S307" s="107"/>
      <c r="T307" s="106"/>
      <c r="U307" s="106"/>
      <c r="V307" s="284">
        <f>Table62689345679[[#This Row],[PO Value]]-Table62689345679[[#This Row],[Offer Value]]</f>
        <v>0</v>
      </c>
      <c r="W307" s="106"/>
      <c r="X307" s="106"/>
      <c r="Y307" s="217"/>
    </row>
    <row r="308" spans="1:25" ht="15.6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6"/>
      <c r="N308" s="106"/>
      <c r="O308" s="106"/>
      <c r="P308" s="106"/>
      <c r="Q308" s="109"/>
      <c r="R308" s="289"/>
      <c r="S308" s="107"/>
      <c r="T308" s="106"/>
      <c r="U308" s="106"/>
      <c r="V308" s="284">
        <f>Table62689345679[[#This Row],[PO Value]]-Table62689345679[[#This Row],[Offer Value]]</f>
        <v>0</v>
      </c>
      <c r="W308" s="106"/>
      <c r="X308" s="106"/>
      <c r="Y308" s="217"/>
    </row>
    <row r="309" spans="1:25" ht="15.6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6"/>
      <c r="N309" s="106"/>
      <c r="O309" s="106"/>
      <c r="P309" s="106"/>
      <c r="Q309" s="109"/>
      <c r="R309" s="289"/>
      <c r="S309" s="107"/>
      <c r="T309" s="106"/>
      <c r="U309" s="106"/>
      <c r="V309" s="284">
        <f>Table62689345679[[#This Row],[PO Value]]-Table62689345679[[#This Row],[Offer Value]]</f>
        <v>0</v>
      </c>
      <c r="W309" s="106"/>
      <c r="X309" s="106"/>
      <c r="Y309" s="217"/>
    </row>
    <row r="310" spans="1:25" ht="15.6">
      <c r="A310" s="106"/>
      <c r="B310" s="106"/>
      <c r="C310" s="105"/>
      <c r="D310" s="105"/>
      <c r="E310" s="105"/>
      <c r="F310" s="105"/>
      <c r="G310" s="105"/>
      <c r="H310" s="105"/>
      <c r="I310" s="105"/>
      <c r="J310" s="108"/>
      <c r="K310" s="108"/>
      <c r="L310" s="106"/>
      <c r="M310" s="106"/>
      <c r="N310" s="106"/>
      <c r="O310" s="106"/>
      <c r="P310" s="106"/>
      <c r="Q310" s="109"/>
      <c r="R310" s="289"/>
      <c r="S310" s="107"/>
      <c r="T310" s="106"/>
      <c r="U310" s="106"/>
      <c r="V310" s="284">
        <f>Table62689345679[[#This Row],[PO Value]]-Table62689345679[[#This Row],[Offer Value]]</f>
        <v>0</v>
      </c>
      <c r="W310" s="106"/>
      <c r="X310" s="106"/>
      <c r="Y310" s="217"/>
    </row>
    <row r="311" spans="1:25" ht="15.6">
      <c r="A311" s="106"/>
      <c r="B311" s="106"/>
      <c r="C311" s="105"/>
      <c r="D311" s="105"/>
      <c r="E311" s="105"/>
      <c r="F311" s="105"/>
      <c r="G311" s="105"/>
      <c r="H311" s="105"/>
      <c r="I311" s="105"/>
      <c r="J311" s="108"/>
      <c r="K311" s="108"/>
      <c r="L311" s="106"/>
      <c r="M311" s="106"/>
      <c r="N311" s="106"/>
      <c r="O311" s="106"/>
      <c r="P311" s="106"/>
      <c r="Q311" s="109"/>
      <c r="R311" s="289"/>
      <c r="S311" s="107"/>
      <c r="T311" s="106"/>
      <c r="U311" s="106"/>
      <c r="V311" s="284">
        <f>Table62689345679[[#This Row],[PO Value]]-Table62689345679[[#This Row],[Offer Value]]</f>
        <v>0</v>
      </c>
      <c r="W311" s="106"/>
      <c r="X311" s="106"/>
      <c r="Y311" s="217"/>
    </row>
    <row r="312" spans="1:25" ht="15.6">
      <c r="A312" s="106"/>
      <c r="B312" s="106"/>
      <c r="C312" s="105"/>
      <c r="D312" s="105"/>
      <c r="E312" s="105"/>
      <c r="F312" s="105"/>
      <c r="G312" s="105"/>
      <c r="H312" s="105"/>
      <c r="I312" s="105"/>
      <c r="J312" s="108"/>
      <c r="K312" s="108"/>
      <c r="L312" s="106"/>
      <c r="M312" s="107"/>
      <c r="N312" s="106"/>
      <c r="O312" s="106"/>
      <c r="P312" s="106"/>
      <c r="Q312" s="109"/>
      <c r="R312" s="289"/>
      <c r="S312" s="107"/>
      <c r="T312" s="106"/>
      <c r="U312" s="106"/>
      <c r="V312" s="284">
        <f>Table62689345679[[#This Row],[PO Value]]-Table62689345679[[#This Row],[Offer Value]]</f>
        <v>0</v>
      </c>
      <c r="W312" s="106"/>
      <c r="X312" s="106"/>
      <c r="Y312" s="217"/>
    </row>
    <row r="313" spans="1:25" ht="15.6">
      <c r="A313" s="106"/>
      <c r="B313" s="106"/>
      <c r="C313" s="105"/>
      <c r="D313" s="105"/>
      <c r="E313" s="105"/>
      <c r="F313" s="105"/>
      <c r="G313" s="105"/>
      <c r="H313" s="105"/>
      <c r="I313" s="105"/>
      <c r="J313" s="108"/>
      <c r="K313" s="108"/>
      <c r="L313" s="106"/>
      <c r="M313" s="106"/>
      <c r="N313" s="106"/>
      <c r="O313" s="106"/>
      <c r="P313" s="106"/>
      <c r="Q313" s="109"/>
      <c r="R313" s="289"/>
      <c r="S313" s="107"/>
      <c r="T313" s="106"/>
      <c r="U313" s="106"/>
      <c r="V313" s="284">
        <f>Table62689345679[[#This Row],[PO Value]]-Table62689345679[[#This Row],[Offer Value]]</f>
        <v>0</v>
      </c>
      <c r="W313" s="106"/>
      <c r="X313" s="106"/>
      <c r="Y313" s="217"/>
    </row>
    <row r="314" spans="1:25" ht="15.6">
      <c r="A314" s="106"/>
      <c r="B314" s="106"/>
      <c r="C314" s="105"/>
      <c r="D314" s="105"/>
      <c r="E314" s="105"/>
      <c r="F314" s="105"/>
      <c r="G314" s="105"/>
      <c r="H314" s="105"/>
      <c r="I314" s="105"/>
      <c r="J314" s="108"/>
      <c r="K314" s="108"/>
      <c r="L314" s="106"/>
      <c r="M314" s="106"/>
      <c r="N314" s="106"/>
      <c r="O314" s="106"/>
      <c r="P314" s="106"/>
      <c r="Q314" s="109"/>
      <c r="R314" s="289"/>
      <c r="S314" s="107"/>
      <c r="T314" s="106"/>
      <c r="U314" s="106"/>
      <c r="V314" s="284">
        <f>Table62689345679[[#This Row],[PO Value]]-Table62689345679[[#This Row],[Offer Value]]</f>
        <v>0</v>
      </c>
      <c r="W314" s="106"/>
      <c r="X314" s="106"/>
      <c r="Y314" s="217"/>
    </row>
    <row r="315" spans="1:25" ht="15.6">
      <c r="A315" s="106"/>
      <c r="B315" s="106"/>
      <c r="C315" s="105"/>
      <c r="D315" s="105"/>
      <c r="E315" s="105"/>
      <c r="F315" s="105"/>
      <c r="G315" s="105"/>
      <c r="H315" s="105"/>
      <c r="I315" s="105"/>
      <c r="J315" s="108"/>
      <c r="K315" s="108"/>
      <c r="L315" s="106"/>
      <c r="M315" s="107"/>
      <c r="N315" s="106"/>
      <c r="O315" s="106"/>
      <c r="P315" s="106"/>
      <c r="Q315" s="109"/>
      <c r="R315" s="289"/>
      <c r="S315" s="107"/>
      <c r="T315" s="106"/>
      <c r="U315" s="106"/>
      <c r="V315" s="284">
        <f>Table62689345679[[#This Row],[PO Value]]-Table62689345679[[#This Row],[Offer Value]]</f>
        <v>0</v>
      </c>
      <c r="W315" s="106"/>
      <c r="X315" s="106"/>
      <c r="Y315" s="217"/>
    </row>
    <row r="316" spans="1:25" ht="15.6">
      <c r="A316" s="106"/>
      <c r="B316" s="106"/>
      <c r="C316" s="105"/>
      <c r="D316" s="105"/>
      <c r="E316" s="105"/>
      <c r="F316" s="105"/>
      <c r="G316" s="105"/>
      <c r="H316" s="105"/>
      <c r="I316" s="105"/>
      <c r="J316" s="108"/>
      <c r="K316" s="108"/>
      <c r="L316" s="106"/>
      <c r="M316" s="106"/>
      <c r="N316" s="106"/>
      <c r="O316" s="106"/>
      <c r="P316" s="106"/>
      <c r="Q316" s="109"/>
      <c r="R316" s="289"/>
      <c r="S316" s="107"/>
      <c r="T316" s="106"/>
      <c r="U316" s="106"/>
      <c r="V316" s="284">
        <f>Table62689345679[[#This Row],[PO Value]]-Table62689345679[[#This Row],[Offer Value]]</f>
        <v>0</v>
      </c>
      <c r="W316" s="106"/>
      <c r="X316" s="106"/>
      <c r="Y316" s="217"/>
    </row>
    <row r="317" spans="1:25" ht="15.6">
      <c r="A317" s="106"/>
      <c r="B317" s="106"/>
      <c r="C317" s="105"/>
      <c r="D317" s="105"/>
      <c r="E317" s="105"/>
      <c r="F317" s="105"/>
      <c r="G317" s="105"/>
      <c r="H317" s="105"/>
      <c r="I317" s="105"/>
      <c r="J317" s="108"/>
      <c r="K317" s="108"/>
      <c r="L317" s="106"/>
      <c r="M317" s="106"/>
      <c r="N317" s="106"/>
      <c r="O317" s="106"/>
      <c r="P317" s="106"/>
      <c r="Q317" s="109"/>
      <c r="R317" s="256"/>
      <c r="S317" s="107"/>
      <c r="T317" s="106"/>
      <c r="U317" s="106"/>
      <c r="V317" s="284">
        <f>Table62689345679[[#This Row],[PO Value]]-Table62689345679[[#This Row],[Offer Value]]</f>
        <v>0</v>
      </c>
      <c r="W317" s="106"/>
      <c r="X317" s="106"/>
      <c r="Y317" s="617"/>
    </row>
    <row r="318" spans="1:25" ht="15.6">
      <c r="A318" s="106"/>
      <c r="B318" s="106"/>
      <c r="C318" s="105"/>
      <c r="D318" s="105"/>
      <c r="E318" s="105"/>
      <c r="F318" s="105"/>
      <c r="G318" s="105"/>
      <c r="H318" s="105"/>
      <c r="I318" s="105"/>
      <c r="J318" s="108"/>
      <c r="K318" s="108"/>
      <c r="L318" s="106"/>
      <c r="M318" s="106"/>
      <c r="N318" s="106"/>
      <c r="O318" s="106"/>
      <c r="P318" s="106"/>
      <c r="Q318" s="109"/>
      <c r="R318" s="289"/>
      <c r="S318" s="107"/>
      <c r="T318" s="106"/>
      <c r="U318" s="106"/>
      <c r="V318" s="284">
        <f>Table62689345679[[#This Row],[PO Value]]-Table62689345679[[#This Row],[Offer Value]]</f>
        <v>0</v>
      </c>
      <c r="W318" s="106"/>
      <c r="X318" s="106"/>
      <c r="Y318" s="217"/>
    </row>
    <row r="319" spans="1:25" ht="15.6">
      <c r="A319" s="106"/>
      <c r="B319" s="106"/>
      <c r="C319" s="105"/>
      <c r="D319" s="105"/>
      <c r="E319" s="105"/>
      <c r="F319" s="105"/>
      <c r="G319" s="105"/>
      <c r="H319" s="105"/>
      <c r="I319" s="105"/>
      <c r="J319" s="108"/>
      <c r="K319" s="108"/>
      <c r="L319" s="106"/>
      <c r="M319" s="107"/>
      <c r="N319" s="106"/>
      <c r="O319" s="106"/>
      <c r="P319" s="106"/>
      <c r="Q319" s="109"/>
      <c r="R319" s="289"/>
      <c r="S319" s="107"/>
      <c r="T319" s="106"/>
      <c r="U319" s="106"/>
      <c r="V319" s="284">
        <f>Table62689345679[[#This Row],[PO Value]]-Table62689345679[[#This Row],[Offer Value]]</f>
        <v>0</v>
      </c>
      <c r="W319" s="106"/>
      <c r="X319" s="106"/>
      <c r="Y319" s="217"/>
    </row>
    <row r="320" spans="1:25" ht="15.6">
      <c r="A320" s="106"/>
      <c r="B320" s="106"/>
      <c r="C320" s="105"/>
      <c r="D320" s="105"/>
      <c r="E320" s="105"/>
      <c r="F320" s="105"/>
      <c r="G320" s="105"/>
      <c r="H320" s="105"/>
      <c r="I320" s="105"/>
      <c r="J320" s="108"/>
      <c r="K320" s="108"/>
      <c r="L320" s="106"/>
      <c r="M320" s="106"/>
      <c r="N320" s="106"/>
      <c r="O320" s="106"/>
      <c r="P320" s="106"/>
      <c r="Q320" s="109"/>
      <c r="R320" s="289"/>
      <c r="S320" s="107"/>
      <c r="T320" s="106"/>
      <c r="U320" s="106"/>
      <c r="V320" s="284">
        <f>Table62689345679[[#This Row],[PO Value]]-Table62689345679[[#This Row],[Offer Value]]</f>
        <v>0</v>
      </c>
      <c r="W320" s="106"/>
      <c r="X320" s="106"/>
      <c r="Y320" s="217"/>
    </row>
    <row r="321" spans="1:25" ht="15.6">
      <c r="A321" s="106"/>
      <c r="B321" s="106"/>
      <c r="C321" s="105"/>
      <c r="D321" s="105"/>
      <c r="E321" s="105"/>
      <c r="F321" s="105"/>
      <c r="G321" s="105"/>
      <c r="H321" s="105"/>
      <c r="I321" s="105"/>
      <c r="J321" s="108"/>
      <c r="K321" s="108"/>
      <c r="L321" s="106"/>
      <c r="M321" s="106"/>
      <c r="N321" s="106"/>
      <c r="O321" s="106"/>
      <c r="P321" s="106"/>
      <c r="Q321" s="109"/>
      <c r="R321" s="289"/>
      <c r="S321" s="107"/>
      <c r="T321" s="106"/>
      <c r="U321" s="106"/>
      <c r="V321" s="284">
        <f>Table62689345679[[#This Row],[PO Value]]-Table62689345679[[#This Row],[Offer Value]]</f>
        <v>0</v>
      </c>
      <c r="W321" s="106"/>
      <c r="X321" s="106"/>
      <c r="Y321" s="217"/>
    </row>
    <row r="322" spans="1:25" ht="15.6">
      <c r="A322" s="106"/>
      <c r="B322" s="106"/>
      <c r="C322" s="105"/>
      <c r="D322" s="105"/>
      <c r="E322" s="105"/>
      <c r="F322" s="105"/>
      <c r="G322" s="105"/>
      <c r="H322" s="105"/>
      <c r="I322" s="105"/>
      <c r="J322" s="108"/>
      <c r="K322" s="108"/>
      <c r="L322" s="106"/>
      <c r="M322" s="106"/>
      <c r="N322" s="106"/>
      <c r="O322" s="106"/>
      <c r="P322" s="106"/>
      <c r="Q322" s="109"/>
      <c r="R322" s="289"/>
      <c r="S322" s="107"/>
      <c r="T322" s="106"/>
      <c r="U322" s="106"/>
      <c r="V322" s="284">
        <f>Table62689345679[[#This Row],[PO Value]]-Table62689345679[[#This Row],[Offer Value]]</f>
        <v>0</v>
      </c>
      <c r="W322" s="106"/>
      <c r="X322" s="106"/>
      <c r="Y322" s="217"/>
    </row>
    <row r="323" spans="1:25" ht="15.6">
      <c r="A323" s="106"/>
      <c r="B323" s="106"/>
      <c r="C323" s="105"/>
      <c r="D323" s="105"/>
      <c r="E323" s="105"/>
      <c r="F323" s="105"/>
      <c r="G323" s="105"/>
      <c r="H323" s="105"/>
      <c r="I323" s="105"/>
      <c r="J323" s="108"/>
      <c r="K323" s="108"/>
      <c r="L323" s="106"/>
      <c r="M323" s="107"/>
      <c r="N323" s="106"/>
      <c r="O323" s="106"/>
      <c r="P323" s="106"/>
      <c r="Q323" s="109"/>
      <c r="R323" s="289"/>
      <c r="S323" s="107"/>
      <c r="T323" s="106"/>
      <c r="U323" s="106"/>
      <c r="V323" s="284">
        <f>Table62689345679[[#This Row],[PO Value]]-Table62689345679[[#This Row],[Offer Value]]</f>
        <v>0</v>
      </c>
      <c r="W323" s="106"/>
      <c r="X323" s="106"/>
      <c r="Y323" s="217"/>
    </row>
    <row r="324" spans="1:25" ht="15.6">
      <c r="A324" s="106"/>
      <c r="B324" s="106"/>
      <c r="C324" s="105"/>
      <c r="D324" s="105"/>
      <c r="E324" s="105"/>
      <c r="F324" s="105"/>
      <c r="G324" s="105"/>
      <c r="H324" s="105"/>
      <c r="I324" s="105"/>
      <c r="J324" s="108"/>
      <c r="K324" s="108"/>
      <c r="L324" s="106"/>
      <c r="M324" s="107"/>
      <c r="N324" s="106"/>
      <c r="O324" s="106"/>
      <c r="P324" s="106"/>
      <c r="Q324" s="109"/>
      <c r="R324" s="289"/>
      <c r="S324" s="107"/>
      <c r="T324" s="106"/>
      <c r="U324" s="106"/>
      <c r="V324" s="284">
        <f>Table62689345679[[#This Row],[PO Value]]-Table62689345679[[#This Row],[Offer Value]]</f>
        <v>0</v>
      </c>
      <c r="W324" s="106"/>
      <c r="X324" s="106"/>
      <c r="Y324" s="217"/>
    </row>
    <row r="325" spans="1:25" ht="15.6">
      <c r="A325" s="106"/>
      <c r="B325" s="106"/>
      <c r="C325" s="105"/>
      <c r="D325" s="105"/>
      <c r="E325" s="105"/>
      <c r="F325" s="105"/>
      <c r="G325" s="105"/>
      <c r="H325" s="105"/>
      <c r="I325" s="105"/>
      <c r="J325" s="108"/>
      <c r="K325" s="108"/>
      <c r="L325" s="106"/>
      <c r="M325" s="106"/>
      <c r="N325" s="106"/>
      <c r="O325" s="106"/>
      <c r="P325" s="106"/>
      <c r="Q325" s="109"/>
      <c r="R325" s="256"/>
      <c r="S325" s="107"/>
      <c r="T325" s="106"/>
      <c r="U325" s="106"/>
      <c r="V325" s="284">
        <f>Table62689345679[[#This Row],[PO Value]]-Table62689345679[[#This Row],[Offer Value]]</f>
        <v>0</v>
      </c>
      <c r="W325" s="106"/>
      <c r="X325" s="106"/>
      <c r="Y325" s="617"/>
    </row>
    <row r="326" spans="1:25" ht="15.6">
      <c r="A326" s="106"/>
      <c r="B326" s="106"/>
      <c r="C326" s="106"/>
      <c r="D326" s="106"/>
      <c r="E326" s="106"/>
      <c r="F326" s="106"/>
      <c r="G326" s="106"/>
      <c r="H326" s="106"/>
      <c r="I326" s="106"/>
      <c r="J326" s="108"/>
      <c r="K326" s="108"/>
      <c r="L326" s="106"/>
      <c r="M326" s="106"/>
      <c r="N326" s="106"/>
      <c r="O326" s="106"/>
      <c r="P326" s="106"/>
      <c r="Q326" s="109"/>
      <c r="R326" s="289"/>
      <c r="S326" s="107"/>
      <c r="T326" s="106"/>
      <c r="U326" s="106"/>
      <c r="V326" s="284">
        <f>Table62689345679[[#This Row],[PO Value]]-Table62689345679[[#This Row],[Offer Value]]</f>
        <v>0</v>
      </c>
      <c r="W326" s="106"/>
      <c r="X326" s="106"/>
      <c r="Y326" s="217"/>
    </row>
    <row r="327" spans="1:25" ht="15.6">
      <c r="A327" s="106"/>
      <c r="B327" s="106"/>
      <c r="C327" s="106"/>
      <c r="D327" s="106"/>
      <c r="E327" s="106"/>
      <c r="F327" s="106"/>
      <c r="G327" s="106"/>
      <c r="H327" s="106"/>
      <c r="I327" s="106"/>
      <c r="J327" s="108"/>
      <c r="K327" s="108"/>
      <c r="L327" s="106"/>
      <c r="M327" s="106"/>
      <c r="N327" s="106"/>
      <c r="O327" s="106"/>
      <c r="P327" s="106"/>
      <c r="Q327" s="109"/>
      <c r="R327" s="289"/>
      <c r="S327" s="107"/>
      <c r="T327" s="106"/>
      <c r="U327" s="106"/>
      <c r="V327" s="284">
        <f>Table62689345679[[#This Row],[PO Value]]-Table62689345679[[#This Row],[Offer Value]]</f>
        <v>0</v>
      </c>
      <c r="W327" s="106"/>
      <c r="X327" s="106"/>
      <c r="Y327" s="217"/>
    </row>
    <row r="328" spans="1:25" ht="15.6">
      <c r="A328" s="106"/>
      <c r="B328" s="106"/>
      <c r="C328" s="106"/>
      <c r="D328" s="106"/>
      <c r="E328" s="106"/>
      <c r="F328" s="106"/>
      <c r="G328" s="106"/>
      <c r="H328" s="106"/>
      <c r="I328" s="106"/>
      <c r="J328" s="108"/>
      <c r="K328" s="108"/>
      <c r="L328" s="106"/>
      <c r="M328" s="106"/>
      <c r="N328" s="106"/>
      <c r="O328" s="106"/>
      <c r="P328" s="106"/>
      <c r="Q328" s="109"/>
      <c r="R328" s="289"/>
      <c r="S328" s="107"/>
      <c r="T328" s="106"/>
      <c r="U328" s="106"/>
      <c r="V328" s="284">
        <f>Table62689345679[[#This Row],[PO Value]]-Table62689345679[[#This Row],[Offer Value]]</f>
        <v>0</v>
      </c>
      <c r="W328" s="106"/>
      <c r="X328" s="106"/>
      <c r="Y328" s="217"/>
    </row>
    <row r="329" spans="1:25" ht="15.6">
      <c r="A329" s="106"/>
      <c r="B329" s="106"/>
      <c r="C329" s="106"/>
      <c r="D329" s="106"/>
      <c r="E329" s="106"/>
      <c r="F329" s="106"/>
      <c r="G329" s="106"/>
      <c r="H329" s="106"/>
      <c r="I329" s="106"/>
      <c r="J329" s="108"/>
      <c r="K329" s="108"/>
      <c r="L329" s="106"/>
      <c r="M329" s="106"/>
      <c r="N329" s="106"/>
      <c r="O329" s="106"/>
      <c r="P329" s="106"/>
      <c r="Q329" s="109"/>
      <c r="R329" s="289"/>
      <c r="S329" s="107"/>
      <c r="T329" s="106"/>
      <c r="U329" s="106"/>
      <c r="V329" s="284">
        <f>Table62689345679[[#This Row],[PO Value]]-Table62689345679[[#This Row],[Offer Value]]</f>
        <v>0</v>
      </c>
      <c r="W329" s="106"/>
      <c r="X329" s="106"/>
      <c r="Y329" s="217"/>
    </row>
    <row r="330" spans="1:25" ht="15.6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106"/>
      <c r="O330" s="106"/>
      <c r="P330" s="106"/>
      <c r="Q330" s="109"/>
      <c r="R330" s="289"/>
      <c r="S330" s="107"/>
      <c r="T330" s="106"/>
      <c r="U330" s="106"/>
      <c r="V330" s="284">
        <f>Table62689345679[[#This Row],[PO Value]]-Table62689345679[[#This Row],[Offer Value]]</f>
        <v>0</v>
      </c>
      <c r="W330" s="106"/>
      <c r="X330" s="106"/>
      <c r="Y330" s="217"/>
    </row>
    <row r="331" spans="1:25" ht="15.6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106"/>
      <c r="O331" s="106"/>
      <c r="P331" s="106"/>
      <c r="Q331" s="109"/>
      <c r="R331" s="289"/>
      <c r="S331" s="107"/>
      <c r="T331" s="106"/>
      <c r="U331" s="106"/>
      <c r="V331" s="284">
        <f>Table62689345679[[#This Row],[PO Value]]-Table62689345679[[#This Row],[Offer Value]]</f>
        <v>0</v>
      </c>
      <c r="W331" s="106"/>
      <c r="X331" s="106"/>
      <c r="Y331" s="217"/>
    </row>
    <row r="332" spans="1:25" ht="15.6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106"/>
      <c r="O332" s="106"/>
      <c r="P332" s="106"/>
      <c r="Q332" s="109"/>
      <c r="R332" s="289"/>
      <c r="S332" s="107"/>
      <c r="T332" s="106"/>
      <c r="U332" s="106"/>
      <c r="V332" s="284">
        <f>Table62689345679[[#This Row],[PO Value]]-Table62689345679[[#This Row],[Offer Value]]</f>
        <v>0</v>
      </c>
      <c r="W332" s="106"/>
      <c r="X332" s="106"/>
      <c r="Y332" s="217"/>
    </row>
    <row r="333" spans="1:25" ht="15.6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106"/>
      <c r="O333" s="106"/>
      <c r="P333" s="106"/>
      <c r="Q333" s="109"/>
      <c r="R333" s="289"/>
      <c r="S333" s="107"/>
      <c r="T333" s="106"/>
      <c r="U333" s="106"/>
      <c r="V333" s="284">
        <f>Table62689345679[[#This Row],[PO Value]]-Table62689345679[[#This Row],[Offer Value]]</f>
        <v>0</v>
      </c>
      <c r="W333" s="106"/>
      <c r="X333" s="106"/>
      <c r="Y333" s="217"/>
    </row>
    <row r="334" spans="1:25" ht="15.6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106"/>
      <c r="O334" s="106"/>
      <c r="P334" s="106"/>
      <c r="Q334" s="109"/>
      <c r="R334" s="289"/>
      <c r="S334" s="107"/>
      <c r="T334" s="106"/>
      <c r="U334" s="106"/>
      <c r="V334" s="284">
        <f>Table62689345679[[#This Row],[PO Value]]-Table62689345679[[#This Row],[Offer Value]]</f>
        <v>0</v>
      </c>
      <c r="W334" s="106"/>
      <c r="X334" s="106"/>
      <c r="Y334" s="217"/>
    </row>
    <row r="335" spans="1:25" ht="15.6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106"/>
      <c r="O335" s="106"/>
      <c r="P335" s="106"/>
      <c r="Q335" s="109"/>
      <c r="R335" s="289"/>
      <c r="S335" s="107"/>
      <c r="T335" s="106"/>
      <c r="U335" s="106"/>
      <c r="V335" s="284">
        <f>Table62689345679[[#This Row],[PO Value]]-Table62689345679[[#This Row],[Offer Value]]</f>
        <v>0</v>
      </c>
      <c r="W335" s="106"/>
      <c r="X335" s="106"/>
      <c r="Y335" s="217"/>
    </row>
    <row r="336" spans="1:25" ht="15.6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106"/>
      <c r="O336" s="106"/>
      <c r="P336" s="106"/>
      <c r="Q336" s="109"/>
      <c r="R336" s="289"/>
      <c r="S336" s="107"/>
      <c r="T336" s="106"/>
      <c r="U336" s="106"/>
      <c r="V336" s="284">
        <f>Table62689345679[[#This Row],[PO Value]]-Table62689345679[[#This Row],[Offer Value]]</f>
        <v>0</v>
      </c>
      <c r="W336" s="106"/>
      <c r="X336" s="106"/>
      <c r="Y336" s="217"/>
    </row>
    <row r="337" spans="1:25" ht="15.6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106"/>
      <c r="O337" s="106"/>
      <c r="P337" s="106"/>
      <c r="Q337" s="109"/>
      <c r="R337" s="289"/>
      <c r="S337" s="107"/>
      <c r="T337" s="106"/>
      <c r="U337" s="106"/>
      <c r="V337" s="284">
        <f>Table62689345679[[#This Row],[PO Value]]-Table62689345679[[#This Row],[Offer Value]]</f>
        <v>0</v>
      </c>
      <c r="W337" s="106"/>
      <c r="X337" s="106"/>
      <c r="Y337" s="217"/>
    </row>
    <row r="338" spans="1:25" ht="15.6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106"/>
      <c r="O338" s="106"/>
      <c r="P338" s="106"/>
      <c r="Q338" s="109"/>
      <c r="R338" s="289"/>
      <c r="S338" s="107"/>
      <c r="T338" s="106"/>
      <c r="U338" s="106"/>
      <c r="V338" s="284">
        <f>Table62689345679[[#This Row],[PO Value]]-Table62689345679[[#This Row],[Offer Value]]</f>
        <v>0</v>
      </c>
      <c r="W338" s="106"/>
      <c r="X338" s="106"/>
      <c r="Y338" s="217"/>
    </row>
    <row r="339" spans="1:25" ht="15.6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106"/>
      <c r="O339" s="106"/>
      <c r="P339" s="106"/>
      <c r="Q339" s="109"/>
      <c r="R339" s="289"/>
      <c r="S339" s="107"/>
      <c r="T339" s="106"/>
      <c r="U339" s="106"/>
      <c r="V339" s="284">
        <f>Table62689345679[[#This Row],[PO Value]]-Table62689345679[[#This Row],[Offer Value]]</f>
        <v>0</v>
      </c>
      <c r="W339" s="106"/>
      <c r="X339" s="106"/>
      <c r="Y339" s="217"/>
    </row>
    <row r="340" spans="1:25" ht="15.6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106"/>
      <c r="O340" s="106"/>
      <c r="P340" s="106"/>
      <c r="Q340" s="109"/>
      <c r="R340" s="289"/>
      <c r="S340" s="107"/>
      <c r="T340" s="106"/>
      <c r="U340" s="106"/>
      <c r="V340" s="284">
        <f>Table62689345679[[#This Row],[PO Value]]-Table62689345679[[#This Row],[Offer Value]]</f>
        <v>0</v>
      </c>
      <c r="W340" s="106"/>
      <c r="X340" s="106"/>
      <c r="Y340" s="217"/>
    </row>
    <row r="341" spans="1:25" ht="15.6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106"/>
      <c r="O341" s="106"/>
      <c r="P341" s="106"/>
      <c r="Q341" s="109"/>
      <c r="R341" s="289"/>
      <c r="S341" s="107"/>
      <c r="T341" s="106"/>
      <c r="U341" s="106"/>
      <c r="V341" s="284">
        <f>Table62689345679[[#This Row],[PO Value]]-Table62689345679[[#This Row],[Offer Value]]</f>
        <v>0</v>
      </c>
      <c r="W341" s="106"/>
      <c r="X341" s="106"/>
      <c r="Y341" s="217"/>
    </row>
    <row r="342" spans="1:25" ht="15.6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06"/>
      <c r="N342" s="106"/>
      <c r="O342" s="106"/>
      <c r="P342" s="106"/>
      <c r="Q342" s="109"/>
      <c r="R342" s="289"/>
      <c r="S342" s="107"/>
      <c r="T342" s="106"/>
      <c r="U342" s="106"/>
      <c r="V342" s="284">
        <f>Table62689345679[[#This Row],[PO Value]]-Table62689345679[[#This Row],[Offer Value]]</f>
        <v>0</v>
      </c>
      <c r="W342" s="106"/>
      <c r="X342" s="106"/>
      <c r="Y342" s="217"/>
    </row>
    <row r="343" spans="1:25" ht="15.6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106"/>
      <c r="O343" s="106"/>
      <c r="P343" s="106"/>
      <c r="Q343" s="109"/>
      <c r="R343" s="289"/>
      <c r="S343" s="107"/>
      <c r="T343" s="106"/>
      <c r="U343" s="106"/>
      <c r="V343" s="284">
        <f>Table62689345679[[#This Row],[PO Value]]-Table62689345679[[#This Row],[Offer Value]]</f>
        <v>0</v>
      </c>
      <c r="W343" s="106"/>
      <c r="X343" s="106"/>
      <c r="Y343" s="217"/>
    </row>
    <row r="344" spans="1:25" ht="15.6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106"/>
      <c r="O344" s="106"/>
      <c r="P344" s="106"/>
      <c r="Q344" s="109"/>
      <c r="R344" s="289"/>
      <c r="S344" s="107"/>
      <c r="T344" s="106"/>
      <c r="U344" s="106"/>
      <c r="V344" s="284">
        <f>Table62689345679[[#This Row],[PO Value]]-Table62689345679[[#This Row],[Offer Value]]</f>
        <v>0</v>
      </c>
      <c r="W344" s="106"/>
      <c r="X344" s="106"/>
      <c r="Y344" s="217"/>
    </row>
    <row r="345" spans="1:25" ht="15.6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106"/>
      <c r="O345" s="106"/>
      <c r="P345" s="106"/>
      <c r="Q345" s="109"/>
      <c r="R345" s="289"/>
      <c r="S345" s="107"/>
      <c r="T345" s="106"/>
      <c r="U345" s="106"/>
      <c r="V345" s="284">
        <f>Table62689345679[[#This Row],[PO Value]]-Table62689345679[[#This Row],[Offer Value]]</f>
        <v>0</v>
      </c>
      <c r="W345" s="106"/>
      <c r="X345" s="106"/>
      <c r="Y345" s="217"/>
    </row>
    <row r="346" spans="1:25" ht="15.6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106"/>
      <c r="O346" s="106"/>
      <c r="P346" s="106"/>
      <c r="Q346" s="109"/>
      <c r="R346" s="289"/>
      <c r="S346" s="107"/>
      <c r="T346" s="106"/>
      <c r="U346" s="106"/>
      <c r="V346" s="284">
        <f>Table62689345679[[#This Row],[PO Value]]-Table62689345679[[#This Row],[Offer Value]]</f>
        <v>0</v>
      </c>
      <c r="W346" s="106"/>
      <c r="X346" s="106"/>
      <c r="Y346" s="217"/>
    </row>
    <row r="347" spans="1:25" ht="15.6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106"/>
      <c r="O347" s="106"/>
      <c r="P347" s="106"/>
      <c r="Q347" s="109"/>
      <c r="R347" s="289"/>
      <c r="S347" s="107"/>
      <c r="T347" s="106"/>
      <c r="U347" s="106"/>
      <c r="V347" s="284">
        <f>Table62689345679[[#This Row],[PO Value]]-Table62689345679[[#This Row],[Offer Value]]</f>
        <v>0</v>
      </c>
      <c r="W347" s="106"/>
      <c r="X347" s="106"/>
      <c r="Y347" s="217"/>
    </row>
    <row r="348" spans="1:25" ht="15.6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106"/>
      <c r="O348" s="106"/>
      <c r="P348" s="106"/>
      <c r="Q348" s="109"/>
      <c r="R348" s="289"/>
      <c r="S348" s="107"/>
      <c r="T348" s="106"/>
      <c r="U348" s="106"/>
      <c r="V348" s="284">
        <f>Table62689345679[[#This Row],[PO Value]]-Table62689345679[[#This Row],[Offer Value]]</f>
        <v>0</v>
      </c>
      <c r="W348" s="106"/>
      <c r="X348" s="106"/>
      <c r="Y348" s="217"/>
    </row>
    <row r="349" spans="1:25" ht="15.6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106"/>
      <c r="O349" s="106"/>
      <c r="P349" s="106"/>
      <c r="Q349" s="109"/>
      <c r="R349" s="289"/>
      <c r="S349" s="107"/>
      <c r="T349" s="106"/>
      <c r="U349" s="106"/>
      <c r="V349" s="284">
        <f>Table62689345679[[#This Row],[PO Value]]-Table62689345679[[#This Row],[Offer Value]]</f>
        <v>0</v>
      </c>
      <c r="W349" s="106"/>
      <c r="X349" s="106"/>
      <c r="Y349" s="217"/>
    </row>
    <row r="350" spans="1:25" ht="15.6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106"/>
      <c r="O350" s="106"/>
      <c r="P350" s="106"/>
      <c r="Q350" s="109"/>
      <c r="R350" s="289"/>
      <c r="S350" s="107"/>
      <c r="T350" s="106"/>
      <c r="U350" s="106"/>
      <c r="V350" s="284">
        <f>Table62689345679[[#This Row],[PO Value]]-Table62689345679[[#This Row],[Offer Value]]</f>
        <v>0</v>
      </c>
      <c r="W350" s="106"/>
      <c r="X350" s="106"/>
      <c r="Y350" s="217"/>
    </row>
    <row r="351" spans="1:25" ht="15.6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106"/>
      <c r="O351" s="106"/>
      <c r="P351" s="106"/>
      <c r="Q351" s="109"/>
      <c r="R351" s="289"/>
      <c r="S351" s="107"/>
      <c r="T351" s="106"/>
      <c r="U351" s="106"/>
      <c r="V351" s="284">
        <f>Table62689345679[[#This Row],[PO Value]]-Table62689345679[[#This Row],[Offer Value]]</f>
        <v>0</v>
      </c>
      <c r="W351" s="106"/>
      <c r="X351" s="106"/>
      <c r="Y351" s="217"/>
    </row>
    <row r="352" spans="1:25" ht="15.6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106"/>
      <c r="O352" s="106"/>
      <c r="P352" s="106"/>
      <c r="Q352" s="109"/>
      <c r="R352" s="289"/>
      <c r="S352" s="107"/>
      <c r="T352" s="106"/>
      <c r="U352" s="106"/>
      <c r="V352" s="284">
        <f>Table62689345679[[#This Row],[PO Value]]-Table62689345679[[#This Row],[Offer Value]]</f>
        <v>0</v>
      </c>
      <c r="W352" s="106"/>
      <c r="X352" s="106"/>
      <c r="Y352" s="217"/>
    </row>
    <row r="353" spans="1:25" ht="15.6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106"/>
      <c r="O353" s="106"/>
      <c r="P353" s="106"/>
      <c r="Q353" s="109"/>
      <c r="R353" s="289"/>
      <c r="S353" s="107"/>
      <c r="T353" s="106"/>
      <c r="U353" s="106"/>
      <c r="V353" s="284">
        <f>Table62689345679[[#This Row],[PO Value]]-Table62689345679[[#This Row],[Offer Value]]</f>
        <v>0</v>
      </c>
      <c r="W353" s="106"/>
      <c r="X353" s="106"/>
      <c r="Y353" s="217"/>
    </row>
    <row r="354" spans="1:25" ht="15.6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106"/>
      <c r="O354" s="106"/>
      <c r="P354" s="106"/>
      <c r="Q354" s="109"/>
      <c r="R354" s="289"/>
      <c r="S354" s="107"/>
      <c r="T354" s="106"/>
      <c r="U354" s="106"/>
      <c r="V354" s="284">
        <f>Table62689345679[[#This Row],[PO Value]]-Table62689345679[[#This Row],[Offer Value]]</f>
        <v>0</v>
      </c>
      <c r="W354" s="106"/>
      <c r="X354" s="106"/>
      <c r="Y354" s="217"/>
    </row>
    <row r="355" spans="1:25" ht="15.6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106"/>
      <c r="O355" s="106"/>
      <c r="P355" s="106"/>
      <c r="Q355" s="109"/>
      <c r="R355" s="289"/>
      <c r="S355" s="107"/>
      <c r="T355" s="106"/>
      <c r="U355" s="106"/>
      <c r="V355" s="284">
        <f>Table62689345679[[#This Row],[PO Value]]-Table62689345679[[#This Row],[Offer Value]]</f>
        <v>0</v>
      </c>
      <c r="W355" s="106"/>
      <c r="X355" s="106"/>
      <c r="Y355" s="217"/>
    </row>
    <row r="356" spans="1:25" ht="15.6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106"/>
      <c r="O356" s="106"/>
      <c r="P356" s="106"/>
      <c r="Q356" s="109"/>
      <c r="R356" s="289"/>
      <c r="S356" s="107"/>
      <c r="T356" s="106"/>
      <c r="U356" s="106"/>
      <c r="V356" s="284">
        <f>Table62689345679[[#This Row],[PO Value]]-Table62689345679[[#This Row],[Offer Value]]</f>
        <v>0</v>
      </c>
      <c r="W356" s="106"/>
      <c r="X356" s="106"/>
      <c r="Y356" s="217"/>
    </row>
    <row r="357" spans="1:25" ht="15.6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106"/>
      <c r="N357" s="106"/>
      <c r="O357" s="106"/>
      <c r="P357" s="106"/>
      <c r="Q357" s="109"/>
      <c r="R357" s="289"/>
      <c r="S357" s="107"/>
      <c r="T357" s="106"/>
      <c r="U357" s="106"/>
      <c r="V357" s="284">
        <f>Table62689345679[[#This Row],[PO Value]]-Table62689345679[[#This Row],[Offer Value]]</f>
        <v>0</v>
      </c>
      <c r="W357" s="106"/>
      <c r="X357" s="106"/>
      <c r="Y357" s="217"/>
    </row>
    <row r="358" spans="1:25" ht="15.6">
      <c r="A358" s="106"/>
      <c r="B358" s="106"/>
      <c r="C358" s="110"/>
      <c r="D358" s="110"/>
      <c r="E358" s="110"/>
      <c r="F358" s="110"/>
      <c r="G358" s="110"/>
      <c r="H358" s="110"/>
      <c r="I358" s="110"/>
      <c r="J358" s="108"/>
      <c r="K358" s="108"/>
      <c r="L358" s="106"/>
      <c r="M358" s="106"/>
      <c r="N358" s="106"/>
      <c r="O358" s="106"/>
      <c r="P358" s="106"/>
      <c r="Q358" s="109"/>
      <c r="R358" s="289"/>
      <c r="S358" s="107"/>
      <c r="T358" s="106"/>
      <c r="U358" s="106"/>
      <c r="V358" s="284">
        <f>Table62689345679[[#This Row],[PO Value]]-Table62689345679[[#This Row],[Offer Value]]</f>
        <v>0</v>
      </c>
      <c r="W358" s="106"/>
      <c r="X358" s="106"/>
      <c r="Y358" s="217"/>
    </row>
    <row r="359" spans="1:25" ht="15.6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106"/>
      <c r="O359" s="106"/>
      <c r="P359" s="106"/>
      <c r="Q359" s="109"/>
      <c r="R359" s="289"/>
      <c r="S359" s="107"/>
      <c r="T359" s="106"/>
      <c r="U359" s="106"/>
      <c r="V359" s="284">
        <f>Table62689345679[[#This Row],[PO Value]]-Table62689345679[[#This Row],[Offer Value]]</f>
        <v>0</v>
      </c>
      <c r="W359" s="106"/>
      <c r="X359" s="106"/>
      <c r="Y359" s="217"/>
    </row>
    <row r="360" spans="1:25" ht="15.6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106"/>
      <c r="O360" s="106"/>
      <c r="P360" s="106"/>
      <c r="Q360" s="109"/>
      <c r="R360" s="289"/>
      <c r="S360" s="107"/>
      <c r="T360" s="106"/>
      <c r="U360" s="106"/>
      <c r="V360" s="284">
        <f>Table62689345679[[#This Row],[PO Value]]-Table62689345679[[#This Row],[Offer Value]]</f>
        <v>0</v>
      </c>
      <c r="W360" s="106"/>
      <c r="X360" s="106"/>
      <c r="Y360" s="217"/>
    </row>
    <row r="361" spans="1:25" ht="15.6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106"/>
      <c r="O361" s="106"/>
      <c r="P361" s="106"/>
      <c r="Q361" s="109"/>
      <c r="R361" s="289"/>
      <c r="S361" s="107"/>
      <c r="T361" s="106"/>
      <c r="U361" s="106"/>
      <c r="V361" s="284">
        <f>Table62689345679[[#This Row],[PO Value]]-Table62689345679[[#This Row],[Offer Value]]</f>
        <v>0</v>
      </c>
      <c r="W361" s="106"/>
      <c r="X361" s="106"/>
      <c r="Y361" s="217"/>
    </row>
    <row r="362" spans="1:25" ht="15.6">
      <c r="A362" s="106"/>
      <c r="B362" s="106"/>
      <c r="C362" s="106"/>
      <c r="D362" s="106"/>
      <c r="E362" s="106"/>
      <c r="F362" s="106"/>
      <c r="G362" s="106"/>
      <c r="H362" s="106"/>
      <c r="I362" s="106"/>
      <c r="J362" s="108"/>
      <c r="K362" s="108"/>
      <c r="L362" s="106"/>
      <c r="M362" s="106"/>
      <c r="N362" s="106"/>
      <c r="O362" s="106"/>
      <c r="P362" s="106"/>
      <c r="Q362" s="109"/>
      <c r="R362" s="289"/>
      <c r="S362" s="107"/>
      <c r="T362" s="106"/>
      <c r="U362" s="106"/>
      <c r="V362" s="284">
        <f>Table62689345679[[#This Row],[PO Value]]-Table62689345679[[#This Row],[Offer Value]]</f>
        <v>0</v>
      </c>
      <c r="W362" s="106"/>
      <c r="X362" s="106"/>
      <c r="Y362" s="217"/>
    </row>
    <row r="363" spans="1:25" ht="15.6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106"/>
      <c r="O363" s="106"/>
      <c r="P363" s="106"/>
      <c r="Q363" s="109"/>
      <c r="R363" s="289"/>
      <c r="S363" s="107"/>
      <c r="T363" s="106"/>
      <c r="U363" s="106"/>
      <c r="V363" s="284">
        <f>Table62689345679[[#This Row],[PO Value]]-Table62689345679[[#This Row],[Offer Value]]</f>
        <v>0</v>
      </c>
      <c r="W363" s="106"/>
      <c r="X363" s="106"/>
      <c r="Y363" s="217"/>
    </row>
    <row r="364" spans="1:25" ht="15.6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106"/>
      <c r="O364" s="106"/>
      <c r="P364" s="106"/>
      <c r="Q364" s="109"/>
      <c r="R364" s="289"/>
      <c r="S364" s="107"/>
      <c r="T364" s="106"/>
      <c r="U364" s="106"/>
      <c r="V364" s="284">
        <f>Table62689345679[[#This Row],[PO Value]]-Table62689345679[[#This Row],[Offer Value]]</f>
        <v>0</v>
      </c>
      <c r="W364" s="106"/>
      <c r="X364" s="106"/>
      <c r="Y364" s="217"/>
    </row>
    <row r="365" spans="1:25" ht="15.6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106"/>
      <c r="O365" s="106"/>
      <c r="P365" s="106"/>
      <c r="Q365" s="109"/>
      <c r="R365" s="289"/>
      <c r="S365" s="107"/>
      <c r="T365" s="106"/>
      <c r="U365" s="106"/>
      <c r="V365" s="284">
        <f>Table62689345679[[#This Row],[PO Value]]-Table62689345679[[#This Row],[Offer Value]]</f>
        <v>0</v>
      </c>
      <c r="W365" s="106"/>
      <c r="X365" s="106"/>
      <c r="Y365" s="217"/>
    </row>
    <row r="366" spans="1:25" ht="15.6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106"/>
      <c r="O366" s="106"/>
      <c r="P366" s="106"/>
      <c r="Q366" s="109"/>
      <c r="R366" s="289"/>
      <c r="S366" s="107"/>
      <c r="T366" s="106"/>
      <c r="U366" s="106"/>
      <c r="V366" s="284">
        <f>Table62689345679[[#This Row],[PO Value]]-Table62689345679[[#This Row],[Offer Value]]</f>
        <v>0</v>
      </c>
      <c r="W366" s="106"/>
      <c r="X366" s="106"/>
      <c r="Y366" s="217"/>
    </row>
    <row r="367" spans="1:25" ht="15.6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106"/>
      <c r="O367" s="106"/>
      <c r="P367" s="106"/>
      <c r="Q367" s="109"/>
      <c r="R367" s="289"/>
      <c r="S367" s="107"/>
      <c r="T367" s="106"/>
      <c r="U367" s="106"/>
      <c r="V367" s="284">
        <f>Table62689345679[[#This Row],[PO Value]]-Table62689345679[[#This Row],[Offer Value]]</f>
        <v>0</v>
      </c>
      <c r="W367" s="106"/>
      <c r="X367" s="106"/>
      <c r="Y367" s="217"/>
    </row>
    <row r="368" spans="1:25" ht="15.6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106"/>
      <c r="O368" s="106"/>
      <c r="P368" s="106"/>
      <c r="Q368" s="109"/>
      <c r="R368" s="289"/>
      <c r="S368" s="107"/>
      <c r="T368" s="106"/>
      <c r="U368" s="106"/>
      <c r="V368" s="284">
        <f>Table62689345679[[#This Row],[PO Value]]-Table62689345679[[#This Row],[Offer Value]]</f>
        <v>0</v>
      </c>
      <c r="W368" s="106"/>
      <c r="X368" s="106"/>
      <c r="Y368" s="217"/>
    </row>
    <row r="369" spans="1:25" ht="15.6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106"/>
      <c r="O369" s="106"/>
      <c r="P369" s="106"/>
      <c r="Q369" s="109"/>
      <c r="R369" s="289"/>
      <c r="S369" s="107"/>
      <c r="T369" s="106"/>
      <c r="U369" s="106"/>
      <c r="V369" s="284">
        <f>Table62689345679[[#This Row],[PO Value]]-Table62689345679[[#This Row],[Offer Value]]</f>
        <v>0</v>
      </c>
      <c r="W369" s="106"/>
      <c r="X369" s="106"/>
      <c r="Y369" s="217"/>
    </row>
    <row r="370" spans="1:25" ht="15.6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106"/>
      <c r="O370" s="106"/>
      <c r="P370" s="106"/>
      <c r="Q370" s="109"/>
      <c r="R370" s="289"/>
      <c r="S370" s="107"/>
      <c r="T370" s="106"/>
      <c r="U370" s="106"/>
      <c r="V370" s="284">
        <f>Table62689345679[[#This Row],[PO Value]]-Table62689345679[[#This Row],[Offer Value]]</f>
        <v>0</v>
      </c>
      <c r="W370" s="106"/>
      <c r="X370" s="106"/>
      <c r="Y370" s="217"/>
    </row>
    <row r="371" spans="1:25" ht="15.6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106"/>
      <c r="O371" s="106"/>
      <c r="P371" s="106"/>
      <c r="Q371" s="109"/>
      <c r="R371" s="289"/>
      <c r="S371" s="107"/>
      <c r="T371" s="106"/>
      <c r="U371" s="106"/>
      <c r="V371" s="284">
        <f>Table62689345679[[#This Row],[PO Value]]-Table62689345679[[#This Row],[Offer Value]]</f>
        <v>0</v>
      </c>
      <c r="W371" s="106"/>
      <c r="X371" s="106"/>
      <c r="Y371" s="217"/>
    </row>
    <row r="372" spans="1:25" ht="15.6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106"/>
      <c r="O372" s="106"/>
      <c r="P372" s="106"/>
      <c r="Q372" s="109"/>
      <c r="R372" s="289"/>
      <c r="S372" s="107"/>
      <c r="T372" s="106"/>
      <c r="U372" s="106"/>
      <c r="V372" s="284">
        <f>Table62689345679[[#This Row],[PO Value]]-Table62689345679[[#This Row],[Offer Value]]</f>
        <v>0</v>
      </c>
      <c r="W372" s="106"/>
      <c r="X372" s="106"/>
      <c r="Y372" s="217"/>
    </row>
    <row r="373" spans="1:25" ht="15.6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106"/>
      <c r="O373" s="106"/>
      <c r="P373" s="106"/>
      <c r="Q373" s="109"/>
      <c r="R373" s="289"/>
      <c r="S373" s="107"/>
      <c r="T373" s="106"/>
      <c r="U373" s="106"/>
      <c r="V373" s="284">
        <f>Table62689345679[[#This Row],[PO Value]]-Table62689345679[[#This Row],[Offer Value]]</f>
        <v>0</v>
      </c>
      <c r="W373" s="106"/>
      <c r="X373" s="106"/>
      <c r="Y373" s="217"/>
    </row>
    <row r="374" spans="1:25" ht="15.6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106"/>
      <c r="O374" s="106"/>
      <c r="P374" s="106"/>
      <c r="Q374" s="109"/>
      <c r="R374" s="289"/>
      <c r="S374" s="107"/>
      <c r="T374" s="106"/>
      <c r="U374" s="106"/>
      <c r="V374" s="284">
        <f>Table62689345679[[#This Row],[PO Value]]-Table62689345679[[#This Row],[Offer Value]]</f>
        <v>0</v>
      </c>
      <c r="W374" s="106"/>
      <c r="X374" s="106"/>
      <c r="Y374" s="217"/>
    </row>
    <row r="375" spans="1:25" ht="15.6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106"/>
      <c r="O375" s="106"/>
      <c r="P375" s="106"/>
      <c r="Q375" s="109"/>
      <c r="R375" s="289"/>
      <c r="S375" s="107"/>
      <c r="T375" s="106"/>
      <c r="U375" s="106"/>
      <c r="V375" s="284">
        <f>Table62689345679[[#This Row],[PO Value]]-Table62689345679[[#This Row],[Offer Value]]</f>
        <v>0</v>
      </c>
      <c r="W375" s="106"/>
      <c r="X375" s="106"/>
      <c r="Y375" s="217"/>
    </row>
    <row r="376" spans="1:25" ht="15.6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106"/>
      <c r="O376" s="106"/>
      <c r="P376" s="106"/>
      <c r="Q376" s="109"/>
      <c r="R376" s="289"/>
      <c r="S376" s="107"/>
      <c r="T376" s="106"/>
      <c r="U376" s="106"/>
      <c r="V376" s="284">
        <f>Table62689345679[[#This Row],[PO Value]]-Table62689345679[[#This Row],[Offer Value]]</f>
        <v>0</v>
      </c>
      <c r="W376" s="106"/>
      <c r="X376" s="106"/>
      <c r="Y376" s="217"/>
    </row>
    <row r="377" spans="1:25" ht="15.6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106"/>
      <c r="O377" s="106"/>
      <c r="P377" s="106"/>
      <c r="Q377" s="109"/>
      <c r="R377" s="289"/>
      <c r="S377" s="107"/>
      <c r="T377" s="106"/>
      <c r="U377" s="106"/>
      <c r="V377" s="284">
        <f>Table62689345679[[#This Row],[PO Value]]-Table62689345679[[#This Row],[Offer Value]]</f>
        <v>0</v>
      </c>
      <c r="W377" s="106"/>
      <c r="X377" s="106"/>
      <c r="Y377" s="217"/>
    </row>
    <row r="378" spans="1:25" ht="15.6">
      <c r="A378" s="106"/>
      <c r="B378" s="106"/>
      <c r="C378" s="106"/>
      <c r="D378" s="106"/>
      <c r="E378" s="106"/>
      <c r="F378" s="106"/>
      <c r="G378" s="106"/>
      <c r="H378" s="106"/>
      <c r="I378" s="106"/>
      <c r="J378" s="108"/>
      <c r="K378" s="108"/>
      <c r="L378" s="106"/>
      <c r="M378" s="106"/>
      <c r="N378" s="106"/>
      <c r="O378" s="106"/>
      <c r="P378" s="106"/>
      <c r="Q378" s="109"/>
      <c r="R378" s="289"/>
      <c r="S378" s="107"/>
      <c r="T378" s="106"/>
      <c r="U378" s="106"/>
      <c r="V378" s="284">
        <f>Table62689345679[[#This Row],[PO Value]]-Table62689345679[[#This Row],[Offer Value]]</f>
        <v>0</v>
      </c>
      <c r="W378" s="106"/>
      <c r="X378" s="106"/>
      <c r="Y378" s="217"/>
    </row>
    <row r="379" spans="1:25" ht="15.6">
      <c r="A379" s="106"/>
      <c r="B379" s="106"/>
      <c r="C379" s="106"/>
      <c r="D379" s="106"/>
      <c r="E379" s="106"/>
      <c r="F379" s="106"/>
      <c r="G379" s="106"/>
      <c r="H379" s="106"/>
      <c r="I379" s="106"/>
      <c r="J379" s="108"/>
      <c r="K379" s="108"/>
      <c r="L379" s="106"/>
      <c r="M379" s="106"/>
      <c r="N379" s="106"/>
      <c r="O379" s="106"/>
      <c r="P379" s="106"/>
      <c r="Q379" s="109"/>
      <c r="R379" s="289"/>
      <c r="S379" s="107"/>
      <c r="T379" s="106"/>
      <c r="U379" s="106"/>
      <c r="V379" s="284">
        <f>Table62689345679[[#This Row],[PO Value]]-Table62689345679[[#This Row],[Offer Value]]</f>
        <v>0</v>
      </c>
      <c r="W379" s="106"/>
      <c r="X379" s="106"/>
      <c r="Y379" s="217"/>
    </row>
    <row r="380" spans="1:25" ht="15.6">
      <c r="A380" s="106"/>
      <c r="B380" s="106"/>
      <c r="C380" s="106"/>
      <c r="D380" s="106"/>
      <c r="E380" s="106"/>
      <c r="F380" s="106"/>
      <c r="G380" s="106"/>
      <c r="H380" s="106"/>
      <c r="I380" s="106"/>
      <c r="J380" s="108"/>
      <c r="K380" s="108"/>
      <c r="L380" s="106"/>
      <c r="M380" s="106"/>
      <c r="N380" s="106"/>
      <c r="O380" s="106"/>
      <c r="P380" s="106"/>
      <c r="Q380" s="109"/>
      <c r="R380" s="289"/>
      <c r="S380" s="107"/>
      <c r="T380" s="106"/>
      <c r="U380" s="106"/>
      <c r="V380" s="284">
        <f>Table62689345679[[#This Row],[PO Value]]-Table62689345679[[#This Row],[Offer Value]]</f>
        <v>0</v>
      </c>
      <c r="W380" s="106"/>
      <c r="X380" s="106"/>
      <c r="Y380" s="217"/>
    </row>
    <row r="381" spans="1:25" ht="15.6">
      <c r="A381" s="106"/>
      <c r="B381" s="106"/>
      <c r="C381" s="106"/>
      <c r="D381" s="106"/>
      <c r="E381" s="106"/>
      <c r="F381" s="106"/>
      <c r="G381" s="106"/>
      <c r="H381" s="106"/>
      <c r="I381" s="106"/>
      <c r="J381" s="108"/>
      <c r="K381" s="108"/>
      <c r="L381" s="106"/>
      <c r="M381" s="106"/>
      <c r="N381" s="106"/>
      <c r="O381" s="106"/>
      <c r="P381" s="106"/>
      <c r="Q381" s="109"/>
      <c r="R381" s="289"/>
      <c r="S381" s="107"/>
      <c r="T381" s="106"/>
      <c r="U381" s="106"/>
      <c r="V381" s="284">
        <f>Table62689345679[[#This Row],[PO Value]]-Table62689345679[[#This Row],[Offer Value]]</f>
        <v>0</v>
      </c>
      <c r="W381" s="106"/>
      <c r="X381" s="106"/>
      <c r="Y381" s="217"/>
    </row>
    <row r="382" spans="1:25" ht="15.6">
      <c r="A382" s="106"/>
      <c r="B382" s="106"/>
      <c r="C382" s="106"/>
      <c r="D382" s="106"/>
      <c r="E382" s="106"/>
      <c r="F382" s="106"/>
      <c r="G382" s="106"/>
      <c r="H382" s="106"/>
      <c r="I382" s="106"/>
      <c r="J382" s="108"/>
      <c r="K382" s="108"/>
      <c r="L382" s="106"/>
      <c r="M382" s="106"/>
      <c r="N382" s="106"/>
      <c r="O382" s="106"/>
      <c r="P382" s="106"/>
      <c r="Q382" s="109"/>
      <c r="R382" s="289"/>
      <c r="S382" s="107"/>
      <c r="T382" s="106"/>
      <c r="U382" s="106"/>
      <c r="V382" s="284">
        <f>Table62689345679[[#This Row],[PO Value]]-Table62689345679[[#This Row],[Offer Value]]</f>
        <v>0</v>
      </c>
      <c r="W382" s="106"/>
      <c r="X382" s="106"/>
      <c r="Y382" s="217"/>
    </row>
    <row r="383" spans="1:25" ht="15.6">
      <c r="A383" s="106"/>
      <c r="B383" s="106"/>
      <c r="C383" s="106"/>
      <c r="D383" s="106"/>
      <c r="E383" s="106"/>
      <c r="F383" s="106"/>
      <c r="G383" s="106"/>
      <c r="H383" s="106"/>
      <c r="I383" s="106"/>
      <c r="J383" s="108"/>
      <c r="K383" s="108"/>
      <c r="L383" s="106"/>
      <c r="M383" s="106"/>
      <c r="N383" s="106"/>
      <c r="O383" s="106"/>
      <c r="P383" s="106"/>
      <c r="Q383" s="109"/>
      <c r="R383" s="289"/>
      <c r="S383" s="107"/>
      <c r="T383" s="106"/>
      <c r="U383" s="106"/>
      <c r="V383" s="284">
        <f>Table62689345679[[#This Row],[PO Value]]-Table62689345679[[#This Row],[Offer Value]]</f>
        <v>0</v>
      </c>
      <c r="W383" s="106"/>
      <c r="X383" s="106"/>
      <c r="Y383" s="217"/>
    </row>
    <row r="384" spans="1:25" ht="15.6">
      <c r="A384" s="106"/>
      <c r="B384" s="106"/>
      <c r="C384" s="106"/>
      <c r="D384" s="106"/>
      <c r="E384" s="106"/>
      <c r="F384" s="106"/>
      <c r="G384" s="106"/>
      <c r="H384" s="106"/>
      <c r="I384" s="106"/>
      <c r="J384" s="108"/>
      <c r="K384" s="108"/>
      <c r="L384" s="106"/>
      <c r="M384" s="106"/>
      <c r="N384" s="106"/>
      <c r="O384" s="106"/>
      <c r="P384" s="106"/>
      <c r="Q384" s="109"/>
      <c r="R384" s="289"/>
      <c r="S384" s="107"/>
      <c r="T384" s="106"/>
      <c r="U384" s="106"/>
      <c r="V384" s="284">
        <f>Table62689345679[[#This Row],[PO Value]]-Table62689345679[[#This Row],[Offer Value]]</f>
        <v>0</v>
      </c>
      <c r="W384" s="106"/>
      <c r="X384" s="106"/>
      <c r="Y384" s="217"/>
    </row>
    <row r="385" spans="1:25" ht="15.6">
      <c r="A385" s="106"/>
      <c r="B385" s="106"/>
      <c r="C385" s="106"/>
      <c r="D385" s="106"/>
      <c r="E385" s="106"/>
      <c r="F385" s="106"/>
      <c r="G385" s="106"/>
      <c r="H385" s="106"/>
      <c r="I385" s="106"/>
      <c r="J385" s="108"/>
      <c r="K385" s="108"/>
      <c r="L385" s="106"/>
      <c r="M385" s="106"/>
      <c r="N385" s="106"/>
      <c r="O385" s="106"/>
      <c r="P385" s="106"/>
      <c r="Q385" s="109"/>
      <c r="R385" s="289"/>
      <c r="S385" s="107"/>
      <c r="T385" s="106"/>
      <c r="U385" s="106"/>
      <c r="V385" s="284">
        <f>Table62689345679[[#This Row],[PO Value]]-Table62689345679[[#This Row],[Offer Value]]</f>
        <v>0</v>
      </c>
      <c r="W385" s="106"/>
      <c r="X385" s="106"/>
      <c r="Y385" s="217"/>
    </row>
    <row r="386" spans="1:25" ht="15.6">
      <c r="A386" s="106"/>
      <c r="B386" s="106"/>
      <c r="C386" s="106"/>
      <c r="D386" s="106"/>
      <c r="E386" s="106"/>
      <c r="F386" s="106"/>
      <c r="G386" s="106"/>
      <c r="H386" s="106"/>
      <c r="I386" s="106"/>
      <c r="J386" s="108"/>
      <c r="K386" s="108"/>
      <c r="L386" s="106"/>
      <c r="M386" s="106"/>
      <c r="N386" s="106"/>
      <c r="O386" s="106"/>
      <c r="P386" s="106"/>
      <c r="Q386" s="109"/>
      <c r="R386" s="289"/>
      <c r="S386" s="107"/>
      <c r="T386" s="106"/>
      <c r="U386" s="106"/>
      <c r="V386" s="284">
        <f>Table62689345679[[#This Row],[PO Value]]-Table62689345679[[#This Row],[Offer Value]]</f>
        <v>0</v>
      </c>
      <c r="W386" s="106"/>
      <c r="X386" s="106"/>
      <c r="Y386" s="217"/>
    </row>
    <row r="387" spans="1:25" ht="15.6">
      <c r="A387" s="106"/>
      <c r="B387" s="106"/>
      <c r="C387" s="106"/>
      <c r="D387" s="106"/>
      <c r="E387" s="106"/>
      <c r="F387" s="106"/>
      <c r="G387" s="106"/>
      <c r="H387" s="106"/>
      <c r="I387" s="106"/>
      <c r="J387" s="108"/>
      <c r="K387" s="108"/>
      <c r="L387" s="106"/>
      <c r="M387" s="106"/>
      <c r="N387" s="106"/>
      <c r="O387" s="106"/>
      <c r="P387" s="106"/>
      <c r="Q387" s="109"/>
      <c r="R387" s="289"/>
      <c r="S387" s="107"/>
      <c r="T387" s="106"/>
      <c r="U387" s="106"/>
      <c r="V387" s="284">
        <f>Table62689345679[[#This Row],[PO Value]]-Table62689345679[[#This Row],[Offer Value]]</f>
        <v>0</v>
      </c>
      <c r="W387" s="106"/>
      <c r="X387" s="106"/>
      <c r="Y387" s="217"/>
    </row>
    <row r="388" spans="1:25" ht="15.6">
      <c r="A388" s="106"/>
      <c r="B388" s="106"/>
      <c r="C388" s="106"/>
      <c r="D388" s="106"/>
      <c r="E388" s="106"/>
      <c r="F388" s="106"/>
      <c r="G388" s="106"/>
      <c r="H388" s="106"/>
      <c r="I388" s="106"/>
      <c r="J388" s="108"/>
      <c r="K388" s="108"/>
      <c r="L388" s="106"/>
      <c r="M388" s="106"/>
      <c r="N388" s="106"/>
      <c r="O388" s="106"/>
      <c r="P388" s="106"/>
      <c r="Q388" s="109"/>
      <c r="R388" s="289"/>
      <c r="S388" s="107"/>
      <c r="T388" s="106"/>
      <c r="U388" s="106"/>
      <c r="V388" s="284">
        <f>Table62689345679[[#This Row],[PO Value]]-Table62689345679[[#This Row],[Offer Value]]</f>
        <v>0</v>
      </c>
      <c r="W388" s="106"/>
      <c r="X388" s="106"/>
      <c r="Y388" s="217"/>
    </row>
    <row r="389" spans="1:25" ht="15.6">
      <c r="A389" s="106"/>
      <c r="B389" s="106"/>
      <c r="C389" s="106"/>
      <c r="D389" s="106"/>
      <c r="E389" s="106"/>
      <c r="F389" s="106"/>
      <c r="G389" s="106"/>
      <c r="H389" s="106"/>
      <c r="I389" s="106"/>
      <c r="J389" s="108"/>
      <c r="K389" s="108"/>
      <c r="L389" s="106"/>
      <c r="M389" s="106"/>
      <c r="N389" s="106"/>
      <c r="O389" s="106"/>
      <c r="P389" s="106"/>
      <c r="Q389" s="109"/>
      <c r="R389" s="289"/>
      <c r="S389" s="107"/>
      <c r="T389" s="106"/>
      <c r="U389" s="106"/>
      <c r="V389" s="284">
        <f>Table62689345679[[#This Row],[PO Value]]-Table62689345679[[#This Row],[Offer Value]]</f>
        <v>0</v>
      </c>
      <c r="W389" s="106"/>
      <c r="X389" s="106"/>
      <c r="Y389" s="217"/>
    </row>
    <row r="390" spans="1:25" ht="15.6">
      <c r="A390" s="106"/>
      <c r="B390" s="106"/>
      <c r="C390" s="106"/>
      <c r="D390" s="106"/>
      <c r="E390" s="106"/>
      <c r="F390" s="106"/>
      <c r="G390" s="106"/>
      <c r="H390" s="106"/>
      <c r="I390" s="106"/>
      <c r="J390" s="108"/>
      <c r="K390" s="108"/>
      <c r="L390" s="106"/>
      <c r="M390" s="106"/>
      <c r="N390" s="106"/>
      <c r="O390" s="106"/>
      <c r="P390" s="106"/>
      <c r="Q390" s="109"/>
      <c r="R390" s="289"/>
      <c r="S390" s="107"/>
      <c r="T390" s="106"/>
      <c r="U390" s="106"/>
      <c r="V390" s="284">
        <f>Table62689345679[[#This Row],[PO Value]]-Table62689345679[[#This Row],[Offer Value]]</f>
        <v>0</v>
      </c>
      <c r="W390" s="106"/>
      <c r="X390" s="106"/>
      <c r="Y390" s="217"/>
    </row>
    <row r="391" spans="1:25" ht="15.6">
      <c r="A391" s="106"/>
      <c r="B391" s="106"/>
      <c r="C391" s="106"/>
      <c r="D391" s="106"/>
      <c r="E391" s="106"/>
      <c r="F391" s="106"/>
      <c r="G391" s="106"/>
      <c r="H391" s="106"/>
      <c r="I391" s="106"/>
      <c r="J391" s="108"/>
      <c r="K391" s="108"/>
      <c r="L391" s="106"/>
      <c r="M391" s="106"/>
      <c r="N391" s="106"/>
      <c r="O391" s="106"/>
      <c r="P391" s="106"/>
      <c r="Q391" s="109"/>
      <c r="R391" s="289"/>
      <c r="S391" s="107"/>
      <c r="T391" s="106"/>
      <c r="U391" s="106"/>
      <c r="V391" s="284">
        <f>Table62689345679[[#This Row],[PO Value]]-Table62689345679[[#This Row],[Offer Value]]</f>
        <v>0</v>
      </c>
      <c r="W391" s="106"/>
      <c r="X391" s="106"/>
      <c r="Y391" s="217"/>
    </row>
    <row r="392" spans="1:25" ht="15.6">
      <c r="A392" s="106"/>
      <c r="B392" s="106"/>
      <c r="C392" s="106"/>
      <c r="D392" s="106"/>
      <c r="E392" s="106"/>
      <c r="F392" s="106"/>
      <c r="G392" s="106"/>
      <c r="H392" s="106"/>
      <c r="I392" s="106"/>
      <c r="J392" s="108"/>
      <c r="K392" s="108"/>
      <c r="L392" s="106"/>
      <c r="M392" s="106"/>
      <c r="N392" s="106"/>
      <c r="O392" s="106"/>
      <c r="P392" s="106"/>
      <c r="Q392" s="109"/>
      <c r="R392" s="289"/>
      <c r="S392" s="107"/>
      <c r="T392" s="106"/>
      <c r="U392" s="106"/>
      <c r="V392" s="284">
        <f>Table62689345679[[#This Row],[PO Value]]-Table62689345679[[#This Row],[Offer Value]]</f>
        <v>0</v>
      </c>
      <c r="W392" s="106"/>
      <c r="X392" s="106"/>
      <c r="Y392" s="217"/>
    </row>
    <row r="393" spans="1:25" ht="15.6">
      <c r="A393" s="106"/>
      <c r="B393" s="106"/>
      <c r="C393" s="106"/>
      <c r="D393" s="106"/>
      <c r="E393" s="106"/>
      <c r="F393" s="106"/>
      <c r="G393" s="106"/>
      <c r="H393" s="106"/>
      <c r="I393" s="106"/>
      <c r="J393" s="108"/>
      <c r="K393" s="108"/>
      <c r="L393" s="106"/>
      <c r="M393" s="106"/>
      <c r="N393" s="106"/>
      <c r="O393" s="106"/>
      <c r="P393" s="106"/>
      <c r="Q393" s="109"/>
      <c r="R393" s="289"/>
      <c r="S393" s="107"/>
      <c r="T393" s="106"/>
      <c r="U393" s="106"/>
      <c r="V393" s="284">
        <f>Table62689345679[[#This Row],[PO Value]]-Table62689345679[[#This Row],[Offer Value]]</f>
        <v>0</v>
      </c>
      <c r="W393" s="106"/>
      <c r="X393" s="106"/>
      <c r="Y393" s="217"/>
    </row>
    <row r="394" spans="1:25" ht="15.6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28"/>
      <c r="O394" s="128"/>
      <c r="P394" s="106"/>
      <c r="Q394" s="109"/>
      <c r="R394" s="619"/>
      <c r="S394" s="130"/>
      <c r="T394" s="106"/>
      <c r="U394" s="129"/>
      <c r="V394" s="284">
        <f>Table62689345679[[#This Row],[PO Value]]-Table62689345679[[#This Row],[Offer Value]]</f>
        <v>0</v>
      </c>
      <c r="W394" s="106"/>
      <c r="X394" s="106"/>
      <c r="Y394" s="620"/>
    </row>
    <row r="395" spans="1:25" ht="15.6">
      <c r="A395" s="118"/>
      <c r="B395" s="119"/>
      <c r="C395" s="120"/>
      <c r="D395" s="120"/>
      <c r="E395" s="120"/>
      <c r="F395" s="120"/>
      <c r="G395" s="120"/>
      <c r="H395" s="120"/>
      <c r="I395" s="120"/>
      <c r="J395" s="121"/>
      <c r="K395" s="121"/>
      <c r="L395" s="120"/>
      <c r="M395" s="122"/>
      <c r="N395" s="131"/>
      <c r="O395" s="131"/>
      <c r="P395" s="123"/>
      <c r="Q395" s="124"/>
      <c r="R395" s="122"/>
      <c r="S395" s="125"/>
      <c r="T395" s="123"/>
      <c r="U395" s="131"/>
      <c r="V395" s="284">
        <f>Table62689345679[[#This Row],[PO Value]]-Table62689345679[[#This Row],[Offer Value]]</f>
        <v>0</v>
      </c>
      <c r="W395" s="123"/>
      <c r="X395" s="123"/>
      <c r="Y395" s="621"/>
    </row>
    <row r="396" spans="1:25" ht="15.6">
      <c r="A396" s="118"/>
      <c r="B396" s="119"/>
      <c r="C396" s="120"/>
      <c r="D396" s="120"/>
      <c r="E396" s="120"/>
      <c r="F396" s="120"/>
      <c r="G396" s="120"/>
      <c r="H396" s="120"/>
      <c r="I396" s="120"/>
      <c r="J396" s="121"/>
      <c r="K396" s="121"/>
      <c r="L396" s="120"/>
      <c r="M396" s="122"/>
      <c r="N396" s="131"/>
      <c r="O396" s="131"/>
      <c r="P396" s="123"/>
      <c r="Q396" s="124"/>
      <c r="R396" s="122"/>
      <c r="S396" s="125"/>
      <c r="T396" s="123"/>
      <c r="U396" s="131"/>
      <c r="V396" s="284">
        <f>Table62689345679[[#This Row],[PO Value]]-Table62689345679[[#This Row],[Offer Value]]</f>
        <v>0</v>
      </c>
      <c r="W396" s="123"/>
      <c r="X396" s="123"/>
      <c r="Y396" s="621"/>
    </row>
    <row r="397" spans="1:25" ht="15.6">
      <c r="A397" s="118"/>
      <c r="B397" s="126"/>
      <c r="C397" s="120"/>
      <c r="D397" s="120"/>
      <c r="E397" s="120"/>
      <c r="F397" s="120"/>
      <c r="G397" s="120"/>
      <c r="H397" s="120"/>
      <c r="I397" s="120"/>
      <c r="J397" s="121"/>
      <c r="K397" s="121"/>
      <c r="L397" s="120"/>
      <c r="M397" s="122"/>
      <c r="N397" s="131"/>
      <c r="O397" s="131"/>
      <c r="P397" s="123"/>
      <c r="Q397" s="124"/>
      <c r="R397" s="122"/>
      <c r="S397" s="125"/>
      <c r="T397" s="131"/>
      <c r="U397" s="131"/>
      <c r="V397" s="284">
        <f>Table62689345679[[#This Row],[PO Value]]-Table62689345679[[#This Row],[Offer Value]]</f>
        <v>0</v>
      </c>
      <c r="W397" s="123"/>
      <c r="X397" s="123"/>
      <c r="Y397" s="621"/>
    </row>
    <row r="398" spans="1:25" ht="15.6">
      <c r="A398" s="118"/>
      <c r="B398" s="119"/>
      <c r="C398" s="120"/>
      <c r="D398" s="120"/>
      <c r="E398" s="120"/>
      <c r="F398" s="120"/>
      <c r="G398" s="120"/>
      <c r="H398" s="120"/>
      <c r="I398" s="120"/>
      <c r="J398" s="121"/>
      <c r="K398" s="121"/>
      <c r="L398" s="120"/>
      <c r="M398" s="122"/>
      <c r="N398" s="131"/>
      <c r="O398" s="131"/>
      <c r="P398" s="123"/>
      <c r="Q398" s="124"/>
      <c r="R398" s="122"/>
      <c r="S398" s="125"/>
      <c r="T398" s="123"/>
      <c r="U398" s="131"/>
      <c r="V398" s="284">
        <f>Table62689345679[[#This Row],[PO Value]]-Table62689345679[[#This Row],[Offer Value]]</f>
        <v>0</v>
      </c>
      <c r="W398" s="123"/>
      <c r="X398" s="123"/>
      <c r="Y398" s="621"/>
    </row>
    <row r="399" spans="1:25">
      <c r="A399" s="33"/>
      <c r="B399" s="34"/>
      <c r="C399" s="35"/>
      <c r="D399" s="35"/>
      <c r="E399" s="35"/>
      <c r="F399" s="35"/>
      <c r="G399" s="35"/>
      <c r="H399" s="35"/>
      <c r="I399" s="35"/>
      <c r="J399" s="36"/>
      <c r="K399" s="36"/>
      <c r="L399" s="35"/>
      <c r="M399" s="37"/>
      <c r="N399" s="38"/>
      <c r="O399" s="38"/>
      <c r="P399" s="39"/>
      <c r="Q399" s="98"/>
      <c r="R399" s="37"/>
      <c r="S399" s="40"/>
      <c r="T399" s="39"/>
      <c r="U399" s="41"/>
      <c r="V399" s="284">
        <f>Table62689345679[[#This Row],[PO Value]]-Table62689345679[[#This Row],[Offer Value]]</f>
        <v>0</v>
      </c>
      <c r="W399" s="39"/>
      <c r="X399" s="39"/>
      <c r="Y399" s="622"/>
    </row>
    <row r="400" spans="1:25">
      <c r="A400" s="33"/>
      <c r="B400" s="34"/>
      <c r="C400" s="35"/>
      <c r="D400" s="35"/>
      <c r="E400" s="35"/>
      <c r="F400" s="35"/>
      <c r="G400" s="35"/>
      <c r="H400" s="35"/>
      <c r="I400" s="35"/>
      <c r="J400" s="36"/>
      <c r="K400" s="36"/>
      <c r="L400" s="35"/>
      <c r="M400" s="37"/>
      <c r="N400" s="38"/>
      <c r="O400" s="38"/>
      <c r="P400" s="39"/>
      <c r="Q400" s="98"/>
      <c r="R400" s="37"/>
      <c r="S400" s="40"/>
      <c r="T400" s="39"/>
      <c r="U400" s="41"/>
      <c r="V400" s="284">
        <f>Table62689345679[[#This Row],[PO Value]]-Table62689345679[[#This Row],[Offer Value]]</f>
        <v>0</v>
      </c>
      <c r="W400" s="39"/>
      <c r="X400" s="39"/>
      <c r="Y400" s="622"/>
    </row>
    <row r="401" spans="1:25">
      <c r="A401" s="33"/>
      <c r="B401" s="34"/>
      <c r="C401" s="35"/>
      <c r="D401" s="35"/>
      <c r="E401" s="35"/>
      <c r="F401" s="35"/>
      <c r="G401" s="35"/>
      <c r="H401" s="35"/>
      <c r="I401" s="35"/>
      <c r="J401" s="36"/>
      <c r="K401" s="36"/>
      <c r="L401" s="35"/>
      <c r="M401" s="37"/>
      <c r="N401" s="38"/>
      <c r="O401" s="38"/>
      <c r="P401" s="39"/>
      <c r="Q401" s="98"/>
      <c r="R401" s="37"/>
      <c r="S401" s="40"/>
      <c r="T401" s="39"/>
      <c r="U401" s="41"/>
      <c r="V401" s="284">
        <f>Table62689345679[[#This Row],[PO Value]]-Table62689345679[[#This Row],[Offer Value]]</f>
        <v>0</v>
      </c>
      <c r="W401" s="39"/>
      <c r="X401" s="39"/>
      <c r="Y401" s="622"/>
    </row>
    <row r="402" spans="1:25">
      <c r="A402" s="33"/>
      <c r="B402" s="34"/>
      <c r="C402" s="35"/>
      <c r="D402" s="35"/>
      <c r="E402" s="35"/>
      <c r="F402" s="35"/>
      <c r="G402" s="35"/>
      <c r="H402" s="35"/>
      <c r="I402" s="35"/>
      <c r="J402" s="36"/>
      <c r="K402" s="36"/>
      <c r="L402" s="35"/>
      <c r="M402" s="37"/>
      <c r="N402" s="38"/>
      <c r="O402" s="38"/>
      <c r="P402" s="39"/>
      <c r="Q402" s="98"/>
      <c r="R402" s="37"/>
      <c r="S402" s="40"/>
      <c r="T402" s="39"/>
      <c r="U402" s="41"/>
      <c r="V402" s="284">
        <f>Table62689345679[[#This Row],[PO Value]]-Table62689345679[[#This Row],[Offer Value]]</f>
        <v>0</v>
      </c>
      <c r="W402" s="39"/>
      <c r="X402" s="39"/>
      <c r="Y402" s="622"/>
    </row>
    <row r="403" spans="1:25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37"/>
      <c r="N403" s="38"/>
      <c r="O403" s="38"/>
      <c r="P403" s="39"/>
      <c r="Q403" s="98"/>
      <c r="R403" s="37"/>
      <c r="S403" s="40"/>
      <c r="T403" s="39"/>
      <c r="U403" s="41"/>
      <c r="V403" s="284">
        <f>Table62689345679[[#This Row],[PO Value]]-Table62689345679[[#This Row],[Offer Value]]</f>
        <v>0</v>
      </c>
      <c r="W403" s="39"/>
      <c r="X403" s="39"/>
      <c r="Y403" s="622"/>
    </row>
    <row r="404" spans="1:25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37"/>
      <c r="N404" s="38"/>
      <c r="O404" s="38"/>
      <c r="P404" s="39"/>
      <c r="Q404" s="98"/>
      <c r="R404" s="37"/>
      <c r="S404" s="40"/>
      <c r="T404" s="39"/>
      <c r="U404" s="41"/>
      <c r="V404" s="284">
        <f>Table62689345679[[#This Row],[PO Value]]-Table62689345679[[#This Row],[Offer Value]]</f>
        <v>0</v>
      </c>
      <c r="W404" s="39"/>
      <c r="X404" s="39"/>
      <c r="Y404" s="622"/>
    </row>
    <row r="405" spans="1:25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37"/>
      <c r="N405" s="38"/>
      <c r="O405" s="38"/>
      <c r="P405" s="39"/>
      <c r="Q405" s="98"/>
      <c r="R405" s="37"/>
      <c r="S405" s="40"/>
      <c r="T405" s="39"/>
      <c r="U405" s="41"/>
      <c r="V405" s="284">
        <f>Table62689345679[[#This Row],[PO Value]]-Table62689345679[[#This Row],[Offer Value]]</f>
        <v>0</v>
      </c>
      <c r="W405" s="39"/>
      <c r="X405" s="39"/>
      <c r="Y405" s="622"/>
    </row>
    <row r="406" spans="1:25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37"/>
      <c r="N406" s="38"/>
      <c r="O406" s="38"/>
      <c r="P406" s="39"/>
      <c r="Q406" s="98"/>
      <c r="R406" s="37"/>
      <c r="S406" s="40"/>
      <c r="T406" s="39"/>
      <c r="U406" s="41"/>
      <c r="V406" s="284">
        <f>Table62689345679[[#This Row],[PO Value]]-Table62689345679[[#This Row],[Offer Value]]</f>
        <v>0</v>
      </c>
      <c r="W406" s="39"/>
      <c r="X406" s="39"/>
      <c r="Y406" s="622"/>
    </row>
    <row r="407" spans="1:25">
      <c r="A407" s="33"/>
      <c r="B407" s="34"/>
      <c r="C407" s="35"/>
      <c r="D407" s="35"/>
      <c r="E407" s="35"/>
      <c r="F407" s="35"/>
      <c r="G407" s="35"/>
      <c r="H407" s="35"/>
      <c r="I407" s="35"/>
      <c r="J407" s="36"/>
      <c r="K407" s="36"/>
      <c r="L407" s="35"/>
      <c r="M407" s="37"/>
      <c r="N407" s="38"/>
      <c r="O407" s="38"/>
      <c r="P407" s="39"/>
      <c r="Q407" s="98"/>
      <c r="R407" s="37"/>
      <c r="S407" s="40"/>
      <c r="T407" s="39"/>
      <c r="U407" s="41"/>
      <c r="V407" s="284">
        <f>Table62689345679[[#This Row],[PO Value]]-Table62689345679[[#This Row],[Offer Value]]</f>
        <v>0</v>
      </c>
      <c r="W407" s="39"/>
      <c r="X407" s="39"/>
      <c r="Y407" s="622"/>
    </row>
    <row r="408" spans="1:25">
      <c r="A408" s="2945"/>
      <c r="B408" s="1"/>
      <c r="M408" s="8"/>
      <c r="N408" s="1701"/>
      <c r="O408" s="1701"/>
      <c r="Q408" s="95"/>
      <c r="R408" s="2954"/>
      <c r="S408" s="2956"/>
      <c r="U408" s="2957"/>
      <c r="V408" s="284">
        <f>Table62689345679[[#This Row],[PO Value]]-Table62689345679[[#This Row],[Offer Value]]</f>
        <v>0</v>
      </c>
      <c r="W408"/>
      <c r="X408"/>
      <c r="Y408" s="2959"/>
    </row>
    <row r="409" spans="1:25">
      <c r="N409" s="5"/>
      <c r="Q409" s="100"/>
      <c r="R409" s="1"/>
      <c r="V409" s="284">
        <f>Table62689345679[[#This Row],[PO Value]]-Table62689345679[[#This Row],[Offer Value]]</f>
        <v>0</v>
      </c>
      <c r="Y409" s="428"/>
    </row>
    <row r="410" spans="1:25">
      <c r="N410" s="5"/>
      <c r="Q410" s="100"/>
      <c r="R410" s="1"/>
      <c r="V410" s="284">
        <f>Table62689345679[[#This Row],[PO Value]]-Table62689345679[[#This Row],[Offer Value]]</f>
        <v>0</v>
      </c>
      <c r="Y410" s="428"/>
    </row>
    <row r="411" spans="1:25">
      <c r="N411" s="5"/>
      <c r="Q411" s="100"/>
      <c r="R411" s="1"/>
      <c r="V411" s="284">
        <f>Table62689345679[[#This Row],[PO Value]]-Table62689345679[[#This Row],[Offer Value]]</f>
        <v>0</v>
      </c>
      <c r="Y411" s="428"/>
    </row>
    <row r="412" spans="1:25">
      <c r="N412" s="5"/>
      <c r="Q412" s="100"/>
      <c r="R412" s="1"/>
      <c r="V412" s="284">
        <f>Table62689345679[[#This Row],[PO Value]]-Table62689345679[[#This Row],[Offer Value]]</f>
        <v>0</v>
      </c>
      <c r="Y412" s="428"/>
    </row>
    <row r="413" spans="1:25">
      <c r="N413" s="5"/>
      <c r="Q413" s="100"/>
      <c r="R413" s="1"/>
      <c r="V413" s="284">
        <f>Table62689345679[[#This Row],[PO Value]]-Table62689345679[[#This Row],[Offer Value]]</f>
        <v>0</v>
      </c>
      <c r="Y413" s="428"/>
    </row>
    <row r="414" spans="1:25">
      <c r="N414" s="5"/>
      <c r="Q414" s="100"/>
      <c r="R414" s="1"/>
      <c r="V414" s="284" t="e">
        <f>Table62689345679[[#This Row],[PO Value]]-Table62689345679[[#This Row],[Offer Value]]</f>
        <v>#VALUE!</v>
      </c>
      <c r="Y414" s="428"/>
    </row>
    <row r="415" spans="1:25">
      <c r="N415" s="5"/>
      <c r="Q415" s="100"/>
      <c r="R415" s="1"/>
      <c r="V415" s="284" t="e">
        <f>Table62689345679[[#This Row],[PO Value]]-Table62689345679[[#This Row],[Offer Value]]</f>
        <v>#VALUE!</v>
      </c>
      <c r="Y415" s="428"/>
    </row>
    <row r="416" spans="1:25">
      <c r="N416" s="5"/>
      <c r="Q416" s="100"/>
      <c r="R416" s="1"/>
      <c r="V416" s="284" t="e">
        <f>Table62689345679[[#This Row],[PO Value]]-Table62689345679[[#This Row],[Offer Value]]</f>
        <v>#VALUE!</v>
      </c>
      <c r="Y416" s="428"/>
    </row>
    <row r="417" spans="1:25">
      <c r="N417" s="5"/>
      <c r="Q417" s="100"/>
      <c r="R417" s="1"/>
      <c r="V417" s="284" t="e">
        <f>Table62689345679[[#This Row],[PO Value]]-Table62689345679[[#This Row],[Offer Value]]</f>
        <v>#VALUE!</v>
      </c>
      <c r="Y417" s="428"/>
    </row>
    <row r="418" spans="1:25">
      <c r="N418" s="5"/>
      <c r="Q418" s="100"/>
      <c r="R418" s="1"/>
      <c r="V418" s="284" t="e">
        <f>Table62689345679[[#This Row],[PO Value]]-Table62689345679[[#This Row],[Offer Value]]</f>
        <v>#VALUE!</v>
      </c>
      <c r="Y418" s="428"/>
    </row>
    <row r="419" spans="1:25">
      <c r="N419" s="5"/>
      <c r="Q419" s="100"/>
      <c r="R419" s="1"/>
      <c r="V419" s="284" t="e">
        <f>Table62689345679[[#This Row],[PO Value]]-Table62689345679[[#This Row],[Offer Value]]</f>
        <v>#VALUE!</v>
      </c>
      <c r="Y419" s="428"/>
    </row>
    <row r="420" spans="1:25">
      <c r="N420" s="5"/>
      <c r="Q420" s="100"/>
      <c r="R420" s="1"/>
      <c r="V420" s="284" t="e">
        <f>Table62689345679[[#This Row],[PO Value]]-Table62689345679[[#This Row],[Offer Value]]</f>
        <v>#VALUE!</v>
      </c>
      <c r="Y420" s="428"/>
    </row>
    <row r="421" spans="1:25">
      <c r="N421" s="5"/>
      <c r="Q421" s="100"/>
      <c r="R421" s="1"/>
      <c r="V421" s="284" t="e">
        <f>Table62689345679[[#This Row],[PO Value]]-Table62689345679[[#This Row],[Offer Value]]</f>
        <v>#VALUE!</v>
      </c>
      <c r="Y421" s="428"/>
    </row>
    <row r="422" spans="1:25">
      <c r="N422" s="5"/>
      <c r="Q422" s="100"/>
      <c r="R422" s="1"/>
      <c r="V422" s="284" t="e">
        <f>Table62689345679[[#This Row],[PO Value]]-Table62689345679[[#This Row],[Offer Value]]</f>
        <v>#VALUE!</v>
      </c>
      <c r="Y422" s="428"/>
    </row>
    <row r="423" spans="1:25">
      <c r="A423" s="2316"/>
      <c r="B423" s="2946"/>
      <c r="C423" s="2947"/>
      <c r="D423" s="2947"/>
      <c r="E423" s="2947"/>
      <c r="F423" s="2947"/>
      <c r="G423" s="2947"/>
      <c r="H423" s="2947"/>
      <c r="I423" s="2947"/>
      <c r="J423" s="2947"/>
      <c r="K423" s="2947"/>
      <c r="L423" s="2947"/>
      <c r="M423" s="2316"/>
      <c r="N423" s="2951"/>
      <c r="O423" s="2951"/>
      <c r="P423" s="2316"/>
      <c r="Q423" s="2952"/>
      <c r="R423" s="2953"/>
      <c r="S423" s="2955"/>
      <c r="T423" s="2316"/>
      <c r="U423" s="2316"/>
      <c r="V423" s="284" t="e">
        <f>Table62689345679[[#This Row],[PO Value]]-Table62689345679[[#This Row],[Offer Value]]</f>
        <v>#VALUE!</v>
      </c>
      <c r="W423" s="2953"/>
      <c r="X423" s="2953"/>
      <c r="Y423" s="2958"/>
    </row>
    <row r="424" spans="1:25" ht="15.6">
      <c r="A424" s="473"/>
      <c r="B424" s="479"/>
      <c r="C424" s="474"/>
      <c r="D424" s="474"/>
      <c r="E424" s="474"/>
      <c r="F424" s="474"/>
      <c r="G424" s="474"/>
      <c r="H424" s="474"/>
      <c r="I424" s="474"/>
      <c r="J424" s="475"/>
      <c r="K424" s="475"/>
      <c r="L424" s="474"/>
      <c r="M424" s="679"/>
      <c r="N424" s="477"/>
      <c r="O424" s="477"/>
      <c r="P424" s="477"/>
      <c r="Q424" s="249"/>
      <c r="R424" s="476"/>
      <c r="S424" s="476"/>
      <c r="T424" s="476"/>
      <c r="U424" s="477"/>
      <c r="V424" s="284" t="e">
        <f>Table62689345679[[#This Row],[PO Value]]-Table62689345679[[#This Row],[Offer Value]]</f>
        <v>#VALUE!</v>
      </c>
      <c r="W424" s="474"/>
      <c r="X424" s="478"/>
      <c r="Y424" s="647"/>
    </row>
    <row r="425" spans="1:25" ht="15.6">
      <c r="A425" s="473"/>
      <c r="B425" s="479"/>
      <c r="C425" s="474"/>
      <c r="D425" s="474"/>
      <c r="E425" s="474"/>
      <c r="F425" s="474"/>
      <c r="G425" s="474"/>
      <c r="H425" s="474"/>
      <c r="I425" s="474"/>
      <c r="J425" s="475"/>
      <c r="K425" s="475"/>
      <c r="L425" s="474"/>
      <c r="M425" s="679"/>
      <c r="N425" s="477"/>
      <c r="O425" s="477"/>
      <c r="P425" s="477"/>
      <c r="Q425" s="249"/>
      <c r="R425" s="476"/>
      <c r="S425" s="476"/>
      <c r="T425" s="476"/>
      <c r="U425" s="477"/>
      <c r="V425" s="284" t="e">
        <f>Table62689345679[[#This Row],[PO Value]]-Table62689345679[[#This Row],[Offer Value]]</f>
        <v>#VALUE!</v>
      </c>
      <c r="W425" s="474"/>
      <c r="X425" s="478"/>
      <c r="Y425" s="647"/>
    </row>
    <row r="426" spans="1:25" ht="15.6">
      <c r="A426" s="473"/>
      <c r="B426" s="479"/>
      <c r="C426" s="474"/>
      <c r="D426" s="474"/>
      <c r="E426" s="474"/>
      <c r="F426" s="474"/>
      <c r="G426" s="474"/>
      <c r="H426" s="474"/>
      <c r="I426" s="474"/>
      <c r="J426" s="475"/>
      <c r="K426" s="475"/>
      <c r="L426" s="474"/>
      <c r="M426" s="679"/>
      <c r="N426" s="477"/>
      <c r="O426" s="477"/>
      <c r="P426" s="477"/>
      <c r="Q426" s="249"/>
      <c r="R426" s="476"/>
      <c r="S426" s="476"/>
      <c r="T426" s="476"/>
      <c r="U426" s="477"/>
      <c r="V426" s="284" t="e">
        <f>Table62689345679[[#This Row],[PO Value]]-Table62689345679[[#This Row],[Offer Value]]</f>
        <v>#VALUE!</v>
      </c>
      <c r="W426" s="474"/>
      <c r="X426" s="478"/>
      <c r="Y426" s="647"/>
    </row>
    <row r="427" spans="1:25">
      <c r="B427" s="262"/>
      <c r="M427" s="262"/>
      <c r="N427" s="87"/>
      <c r="O427" s="87"/>
      <c r="P427" s="2"/>
      <c r="Q427" s="278"/>
      <c r="R427" s="2"/>
      <c r="S427" s="267"/>
      <c r="T427" s="2"/>
      <c r="U427" s="2"/>
      <c r="V427" s="284" t="e">
        <f>Table62689345679[[#This Row],[PO Value]]-Table62689345679[[#This Row],[Offer Value]]</f>
        <v>#VALUE!</v>
      </c>
      <c r="W427" s="2"/>
      <c r="Y427" s="2"/>
    </row>
    <row r="428" spans="1:25">
      <c r="B428" s="262"/>
      <c r="M428" s="262"/>
      <c r="N428" s="87"/>
      <c r="O428" s="87"/>
      <c r="P428" s="2"/>
      <c r="Q428" s="278"/>
      <c r="R428" s="2"/>
      <c r="S428" s="267"/>
      <c r="T428" s="2"/>
      <c r="U428" s="2"/>
      <c r="V428" s="284" t="e">
        <f>Table62689345679[[#This Row],[PO Value]]-Table62689345679[[#This Row],[Offer Value]]</f>
        <v>#VALUE!</v>
      </c>
      <c r="W428" s="2"/>
      <c r="Y428" s="2"/>
    </row>
    <row r="429" spans="1:25">
      <c r="B429" s="262"/>
      <c r="M429" s="262"/>
      <c r="N429" s="87"/>
      <c r="O429" s="87"/>
      <c r="P429" s="2"/>
      <c r="Q429" s="278"/>
      <c r="R429" s="2"/>
      <c r="S429" s="267"/>
      <c r="T429" s="2"/>
      <c r="U429" s="2"/>
      <c r="V429" s="284" t="e">
        <f>Table62689345679[[#This Row],[PO Value]]-Table62689345679[[#This Row],[Offer Value]]</f>
        <v>#VALUE!</v>
      </c>
      <c r="W429" s="2"/>
      <c r="Y429" s="2"/>
    </row>
    <row r="430" spans="1:25">
      <c r="B430" s="262"/>
      <c r="M430" s="262"/>
      <c r="N430" s="87"/>
      <c r="O430" s="87"/>
      <c r="P430" s="2"/>
      <c r="Q430" s="278"/>
      <c r="R430" s="2"/>
      <c r="S430" s="267"/>
      <c r="T430" s="2"/>
      <c r="U430" s="2"/>
      <c r="V430" s="268"/>
      <c r="W430" s="2"/>
      <c r="Y430" s="2"/>
    </row>
    <row r="431" spans="1:25">
      <c r="B431" s="262"/>
      <c r="M431" s="262"/>
      <c r="N431" s="87"/>
      <c r="O431" s="87"/>
      <c r="P431" s="2"/>
      <c r="Q431" s="278"/>
      <c r="R431" s="2"/>
      <c r="S431" s="267"/>
      <c r="T431" s="2"/>
      <c r="U431" s="2"/>
      <c r="V431" s="268"/>
      <c r="W431" s="2"/>
      <c r="Y431" s="2"/>
    </row>
    <row r="432" spans="1:25">
      <c r="B432" s="262"/>
      <c r="M432" s="262"/>
      <c r="N432" s="87"/>
      <c r="O432" s="87"/>
      <c r="P432" s="2"/>
      <c r="Q432" s="278"/>
      <c r="R432" s="2"/>
      <c r="S432" s="267"/>
      <c r="T432" s="2"/>
      <c r="U432" s="2"/>
      <c r="V432" s="268"/>
      <c r="W432" s="2"/>
      <c r="Y432" s="2"/>
    </row>
    <row r="433" spans="2:25">
      <c r="B433" s="262"/>
      <c r="M433" s="262"/>
      <c r="N433" s="87"/>
      <c r="O433" s="87"/>
      <c r="P433" s="2"/>
      <c r="Q433" s="278"/>
      <c r="R433" s="2"/>
      <c r="S433" s="267"/>
      <c r="T433" s="2"/>
      <c r="U433" s="2"/>
      <c r="V433" s="268"/>
      <c r="W433" s="2"/>
      <c r="Y433" s="2"/>
    </row>
    <row r="434" spans="2:25">
      <c r="B434" s="262"/>
      <c r="M434" s="262"/>
      <c r="N434" s="87"/>
      <c r="O434" s="87"/>
      <c r="P434" s="2"/>
      <c r="Q434" s="278"/>
      <c r="R434" s="2"/>
      <c r="S434" s="267"/>
      <c r="T434" s="2"/>
      <c r="U434" s="2"/>
      <c r="V434" s="268"/>
      <c r="W434" s="2"/>
      <c r="Y434" s="2"/>
    </row>
    <row r="435" spans="2:25">
      <c r="B435" s="262"/>
      <c r="M435" s="262"/>
      <c r="N435" s="87"/>
      <c r="O435" s="87"/>
      <c r="P435" s="2"/>
      <c r="Q435" s="278"/>
      <c r="R435" s="2"/>
      <c r="S435" s="267"/>
      <c r="T435" s="2"/>
      <c r="U435" s="2"/>
      <c r="V435" s="268"/>
      <c r="W435" s="2"/>
      <c r="Y435" s="2"/>
    </row>
  </sheetData>
  <protectedRanges>
    <protectedRange algorithmName="SHA-512" hashValue="gZNXA0xZZvTr4mVrHIcpl3r4WknbgyiSuZM8Zwe6fcCo6m50g+9tuYL4OsRqTmMCamLLkXw2Bc4O6xBZbTITuA==" saltValue="Pwr0R4fjAsfkJJiQFB5rBQ==" spinCount="100000" sqref="O10 O13:O14 O7:O8" name="Range1_1"/>
    <protectedRange algorithmName="SHA-512" hashValue="gZNXA0xZZvTr4mVrHIcpl3r4WknbgyiSuZM8Zwe6fcCo6m50g+9tuYL4OsRqTmMCamLLkXw2Bc4O6xBZbTITuA==" saltValue="Pwr0R4fjAsfkJJiQFB5rBQ==" spinCount="100000" sqref="V7:V429" name="Range1_1_1"/>
  </protectedRanges>
  <autoFilter ref="Z6:AA6" xr:uid="{205A37E0-DC6F-4AE1-BAFA-F20BFF7EFB85}"/>
  <mergeCells count="1">
    <mergeCell ref="Z5:AA5"/>
  </mergeCells>
  <phoneticPr fontId="43" type="noConversion"/>
  <conditionalFormatting sqref="L7">
    <cfRule type="duplicateValues" dxfId="55" priority="8"/>
  </conditionalFormatting>
  <conditionalFormatting sqref="L8">
    <cfRule type="duplicateValues" dxfId="54" priority="7"/>
  </conditionalFormatting>
  <conditionalFormatting sqref="L10">
    <cfRule type="duplicateValues" dxfId="53" priority="11"/>
  </conditionalFormatting>
  <conditionalFormatting sqref="L20">
    <cfRule type="duplicateValues" dxfId="52" priority="9"/>
  </conditionalFormatting>
  <conditionalFormatting sqref="L26">
    <cfRule type="duplicateValues" dxfId="51" priority="30"/>
  </conditionalFormatting>
  <conditionalFormatting sqref="L27">
    <cfRule type="duplicateValues" dxfId="50" priority="29"/>
  </conditionalFormatting>
  <conditionalFormatting sqref="L28">
    <cfRule type="duplicateValues" dxfId="49" priority="28"/>
  </conditionalFormatting>
  <conditionalFormatting sqref="L29">
    <cfRule type="duplicateValues" dxfId="48" priority="27"/>
  </conditionalFormatting>
  <conditionalFormatting sqref="L30">
    <cfRule type="duplicateValues" dxfId="47" priority="26"/>
  </conditionalFormatting>
  <conditionalFormatting sqref="L31">
    <cfRule type="duplicateValues" dxfId="46" priority="25"/>
  </conditionalFormatting>
  <conditionalFormatting sqref="L32">
    <cfRule type="duplicateValues" dxfId="45" priority="6"/>
  </conditionalFormatting>
  <conditionalFormatting sqref="L33">
    <cfRule type="duplicateValues" dxfId="44" priority="24"/>
  </conditionalFormatting>
  <conditionalFormatting sqref="L34:L36">
    <cfRule type="duplicateValues" dxfId="43" priority="5"/>
  </conditionalFormatting>
  <conditionalFormatting sqref="L37">
    <cfRule type="duplicateValues" dxfId="42" priority="22"/>
  </conditionalFormatting>
  <conditionalFormatting sqref="L38:L41">
    <cfRule type="duplicateValues" dxfId="41" priority="4"/>
  </conditionalFormatting>
  <conditionalFormatting sqref="L42:L43 L47:L51">
    <cfRule type="duplicateValues" dxfId="40" priority="19"/>
  </conditionalFormatting>
  <conditionalFormatting sqref="L44:L46">
    <cfRule type="duplicateValues" dxfId="39" priority="3"/>
  </conditionalFormatting>
  <conditionalFormatting sqref="L52">
    <cfRule type="duplicateValues" dxfId="38" priority="18"/>
  </conditionalFormatting>
  <conditionalFormatting sqref="L53">
    <cfRule type="duplicateValues" dxfId="37" priority="17"/>
  </conditionalFormatting>
  <conditionalFormatting sqref="L54:L56">
    <cfRule type="duplicateValues" dxfId="36" priority="16"/>
  </conditionalFormatting>
  <conditionalFormatting sqref="L57:L58">
    <cfRule type="duplicateValues" dxfId="35" priority="15"/>
  </conditionalFormatting>
  <conditionalFormatting sqref="L80">
    <cfRule type="duplicateValues" dxfId="34" priority="2"/>
  </conditionalFormatting>
  <conditionalFormatting sqref="L82">
    <cfRule type="duplicateValues" dxfId="33" priority="1"/>
  </conditionalFormatting>
  <conditionalFormatting sqref="L131:L157 L200:L202 L222:L422 L15:L19 L21:L25 L59:L66">
    <cfRule type="duplicateValues" dxfId="32" priority="33"/>
  </conditionalFormatting>
  <conditionalFormatting sqref="L423:L435">
    <cfRule type="duplicateValues" dxfId="31" priority="34"/>
  </conditionalFormatting>
  <conditionalFormatting sqref="L436:L1048576 L1:L6">
    <cfRule type="duplicateValues" dxfId="30" priority="38"/>
  </conditionalFormatting>
  <conditionalFormatting sqref="R21:R422 R8:R19">
    <cfRule type="duplicateValues" dxfId="29" priority="102"/>
  </conditionalFormatting>
  <dataValidations count="3">
    <dataValidation type="custom" allowBlank="1" showInputMessage="1" showErrorMessage="1" errorTitle="Error" error="Entered data format is wrong" promptTitle="Enter Date format : 01/10/2021 " sqref="B394:B659" xr:uid="{4A6E6DA3-1313-4595-A9DA-452FDDEB2065}">
      <formula1>AND(ISNUMBER(B394),LEFT(CELL("format",B394),1)="D")</formula1>
    </dataValidation>
    <dataValidation type="list" allowBlank="1" showInputMessage="1" showErrorMessage="1" error="Do not Enter any other text except Month" sqref="T394:T395 T397:T406 P398:P406" xr:uid="{EC7AB955-21AA-4B51-8545-D14A6F31E201}">
      <formula1>#REF!</formula1>
    </dataValidation>
    <dataValidation type="list" allowBlank="1" showInputMessage="1" showErrorMessage="1" error="Do not enter any oteh products" sqref="K398:K406" xr:uid="{0BFB89EA-E0A9-46B3-A630-6FA21C20548F}">
      <formula1>#REF!</formula1>
    </dataValidation>
  </dataValidations>
  <hyperlinks>
    <hyperlink ref="H7" r:id="rId1" xr:uid="{7737061C-FF84-4E1D-BF89-724E565A879F}"/>
    <hyperlink ref="H13" r:id="rId2" xr:uid="{77ECB964-A92A-4739-B597-35FB057931AD}"/>
    <hyperlink ref="H14" r:id="rId3" xr:uid="{278094F7-C7A9-4CA7-8077-BC5AD49BDAE7}"/>
    <hyperlink ref="H15" r:id="rId4" xr:uid="{387BA8E7-D0BA-4A02-A036-4F47E3F3E5C7}"/>
    <hyperlink ref="H16" r:id="rId5" xr:uid="{C348CC12-8B75-40DB-AE46-ACEDE2F4C7FA}"/>
    <hyperlink ref="H17" r:id="rId6" xr:uid="{30D48D5F-604D-41E4-9DC4-F49C2CD847E3}"/>
    <hyperlink ref="H18" r:id="rId7" xr:uid="{62DC77FE-DC82-46F2-B53D-F57B8D0F0D2A}"/>
    <hyperlink ref="H20" r:id="rId8" xr:uid="{A20EA9D2-E339-4B96-88A1-B4079620F6C7}"/>
    <hyperlink ref="H21" r:id="rId9" xr:uid="{327627B4-FFCE-4F61-B8CB-DAC8713D0C83}"/>
    <hyperlink ref="H22" r:id="rId10" xr:uid="{8185DEFA-DAAC-4FBD-8FF2-6EC65F1DFAB9}"/>
    <hyperlink ref="H23" r:id="rId11" xr:uid="{9ED962E7-8646-4F9E-8763-8B7105335009}"/>
    <hyperlink ref="H24" r:id="rId12" xr:uid="{655B2A61-754F-4082-841A-31BA6D7CFDF4}"/>
    <hyperlink ref="H8" r:id="rId13" xr:uid="{993B85EE-E81D-433F-9011-644D779BAFEE}"/>
    <hyperlink ref="H25" r:id="rId14" xr:uid="{FC6A1B38-8C92-4522-B0B2-6C1612127B14}"/>
    <hyperlink ref="H26" r:id="rId15" xr:uid="{172EB16B-230E-49E9-BFA3-82E57968B229}"/>
    <hyperlink ref="H31" r:id="rId16" xr:uid="{C95488BD-FA05-4744-B8F4-CE337AFF3A3B}"/>
    <hyperlink ref="H33" r:id="rId17" xr:uid="{76B7BB0F-8AA3-4F56-A789-64493600222D}"/>
    <hyperlink ref="H34" r:id="rId18" xr:uid="{25115B05-400C-4CE5-BDBF-FDB948AF923A}"/>
    <hyperlink ref="H35" r:id="rId19" xr:uid="{BC7E5039-2BF9-4475-B581-83AAA07071F7}"/>
    <hyperlink ref="H36" r:id="rId20" xr:uid="{119192C1-23F1-48BA-B9BD-42EE940840E9}"/>
    <hyperlink ref="H37" r:id="rId21" xr:uid="{79A8D2AC-32DD-4E9B-8CCC-70779A7823A8}"/>
    <hyperlink ref="H38" r:id="rId22" xr:uid="{ED66591F-C60B-42EF-AC6A-24B0C8E77166}"/>
    <hyperlink ref="H39" r:id="rId23" xr:uid="{3B2BBE30-4B67-49FA-A636-C5CE970F9462}"/>
    <hyperlink ref="H40" r:id="rId24" xr:uid="{86316282-A1A6-4A76-A576-B10B8E76345A}"/>
    <hyperlink ref="H41" r:id="rId25" xr:uid="{AC616AE3-F42A-41F7-BD66-E6484D495750}"/>
    <hyperlink ref="H42" r:id="rId26" xr:uid="{FD797693-B118-4F32-B026-C5551BD90E1D}"/>
    <hyperlink ref="H43" r:id="rId27" xr:uid="{B462AE01-12CD-4BAC-98D5-888A4F2B76AD}"/>
    <hyperlink ref="H44" r:id="rId28" xr:uid="{DE5D6B4E-A8E6-4A94-90D7-85A4E813A913}"/>
    <hyperlink ref="H45" r:id="rId29" xr:uid="{B37EE71D-7EEB-4256-81E9-BFE37C11F678}"/>
    <hyperlink ref="H46" r:id="rId30" xr:uid="{DE6EEAB2-B3BC-4EED-9C6D-09629211BE9B}"/>
    <hyperlink ref="H47" r:id="rId31" xr:uid="{669A59CA-F971-432B-9687-53F0DF33EE9B}"/>
    <hyperlink ref="H48" r:id="rId32" xr:uid="{0F6152FC-2556-43AB-BE6D-46DC5BB3D586}"/>
    <hyperlink ref="H49" r:id="rId33" xr:uid="{431F0269-A364-45C0-8D50-983C4CD0415B}"/>
    <hyperlink ref="H57" r:id="rId34" xr:uid="{5A26E60B-EED8-46F9-AD50-4DACEA867B5E}"/>
    <hyperlink ref="H58" r:id="rId35" xr:uid="{112D9033-E5AC-4BFC-A88A-52D35A8A0F9D}"/>
    <hyperlink ref="H59" r:id="rId36" xr:uid="{86EB7F82-A7E6-49A0-88E3-A674C5768324}"/>
    <hyperlink ref="H61" r:id="rId37" xr:uid="{42136811-5308-40BA-A129-48832E52AD42}"/>
    <hyperlink ref="H62" r:id="rId38" xr:uid="{504423F5-0DAB-4269-B940-B1263904AC81}"/>
    <hyperlink ref="H65" r:id="rId39" xr:uid="{03C3F9DA-62FE-45D3-BC32-B0807FD46616}"/>
    <hyperlink ref="H66" r:id="rId40" xr:uid="{D49F9DC1-DA37-4DD2-B6D3-591308FA575B}"/>
    <hyperlink ref="H67" r:id="rId41" xr:uid="{5A9EF981-9EC4-47C4-80F1-CB0AB15ABD54}"/>
    <hyperlink ref="H68" r:id="rId42" xr:uid="{82BB6C17-12AB-4A5D-AA94-E450A61CCFE9}"/>
    <hyperlink ref="H71" r:id="rId43" xr:uid="{1613478D-A562-4529-908E-1D0A5CFF0A7C}"/>
    <hyperlink ref="H72" r:id="rId44" xr:uid="{84AD71D6-D9ED-4B37-A753-96A5F1DDD476}"/>
    <hyperlink ref="H74" r:id="rId45" xr:uid="{69DA9485-E015-44B8-85EE-1F0395BA94D2}"/>
    <hyperlink ref="H73" r:id="rId46" xr:uid="{586D51AB-931A-42CE-AC53-461825CD5A85}"/>
    <hyperlink ref="H75" r:id="rId47" xr:uid="{36D82929-A0C7-498D-9194-64620E9C1E73}"/>
    <hyperlink ref="H76" r:id="rId48" xr:uid="{163E12A7-8F12-42E4-AAAC-F708FC5CAFCF}"/>
    <hyperlink ref="H79" r:id="rId49" xr:uid="{C3DBBC01-F3FE-4DFC-B535-FFFC267BCDB2}"/>
    <hyperlink ref="H78" r:id="rId50" xr:uid="{DAE592EB-5A2D-4F7C-AFF4-3ED56DB0BE50}"/>
    <hyperlink ref="H80" r:id="rId51" xr:uid="{28E65691-1815-4D3F-9EB6-163C1A5624BB}"/>
    <hyperlink ref="H81" r:id="rId52" xr:uid="{BF582176-EBA9-4670-83CE-558FF0131650}"/>
    <hyperlink ref="H85" r:id="rId53" xr:uid="{A24F808B-C47D-4E69-848D-728A6FD98FFA}"/>
    <hyperlink ref="H86" r:id="rId54" xr:uid="{21748FEE-9723-4AFE-B97A-B67DA1611FA4}"/>
    <hyperlink ref="H87" r:id="rId55" xr:uid="{A32B0AF9-412D-4119-A1EE-79F5674D6A2E}"/>
    <hyperlink ref="H88" r:id="rId56" xr:uid="{5E0AA4BE-E8D9-46DE-8542-7725F3CEC58A}"/>
  </hyperlinks>
  <pageMargins left="0.7" right="0.7" top="0.75" bottom="0.75" header="0.3" footer="0.3"/>
  <pageSetup orientation="portrait" r:id="rId57"/>
  <legacyDrawing r:id="rId58"/>
  <tableParts count="1">
    <tablePart r:id="rId59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error="Select From Drop Down" xr:uid="{0DC1D14C-6A08-4DDF-8177-7F7A50CA2C62}">
          <x14:formula1>
            <xm:f>'Month Prod Names'!$B$4:$B$15</xm:f>
          </x14:formula1>
          <xm:sqref>U131:U396 O131:O396 P131:P397 O15:P19 U7:U19 U21:U66 O21:P66</xm:sqref>
        </x14:dataValidation>
        <x14:dataValidation type="list" allowBlank="1" showInputMessage="1" showErrorMessage="1" error="Select from drop down" xr:uid="{75BA1E8A-BDFF-40F5-BDC4-BA32BF1CEED0}">
          <x14:formula1>
            <xm:f>'Month Prod Names'!$J$4:$J$5</xm:f>
          </x14:formula1>
          <xm:sqref>K220:K397 K131:K218 K15:K19 K21:K30 K76 K32:K66 K80 K82 K87</xm:sqref>
        </x14:dataValidation>
        <x14:dataValidation type="list" allowBlank="1" showInputMessage="1" showErrorMessage="1" error="Select From Drop Down" xr:uid="{31A8F000-833E-4945-9E6E-50C044E8528B}">
          <x14:formula1>
            <xm:f>'Machine Serial Numbers'!$A$2:$A$1502</xm:f>
          </x14:formula1>
          <xm:sqref>I436:I1048576 I198:I213 I219:I422 I131:I149 I151:I161 I163:I196 I1:I6 I15:I19 I21:I30 I32:I46 I48:I55 I57:I63 I65:I66 I80 I82:I84 I87</xm:sqref>
        </x14:dataValidation>
        <x14:dataValidation type="list" allowBlank="1" showInputMessage="1" showErrorMessage="1" xr:uid="{A2C4C78A-470F-4D0B-9038-0EEE279E48CE}">
          <x14:formula1>
            <xm:f>'Month Prod Names'!$D$4:$D$313</xm:f>
          </x14:formula1>
          <xm:sqref>J1:J6 J436:J1048576</xm:sqref>
        </x14:dataValidation>
        <x14:dataValidation type="list" allowBlank="1" showInputMessage="1" showErrorMessage="1" error="Select From Drop Down" xr:uid="{F216CC7E-9F32-4D09-AB33-B1C44F6EE532}">
          <x14:formula1>
            <xm:f>Location!$B$2:$B$126</xm:f>
          </x14:formula1>
          <xm:sqref>D219:D396 D131:D149 D151:D175 D178:D213 D15:D19 D21:D55 D57:D66</xm:sqref>
        </x14:dataValidation>
        <x14:dataValidation type="list" allowBlank="1" showInputMessage="1" showErrorMessage="1" xr:uid="{A177CE7A-B9EA-4B04-9CB3-3173F42D1C38}">
          <x14:formula1>
            <xm:f>'Month Prod Names'!$B$4:$B$15</xm:f>
          </x14:formula1>
          <xm:sqref>O423:O435</xm:sqref>
        </x14:dataValidation>
        <x14:dataValidation type="list" allowBlank="1" showInputMessage="1" showErrorMessage="1" xr:uid="{57C70AC1-D594-40DF-B3A5-0027766ABA33}">
          <x14:formula1>
            <xm:f>'Month Prod Names'!$D$4:$D$46</xm:f>
          </x14:formula1>
          <xm:sqref>J131:J422 J15:J19 J21:J30 J32:J37 J76 J39:J66 J80 J82 J87</xm:sqref>
        </x14:dataValidation>
        <x14:dataValidation type="list" allowBlank="1" showInputMessage="1" showErrorMessage="1" xr:uid="{DB5A4C8A-226F-45BE-8D0E-A3336F868F5A}">
          <x14:formula1>
            <xm:f>'Month Prod Names'!$K$4:$K$19</xm:f>
          </x14:formula1>
          <xm:sqref>Q15:Q19 Q21:Q422</xm:sqref>
        </x14:dataValidation>
        <x14:dataValidation type="list" allowBlank="1" showInputMessage="1" showErrorMessage="1" error="Do not enter any oteh products" xr:uid="{B101C514-980D-4D89-8C1F-07DD8F4B96CD}">
          <x14:formula1>
            <xm:f>'Month Prod Names'!$D$4:$D$141</xm:f>
          </x14:formula1>
          <xm:sqref>J423:J435</xm:sqref>
        </x14:dataValidation>
        <x14:dataValidation type="list" allowBlank="1" showInputMessage="1" showErrorMessage="1" xr:uid="{5FFD2950-0209-4B17-805C-D792FF57FA80}">
          <x14:formula1>
            <xm:f>'Machine Serial Numbers'!$A$2:$A$1502</xm:f>
          </x14:formula1>
          <xm:sqref>I423:I435</xm:sqref>
        </x14:dataValidation>
        <x14:dataValidation type="list" allowBlank="1" showInputMessage="1" showErrorMessage="1" error="Do not Enter any other text except Month" xr:uid="{D5D6A156-BB67-45F6-AAA9-465040EB7B2C}">
          <x14:formula1>
            <xm:f>'Month Prod Names'!$K$4:$K$13</xm:f>
          </x14:formula1>
          <xm:sqref>Q423:Q435</xm:sqref>
        </x14:dataValidation>
        <x14:dataValidation type="list" allowBlank="1" showInputMessage="1" showErrorMessage="1" error="Do not Enter any other text except Month" xr:uid="{9D851793-7894-42DD-AE9F-21D82143069D}">
          <x14:formula1>
            <xm:f>'Month Prod Names'!$B$4:$B$15</xm:f>
          </x14:formula1>
          <xm:sqref>P423:P435</xm:sqref>
        </x14:dataValidation>
        <x14:dataValidation type="list" allowBlank="1" showInputMessage="1" showErrorMessage="1" error="Do not enter any oteh products" xr:uid="{DADDB61A-66C9-4B6B-A337-3DC94B6E12BD}">
          <x14:formula1>
            <xm:f>'Month Prod Names'!$J$4:$J$5</xm:f>
          </x14:formula1>
          <xm:sqref>K423:K435</xm:sqref>
        </x14:dataValidation>
        <x14:dataValidation type="list" allowBlank="1" showInputMessage="1" showErrorMessage="1" xr:uid="{3F9A1A80-DAB0-49A4-B4D5-937B59A6CAD3}">
          <x14:formula1>
            <xm:f>Location!$B$2:$B$126</xm:f>
          </x14:formula1>
          <xm:sqref>D423:D435</xm:sqref>
        </x14:dataValidation>
        <x14:dataValidation type="list" allowBlank="1" showInputMessage="1" showErrorMessage="1" error="Select From Drop Down" xr:uid="{571AA1A6-A170-49A5-B47D-0675E832D552}">
          <x14:formula1>
            <xm:f>Customer!$B$2:$B$240</xm:f>
          </x14:formula1>
          <xm:sqref>C219:C396 C131:C213 C15:C19 C21:C55 C57:C63 C65:C66</xm:sqref>
        </x14:dataValidation>
        <x14:dataValidation type="list" allowBlank="1" showInputMessage="1" showErrorMessage="1" xr:uid="{DE8A7D29-4C6C-459E-9871-F2D97E522DFA}">
          <x14:formula1>
            <xm:f>Customer!$B$2:$B$240</xm:f>
          </x14:formula1>
          <xm:sqref>C423:C435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37E0-DC6F-4AE1-BAFA-F20BFF7EFB85}">
  <dimension ref="A1:AG411"/>
  <sheetViews>
    <sheetView zoomScale="80" zoomScaleNormal="80" workbookViewId="0">
      <pane ySplit="7" topLeftCell="A84" activePane="bottomLeft" state="frozen"/>
      <selection pane="bottomLeft" activeCell="B217" sqref="B217"/>
    </sheetView>
  </sheetViews>
  <sheetFormatPr defaultColWidth="9.44140625" defaultRowHeight="15" customHeight="1"/>
  <cols>
    <col min="1" max="1" width="6.5546875" customWidth="1"/>
    <col min="2" max="2" width="16.6640625" style="25" customWidth="1"/>
    <col min="3" max="3" width="24" style="2" customWidth="1"/>
    <col min="4" max="4" width="12.33203125" style="2" customWidth="1"/>
    <col min="5" max="5" width="14.6640625" style="2" customWidth="1"/>
    <col min="6" max="6" width="14.33203125" style="2" customWidth="1"/>
    <col min="7" max="7" width="16" style="2" customWidth="1"/>
    <col min="8" max="8" width="22.109375" style="2" customWidth="1"/>
    <col min="9" max="9" width="13.5546875" style="2" customWidth="1"/>
    <col min="10" max="10" width="10.109375" style="2" customWidth="1"/>
    <col min="11" max="11" width="6" style="2" customWidth="1"/>
    <col min="12" max="12" width="25.44140625" style="2" customWidth="1"/>
    <col min="13" max="13" width="17.5546875" style="953" customWidth="1"/>
    <col min="14" max="14" width="11.88671875" style="286" customWidth="1"/>
    <col min="15" max="15" width="8.5546875" style="5" customWidth="1"/>
    <col min="16" max="16" width="12.109375" customWidth="1"/>
    <col min="17" max="17" width="7.6640625" style="221" customWidth="1"/>
    <col min="18" max="18" width="25.5546875" style="2" customWidth="1"/>
    <col min="19" max="19" width="16.5546875" style="267" customWidth="1"/>
    <col min="20" max="20" width="11.5546875" style="345" customWidth="1"/>
    <col min="21" max="21" width="28.44140625" customWidth="1"/>
    <col min="22" max="22" width="23.44140625" style="18" customWidth="1"/>
    <col min="23" max="23" width="36.5546875" style="1" customWidth="1"/>
    <col min="24" max="24" width="23.5546875" style="1" customWidth="1"/>
    <col min="25" max="25" width="18" style="2" customWidth="1"/>
    <col min="26" max="26" width="11.44140625" customWidth="1"/>
    <col min="27" max="27" width="14.44140625" bestFit="1" customWidth="1"/>
    <col min="28" max="28" width="14.44140625" customWidth="1"/>
    <col min="29" max="29" width="22.44140625" bestFit="1" customWidth="1"/>
    <col min="30" max="30" width="17" bestFit="1" customWidth="1"/>
    <col min="31" max="31" width="19.5546875" bestFit="1" customWidth="1"/>
    <col min="32" max="32" width="27.5546875" bestFit="1" customWidth="1"/>
    <col min="33" max="33" width="30.5546875" bestFit="1" customWidth="1"/>
  </cols>
  <sheetData>
    <row r="1" spans="1:33" thickBot="1">
      <c r="B1"/>
      <c r="Q1" s="218"/>
      <c r="U1" s="18"/>
      <c r="V1" s="85"/>
      <c r="W1"/>
      <c r="X1"/>
      <c r="AC1" s="876"/>
      <c r="AD1" s="876"/>
      <c r="AE1" s="876"/>
    </row>
    <row r="2" spans="1:33" ht="31.8" thickBot="1">
      <c r="A2" s="82" t="s">
        <v>4166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954"/>
      <c r="N2" s="357"/>
      <c r="O2" s="83"/>
      <c r="P2" s="83"/>
      <c r="Q2" s="172"/>
      <c r="R2" s="263"/>
      <c r="S2" s="263"/>
      <c r="T2" s="358"/>
      <c r="U2" s="83"/>
      <c r="V2" s="83"/>
      <c r="W2" s="83"/>
      <c r="X2" s="83"/>
      <c r="Y2" s="328"/>
      <c r="Z2" s="86"/>
      <c r="AC2" s="3496" t="s">
        <v>99</v>
      </c>
      <c r="AD2" s="3496"/>
      <c r="AE2" s="3496"/>
      <c r="AF2" s="3496"/>
    </row>
    <row r="3" spans="1:33" ht="17.399999999999999" thickBot="1">
      <c r="J3" s="87"/>
      <c r="K3" s="87"/>
      <c r="L3" s="87"/>
      <c r="M3" s="955"/>
      <c r="P3" s="5"/>
      <c r="Q3" s="219"/>
      <c r="R3" s="87"/>
      <c r="S3" s="101"/>
      <c r="T3" s="359"/>
      <c r="U3" s="80" t="s">
        <v>104</v>
      </c>
      <c r="V3" s="81">
        <f>SUM(N7:N784)</f>
        <v>90614952</v>
      </c>
      <c r="W3" s="4"/>
      <c r="X3" s="4"/>
      <c r="Y3" s="271"/>
      <c r="Z3" s="4"/>
      <c r="AC3" s="6" t="s">
        <v>22</v>
      </c>
      <c r="AD3" s="6" t="s">
        <v>101</v>
      </c>
      <c r="AE3" s="6" t="s">
        <v>102</v>
      </c>
      <c r="AF3" s="863" t="s">
        <v>2</v>
      </c>
      <c r="AG3" s="994" t="s">
        <v>103</v>
      </c>
    </row>
    <row r="4" spans="1:33" s="246" customFormat="1" ht="18.600000000000001" thickBot="1">
      <c r="A4" s="626" t="s">
        <v>105</v>
      </c>
      <c r="B4" s="627">
        <f>COUNTA(B7:B454)</f>
        <v>105</v>
      </c>
      <c r="C4" s="628"/>
      <c r="D4" s="628"/>
      <c r="E4" s="628"/>
      <c r="F4" s="628"/>
      <c r="G4" s="628"/>
      <c r="H4" s="628"/>
      <c r="I4" s="628"/>
      <c r="J4" s="629"/>
      <c r="K4" s="629"/>
      <c r="L4" s="629"/>
      <c r="M4" s="1334"/>
      <c r="N4" s="630"/>
      <c r="O4" s="629"/>
      <c r="P4" s="629"/>
      <c r="Q4" s="631"/>
      <c r="R4" s="629"/>
      <c r="S4" s="632"/>
      <c r="T4" s="633"/>
      <c r="U4" s="12" t="s">
        <v>54</v>
      </c>
      <c r="V4" s="11">
        <f>SUM(T7:T784)</f>
        <v>20480176</v>
      </c>
      <c r="W4" s="21"/>
      <c r="X4" s="21"/>
      <c r="Y4" s="634"/>
      <c r="Z4" s="21"/>
      <c r="AC4" s="366" t="s">
        <v>7</v>
      </c>
      <c r="AD4" s="456">
        <f>SUMIF($O$7:$O$455,"January",$N$7:$N$455)</f>
        <v>13078516</v>
      </c>
      <c r="AE4" s="456">
        <f>SUMIF($U$7:$U$455,"January",$T$7:$T$455)</f>
        <v>2546919</v>
      </c>
      <c r="AF4" s="863">
        <f>SUMIF($P$7:$P$398,"January",$N$7:$N$398)</f>
        <v>3011682</v>
      </c>
      <c r="AG4" s="995">
        <f>AF4-AE4</f>
        <v>464763</v>
      </c>
    </row>
    <row r="5" spans="1:33" s="246" customFormat="1" ht="18.600000000000001" thickBot="1">
      <c r="A5" s="635"/>
      <c r="B5" s="636"/>
      <c r="C5" s="628"/>
      <c r="D5" s="628"/>
      <c r="E5" s="628"/>
      <c r="F5" s="628"/>
      <c r="G5" s="628"/>
      <c r="H5" s="628"/>
      <c r="I5" s="628"/>
      <c r="J5" s="629"/>
      <c r="K5" s="629"/>
      <c r="L5" s="629"/>
      <c r="M5" s="1334"/>
      <c r="N5" s="630"/>
      <c r="O5" s="629"/>
      <c r="P5" s="629"/>
      <c r="Q5" s="631"/>
      <c r="R5" s="629"/>
      <c r="S5" s="632"/>
      <c r="T5" s="633"/>
      <c r="U5" s="12" t="s">
        <v>13</v>
      </c>
      <c r="V5" s="11">
        <f>SUM(V7:V784)</f>
        <v>34526180</v>
      </c>
      <c r="W5" s="22"/>
      <c r="X5" s="22"/>
      <c r="Y5" s="637" t="s">
        <v>106</v>
      </c>
      <c r="Z5" s="3500" t="s">
        <v>3897</v>
      </c>
      <c r="AA5" s="3500"/>
      <c r="AB5" s="638"/>
      <c r="AC5" s="366" t="s">
        <v>18</v>
      </c>
      <c r="AD5" s="456">
        <f>SUMIF($O$7:$O$455,"February",$N$7:$N$455)</f>
        <v>6400898</v>
      </c>
      <c r="AE5" s="456">
        <f>SUMIF($U$7:$U$455,"February",$T$7:$T$455)</f>
        <v>1769120</v>
      </c>
      <c r="AF5" s="863">
        <f>SUMIF($P$7:$P$398,"February",$N$7:$N$398)</f>
        <v>200000</v>
      </c>
      <c r="AG5" s="995">
        <f t="shared" ref="AG5:AG15" si="0">AF5-AE5</f>
        <v>-1569120</v>
      </c>
    </row>
    <row r="6" spans="1:33" s="246" customFormat="1" ht="78">
      <c r="A6" s="260" t="s">
        <v>107</v>
      </c>
      <c r="B6" s="260" t="s">
        <v>108</v>
      </c>
      <c r="C6" s="260" t="s">
        <v>109</v>
      </c>
      <c r="D6" s="260" t="s">
        <v>110</v>
      </c>
      <c r="E6" s="260" t="s">
        <v>111</v>
      </c>
      <c r="F6" s="260" t="s">
        <v>112</v>
      </c>
      <c r="G6" s="260" t="s">
        <v>113</v>
      </c>
      <c r="H6" s="260" t="s">
        <v>114</v>
      </c>
      <c r="I6" s="258" t="s">
        <v>115</v>
      </c>
      <c r="J6" s="260" t="s">
        <v>116</v>
      </c>
      <c r="K6" s="260" t="s">
        <v>117</v>
      </c>
      <c r="L6" s="260" t="s">
        <v>118</v>
      </c>
      <c r="M6" s="956" t="s">
        <v>119</v>
      </c>
      <c r="N6" s="639" t="s">
        <v>120</v>
      </c>
      <c r="O6" s="260" t="s">
        <v>121</v>
      </c>
      <c r="P6" s="260" t="s">
        <v>93</v>
      </c>
      <c r="Q6" s="260" t="s">
        <v>122</v>
      </c>
      <c r="R6" s="324" t="s">
        <v>123</v>
      </c>
      <c r="S6" s="324" t="s">
        <v>124</v>
      </c>
      <c r="T6" s="640" t="s">
        <v>125</v>
      </c>
      <c r="U6" s="260" t="s">
        <v>126</v>
      </c>
      <c r="V6" s="260" t="s">
        <v>13</v>
      </c>
      <c r="W6" s="260" t="s">
        <v>4167</v>
      </c>
      <c r="X6" s="261" t="s">
        <v>128</v>
      </c>
      <c r="Y6" s="329" t="s">
        <v>129</v>
      </c>
      <c r="Z6" s="642" t="s">
        <v>130</v>
      </c>
      <c r="AA6" s="643" t="s">
        <v>131</v>
      </c>
      <c r="AB6" s="338"/>
      <c r="AC6" s="366" t="s">
        <v>25</v>
      </c>
      <c r="AD6" s="456">
        <f>SUMIF($O$7:$O$455,"March",$N$7:$N$455)</f>
        <v>1506000</v>
      </c>
      <c r="AE6" s="456">
        <f>SUMIF($U$7:$U$455,"March",$T$7:$T$455)</f>
        <v>2149846</v>
      </c>
      <c r="AF6" s="864">
        <f>SUMIF($P$7:$P$398,"March",$N$7:$N$398)</f>
        <v>145000</v>
      </c>
      <c r="AG6" s="995">
        <f t="shared" si="0"/>
        <v>-2004846</v>
      </c>
    </row>
    <row r="7" spans="1:33" s="246" customFormat="1" ht="31.2">
      <c r="A7" s="480">
        <v>1</v>
      </c>
      <c r="B7" s="1567">
        <v>45307</v>
      </c>
      <c r="C7" s="1776" t="s">
        <v>4000</v>
      </c>
      <c r="D7" s="1602" t="s">
        <v>4001</v>
      </c>
      <c r="E7" s="1602" t="s">
        <v>4168</v>
      </c>
      <c r="F7" s="1573" t="s">
        <v>4169</v>
      </c>
      <c r="G7" s="1568">
        <v>9115527822</v>
      </c>
      <c r="H7" s="1777" t="s">
        <v>4170</v>
      </c>
      <c r="I7" s="978" t="s">
        <v>4171</v>
      </c>
      <c r="J7" s="1602" t="s">
        <v>73</v>
      </c>
      <c r="K7" s="1602" t="s">
        <v>138</v>
      </c>
      <c r="L7" s="978" t="s">
        <v>4172</v>
      </c>
      <c r="M7" s="1778">
        <v>45660</v>
      </c>
      <c r="N7" s="1603">
        <v>160000</v>
      </c>
      <c r="O7" s="1603" t="s">
        <v>7</v>
      </c>
      <c r="P7" s="1603" t="s">
        <v>34</v>
      </c>
      <c r="Q7" s="1604">
        <v>1</v>
      </c>
      <c r="R7" s="1573">
        <v>6100008808</v>
      </c>
      <c r="S7" s="1779">
        <v>45799</v>
      </c>
      <c r="T7" s="1603">
        <v>120000</v>
      </c>
      <c r="U7" s="1603" t="s">
        <v>30</v>
      </c>
      <c r="V7" s="976">
        <v>0</v>
      </c>
      <c r="W7" s="1603" t="s">
        <v>4173</v>
      </c>
      <c r="X7" s="1605"/>
      <c r="Y7" s="1606"/>
      <c r="Z7" s="1571"/>
      <c r="AA7" s="1572"/>
      <c r="AC7" s="366" t="s">
        <v>28</v>
      </c>
      <c r="AD7" s="456">
        <f>SUMIF($O$7:$O$455,"April",$N$7:$N$455)</f>
        <v>7703195</v>
      </c>
      <c r="AE7" s="456">
        <f>SUMIF($U$7:$U$455,"April",$T$7:$T$455)</f>
        <v>620086</v>
      </c>
      <c r="AF7" s="864">
        <f>SUMIF($P$7:$P$398,"April",$N$7:$N$398)</f>
        <v>1148000</v>
      </c>
      <c r="AG7" s="995">
        <f t="shared" si="0"/>
        <v>527914</v>
      </c>
    </row>
    <row r="8" spans="1:33" s="246" customFormat="1" ht="31.2">
      <c r="A8" s="106"/>
      <c r="B8" s="1567"/>
      <c r="C8" s="1776" t="s">
        <v>4000</v>
      </c>
      <c r="D8" s="1602" t="s">
        <v>4001</v>
      </c>
      <c r="E8" s="1602" t="s">
        <v>4168</v>
      </c>
      <c r="F8" s="1573" t="s">
        <v>4169</v>
      </c>
      <c r="G8" s="1568">
        <v>9115527822</v>
      </c>
      <c r="H8" s="1777" t="s">
        <v>4170</v>
      </c>
      <c r="I8" s="978" t="s">
        <v>4174</v>
      </c>
      <c r="J8" s="1602" t="s">
        <v>73</v>
      </c>
      <c r="K8" s="1602" t="s">
        <v>138</v>
      </c>
      <c r="L8" s="978" t="s">
        <v>4172</v>
      </c>
      <c r="M8" s="1778">
        <v>45660</v>
      </c>
      <c r="N8" s="1603">
        <v>160000</v>
      </c>
      <c r="O8" s="1603" t="s">
        <v>7</v>
      </c>
      <c r="P8" s="1603" t="s">
        <v>34</v>
      </c>
      <c r="Q8" s="1604">
        <v>1</v>
      </c>
      <c r="R8" s="1573">
        <v>6100008808</v>
      </c>
      <c r="S8" s="1779">
        <v>45799</v>
      </c>
      <c r="T8" s="1603">
        <v>120000</v>
      </c>
      <c r="U8" s="1603" t="s">
        <v>30</v>
      </c>
      <c r="V8" s="976">
        <v>0</v>
      </c>
      <c r="W8" s="1603" t="s">
        <v>4173</v>
      </c>
      <c r="X8" s="937"/>
      <c r="Y8" s="1505"/>
      <c r="Z8" s="1571"/>
      <c r="AA8" s="1572"/>
      <c r="AC8" s="366" t="s">
        <v>30</v>
      </c>
      <c r="AD8" s="456">
        <f>SUMIF($O$7:$O$455,"May",$N$7:$N$455)</f>
        <v>27798763</v>
      </c>
      <c r="AE8" s="456">
        <f>SUMIF($U$7:$U$455,"May",$T$7:$T$455)</f>
        <v>1755480</v>
      </c>
      <c r="AF8" s="864">
        <f>SUMIF($P$7:$P$398,"May",$N$7:$N$398)</f>
        <v>3897293</v>
      </c>
      <c r="AG8" s="995">
        <f t="shared" si="0"/>
        <v>2141813</v>
      </c>
    </row>
    <row r="9" spans="1:33" s="246" customFormat="1" ht="31.2">
      <c r="A9" s="106"/>
      <c r="B9" s="1567"/>
      <c r="C9" s="1776" t="s">
        <v>4000</v>
      </c>
      <c r="D9" s="1602" t="s">
        <v>4001</v>
      </c>
      <c r="E9" s="1602" t="s">
        <v>4168</v>
      </c>
      <c r="F9" s="1573" t="s">
        <v>4169</v>
      </c>
      <c r="G9" s="1568">
        <v>9115527822</v>
      </c>
      <c r="H9" s="1777" t="s">
        <v>4170</v>
      </c>
      <c r="I9" s="945" t="s">
        <v>4175</v>
      </c>
      <c r="J9" s="1602" t="s">
        <v>73</v>
      </c>
      <c r="K9" s="1602" t="s">
        <v>138</v>
      </c>
      <c r="L9" s="978" t="s">
        <v>4172</v>
      </c>
      <c r="M9" s="1778">
        <v>45660</v>
      </c>
      <c r="N9" s="1603">
        <v>160000</v>
      </c>
      <c r="O9" s="1603" t="s">
        <v>7</v>
      </c>
      <c r="P9" s="1603" t="s">
        <v>34</v>
      </c>
      <c r="Q9" s="1604">
        <v>1</v>
      </c>
      <c r="R9" s="1573">
        <v>6100008808</v>
      </c>
      <c r="S9" s="1779">
        <v>45799</v>
      </c>
      <c r="T9" s="1603">
        <v>120000</v>
      </c>
      <c r="U9" s="1603" t="s">
        <v>30</v>
      </c>
      <c r="V9" s="976">
        <v>0</v>
      </c>
      <c r="W9" s="1603" t="s">
        <v>4173</v>
      </c>
      <c r="X9" s="937"/>
      <c r="Y9" s="1505"/>
      <c r="Z9" s="1571"/>
      <c r="AA9" s="1572"/>
      <c r="AC9" s="366" t="s">
        <v>34</v>
      </c>
      <c r="AD9" s="456">
        <f>SUMIF($O$7:$O$455,"June",$N$7:$N$455)</f>
        <v>11175096</v>
      </c>
      <c r="AE9" s="456">
        <f>SUMIF($U$7:$U$455,"June",$T$7:$T$455)</f>
        <v>2001518</v>
      </c>
      <c r="AF9" s="864">
        <f>SUMIF($P$7:$P$398,"June",$N$7:$N$398)</f>
        <v>3898977</v>
      </c>
      <c r="AG9" s="995">
        <f t="shared" si="0"/>
        <v>1897459</v>
      </c>
    </row>
    <row r="10" spans="1:33" s="246" customFormat="1" ht="31.2">
      <c r="A10" s="106">
        <v>2</v>
      </c>
      <c r="B10" s="1567">
        <v>45307</v>
      </c>
      <c r="C10" s="944" t="s">
        <v>4176</v>
      </c>
      <c r="D10" s="944" t="s">
        <v>3949</v>
      </c>
      <c r="E10" s="944" t="s">
        <v>4177</v>
      </c>
      <c r="F10" s="944" t="s">
        <v>4178</v>
      </c>
      <c r="G10" s="978">
        <v>9873069544</v>
      </c>
      <c r="H10" s="1568" t="s">
        <v>4179</v>
      </c>
      <c r="I10" s="1568" t="s">
        <v>4180</v>
      </c>
      <c r="J10" s="944" t="s">
        <v>73</v>
      </c>
      <c r="K10" s="944" t="s">
        <v>138</v>
      </c>
      <c r="L10" s="978" t="s">
        <v>4181</v>
      </c>
      <c r="M10" s="1569">
        <v>45672</v>
      </c>
      <c r="N10" s="937">
        <v>88000</v>
      </c>
      <c r="O10" s="937" t="s">
        <v>7</v>
      </c>
      <c r="P10" s="937" t="s">
        <v>30</v>
      </c>
      <c r="Q10" s="1321">
        <v>1</v>
      </c>
      <c r="R10" s="1573">
        <v>916184</v>
      </c>
      <c r="S10" s="2211">
        <v>45811</v>
      </c>
      <c r="T10" s="937">
        <v>74480</v>
      </c>
      <c r="U10" s="937" t="s">
        <v>30</v>
      </c>
      <c r="V10" s="976">
        <v>0</v>
      </c>
      <c r="W10" s="948"/>
      <c r="X10" s="937"/>
      <c r="Y10" s="1505"/>
      <c r="Z10" s="1571"/>
      <c r="AA10" s="1571"/>
      <c r="AB10" s="339"/>
      <c r="AC10" s="366" t="s">
        <v>37</v>
      </c>
      <c r="AD10" s="456">
        <f>SUMIF($O$7:$O$455,"July",$N$7:$N$455)</f>
        <v>1210522</v>
      </c>
      <c r="AE10" s="456">
        <f>SUMIF($U$7:$U$455,"July",$T$7:$T$455)</f>
        <v>684097</v>
      </c>
      <c r="AF10" s="864">
        <f>SUMIF($P$7:$P$398,"July",$N$7:$N$398)</f>
        <v>1728929</v>
      </c>
      <c r="AG10" s="995">
        <f t="shared" si="0"/>
        <v>1044832</v>
      </c>
    </row>
    <row r="11" spans="1:33" s="246" customFormat="1" ht="18">
      <c r="A11" s="106"/>
      <c r="B11" s="1567"/>
      <c r="C11" s="944"/>
      <c r="D11" s="944"/>
      <c r="E11" s="944"/>
      <c r="F11" s="944"/>
      <c r="G11" s="978"/>
      <c r="H11" s="1568"/>
      <c r="I11" s="1568"/>
      <c r="J11" s="944"/>
      <c r="K11" s="944"/>
      <c r="L11" s="978"/>
      <c r="M11" s="1569"/>
      <c r="N11" s="937"/>
      <c r="O11" s="937"/>
      <c r="P11" s="937"/>
      <c r="Q11" s="1321"/>
      <c r="R11" s="1573"/>
      <c r="S11" s="2211"/>
      <c r="T11" s="937"/>
      <c r="U11" s="937"/>
      <c r="V11" s="976"/>
      <c r="W11" s="948"/>
      <c r="X11" s="937"/>
      <c r="Y11" s="1505"/>
      <c r="Z11" s="1571"/>
      <c r="AA11" s="1572"/>
      <c r="AC11" s="366" t="s">
        <v>39</v>
      </c>
      <c r="AD11" s="456">
        <f>SUMIF($O$7:$O$455,"August",$N$7:$N$455)</f>
        <v>3569315</v>
      </c>
      <c r="AE11" s="456">
        <f>SUMIF($U$7:$U$455,"August",$T$7:$T$455)</f>
        <v>913194</v>
      </c>
      <c r="AF11" s="864">
        <f>SUMIF($P$7:$P$398,"August",$N$7:$N$398)</f>
        <v>6445932</v>
      </c>
      <c r="AG11" s="995">
        <f t="shared" si="0"/>
        <v>5532738</v>
      </c>
    </row>
    <row r="12" spans="1:33" s="246" customFormat="1" ht="18">
      <c r="A12" s="106"/>
      <c r="B12" s="1567"/>
      <c r="C12" s="944"/>
      <c r="D12" s="944"/>
      <c r="E12" s="944"/>
      <c r="F12" s="944"/>
      <c r="G12" s="978"/>
      <c r="H12" s="1568"/>
      <c r="I12" s="1568"/>
      <c r="J12" s="944"/>
      <c r="K12" s="944"/>
      <c r="L12" s="978"/>
      <c r="M12" s="1569"/>
      <c r="N12" s="937"/>
      <c r="O12" s="937"/>
      <c r="P12" s="937"/>
      <c r="Q12" s="1321"/>
      <c r="R12" s="1573"/>
      <c r="S12" s="2211"/>
      <c r="T12" s="937"/>
      <c r="U12" s="937"/>
      <c r="V12" s="976"/>
      <c r="W12" s="948"/>
      <c r="X12" s="937"/>
      <c r="Y12" s="1505"/>
      <c r="Z12" s="1571"/>
      <c r="AA12" s="1571"/>
      <c r="AB12" s="339"/>
      <c r="AC12" s="366" t="s">
        <v>44</v>
      </c>
      <c r="AD12" s="456">
        <f>SUMIF($O$7:$O$455,"September",$N$7:$N$455)</f>
        <v>6901403</v>
      </c>
      <c r="AE12" s="456">
        <f>SUMIF($U$7:$U$455,"September",$T$7:$T$455)</f>
        <v>1594545</v>
      </c>
      <c r="AF12" s="864">
        <f>SUMIF($P$7:$P$398,"September",$N$7:$N$398)</f>
        <v>33904128</v>
      </c>
      <c r="AG12" s="995">
        <f t="shared" si="0"/>
        <v>32309583</v>
      </c>
    </row>
    <row r="13" spans="1:33" s="246" customFormat="1" ht="18">
      <c r="A13" s="106"/>
      <c r="B13" s="1567"/>
      <c r="C13" s="944"/>
      <c r="D13" s="944"/>
      <c r="E13" s="944"/>
      <c r="F13" s="944"/>
      <c r="G13" s="978"/>
      <c r="H13" s="1568"/>
      <c r="I13" s="1568"/>
      <c r="J13" s="944"/>
      <c r="K13" s="944"/>
      <c r="L13" s="978"/>
      <c r="M13" s="1569"/>
      <c r="N13" s="937"/>
      <c r="O13" s="937"/>
      <c r="P13" s="937"/>
      <c r="Q13" s="1321"/>
      <c r="R13" s="1573"/>
      <c r="S13" s="2211"/>
      <c r="T13" s="937"/>
      <c r="U13" s="937"/>
      <c r="V13" s="976"/>
      <c r="W13" s="948"/>
      <c r="X13" s="937"/>
      <c r="Y13" s="1505"/>
      <c r="Z13" s="1571"/>
      <c r="AA13" s="1571"/>
      <c r="AB13" s="339"/>
      <c r="AC13" s="366" t="s">
        <v>47</v>
      </c>
      <c r="AD13" s="456">
        <f>SUMIF($O$7:$O$455,"October",$N$7:$N$455)</f>
        <v>7620284</v>
      </c>
      <c r="AE13" s="456">
        <f>SUMIF($U$7:$U$455,"October",$T$7:$T$455)</f>
        <v>2591632</v>
      </c>
      <c r="AF13" s="864">
        <f>SUMIF($P$7:$P$398,"October",$N$7:$N$398)</f>
        <v>4224061</v>
      </c>
      <c r="AG13" s="995">
        <f t="shared" si="0"/>
        <v>1632429</v>
      </c>
    </row>
    <row r="14" spans="1:33" s="246" customFormat="1" ht="34.5" customHeight="1">
      <c r="A14" s="106">
        <v>3</v>
      </c>
      <c r="B14" s="1567">
        <v>45307</v>
      </c>
      <c r="C14" s="1007" t="s">
        <v>1064</v>
      </c>
      <c r="D14" s="1010" t="s">
        <v>4053</v>
      </c>
      <c r="E14" s="978" t="s">
        <v>4177</v>
      </c>
      <c r="F14" s="1568" t="s">
        <v>4182</v>
      </c>
      <c r="G14" s="1568">
        <v>9997534222</v>
      </c>
      <c r="H14" s="1568" t="s">
        <v>4055</v>
      </c>
      <c r="I14" s="1568" t="s">
        <v>4056</v>
      </c>
      <c r="J14" s="944" t="s">
        <v>73</v>
      </c>
      <c r="K14" s="944" t="s">
        <v>138</v>
      </c>
      <c r="L14" s="978" t="s">
        <v>4183</v>
      </c>
      <c r="M14" s="1569">
        <v>45672</v>
      </c>
      <c r="N14" s="937">
        <v>145000</v>
      </c>
      <c r="O14" s="937" t="s">
        <v>7</v>
      </c>
      <c r="P14" s="937" t="s">
        <v>34</v>
      </c>
      <c r="Q14" s="1321">
        <v>1</v>
      </c>
      <c r="R14" s="1573">
        <v>1250008989</v>
      </c>
      <c r="S14" s="949">
        <v>45798</v>
      </c>
      <c r="T14" s="937">
        <v>130000</v>
      </c>
      <c r="U14" s="937" t="s">
        <v>35</v>
      </c>
      <c r="V14" s="976">
        <v>0</v>
      </c>
      <c r="W14" s="937"/>
      <c r="X14" s="937"/>
      <c r="Y14" s="1505"/>
      <c r="Z14" s="1571"/>
      <c r="AA14" s="1571"/>
      <c r="AB14" s="339"/>
      <c r="AC14" s="366" t="s">
        <v>49</v>
      </c>
      <c r="AD14" s="456">
        <f>SUMIF($O$7:$O$455,"November",$N$7:$N$455)</f>
        <v>1644961</v>
      </c>
      <c r="AE14" s="456">
        <f>SUMIF($U$7:$U$455,"November",$T$7:$T$455)</f>
        <v>3853739</v>
      </c>
      <c r="AF14" s="864">
        <f>SUMIF($P$7:$P$398,"November",$N$7:$N$398)</f>
        <v>23545744</v>
      </c>
      <c r="AG14" s="995">
        <f t="shared" si="0"/>
        <v>19692005</v>
      </c>
    </row>
    <row r="15" spans="1:33" s="246" customFormat="1" ht="18">
      <c r="A15" s="1042">
        <v>4</v>
      </c>
      <c r="B15" s="1567"/>
      <c r="C15" s="1007" t="s">
        <v>1743</v>
      </c>
      <c r="D15" s="1010" t="s">
        <v>4161</v>
      </c>
      <c r="E15" s="978" t="s">
        <v>4177</v>
      </c>
      <c r="F15" s="1568" t="s">
        <v>4184</v>
      </c>
      <c r="G15" s="1568">
        <v>8003992912</v>
      </c>
      <c r="H15" s="1568" t="s">
        <v>4163</v>
      </c>
      <c r="I15" s="1568" t="s">
        <v>4164</v>
      </c>
      <c r="J15" s="1568" t="s">
        <v>4185</v>
      </c>
      <c r="K15" s="944" t="s">
        <v>138</v>
      </c>
      <c r="L15" s="978" t="s">
        <v>4186</v>
      </c>
      <c r="M15" s="1569">
        <v>45672</v>
      </c>
      <c r="N15" s="937">
        <v>80000</v>
      </c>
      <c r="O15" s="937" t="s">
        <v>7</v>
      </c>
      <c r="P15" s="937" t="s">
        <v>28</v>
      </c>
      <c r="Q15" s="1321">
        <v>1</v>
      </c>
      <c r="R15" s="1570">
        <v>2710000560</v>
      </c>
      <c r="S15" s="949">
        <v>45713</v>
      </c>
      <c r="T15" s="937">
        <v>61000</v>
      </c>
      <c r="U15" s="937" t="s">
        <v>18</v>
      </c>
      <c r="V15" s="976">
        <v>0</v>
      </c>
      <c r="W15" s="937" t="s">
        <v>4187</v>
      </c>
      <c r="X15" s="937"/>
      <c r="Y15" s="1505"/>
      <c r="Z15" s="1571"/>
      <c r="AA15" s="1572"/>
      <c r="AC15" s="366" t="s">
        <v>62</v>
      </c>
      <c r="AD15" s="456">
        <f>SUMIF($O$7:$O$455,"December",$N$7:$N$455)</f>
        <v>0</v>
      </c>
      <c r="AE15" s="456">
        <f>SUMIF($U$7:$U$455,"December",$T$7:$T$455)</f>
        <v>0</v>
      </c>
      <c r="AF15" s="864">
        <f>SUMIF($P$7:$P$398,"December",$N$7:$N$398)</f>
        <v>6355659</v>
      </c>
      <c r="AG15" s="995">
        <f t="shared" si="0"/>
        <v>6355659</v>
      </c>
    </row>
    <row r="16" spans="1:33" s="246" customFormat="1" ht="15.6">
      <c r="A16" s="1042">
        <v>5</v>
      </c>
      <c r="B16" s="1567"/>
      <c r="C16" s="1007"/>
      <c r="D16" s="1010"/>
      <c r="E16" s="945"/>
      <c r="F16" s="1442"/>
      <c r="G16" s="1442"/>
      <c r="H16" s="1442"/>
      <c r="I16" s="1442"/>
      <c r="J16" s="1442"/>
      <c r="K16" s="944"/>
      <c r="L16" s="978"/>
      <c r="M16" s="1569"/>
      <c r="N16" s="937"/>
      <c r="O16" s="937"/>
      <c r="P16" s="937"/>
      <c r="Q16" s="1321"/>
      <c r="R16" s="1573"/>
      <c r="S16" s="949"/>
      <c r="T16" s="937"/>
      <c r="U16" s="937"/>
      <c r="V16" s="976"/>
      <c r="W16" s="937"/>
      <c r="X16" s="937"/>
      <c r="Y16" s="1447"/>
      <c r="Z16" s="1571"/>
      <c r="AA16" s="1572"/>
    </row>
    <row r="17" spans="1:27" s="246" customFormat="1" ht="28.8">
      <c r="A17" s="106"/>
      <c r="B17" s="1567">
        <v>45307</v>
      </c>
      <c r="C17" s="944" t="s">
        <v>1743</v>
      </c>
      <c r="D17" s="944" t="s">
        <v>3898</v>
      </c>
      <c r="E17" s="978" t="s">
        <v>4189</v>
      </c>
      <c r="F17" s="1568" t="s">
        <v>4190</v>
      </c>
      <c r="G17" s="1568">
        <v>8750673003</v>
      </c>
      <c r="H17" s="1574" t="s">
        <v>4191</v>
      </c>
      <c r="I17" s="1568" t="s">
        <v>3902</v>
      </c>
      <c r="J17" s="944" t="s">
        <v>73</v>
      </c>
      <c r="K17" s="944" t="s">
        <v>138</v>
      </c>
      <c r="L17" s="978" t="s">
        <v>4192</v>
      </c>
      <c r="M17" s="1569">
        <v>45672</v>
      </c>
      <c r="N17" s="937">
        <v>85000</v>
      </c>
      <c r="O17" s="937" t="s">
        <v>7</v>
      </c>
      <c r="P17" s="937" t="s">
        <v>28</v>
      </c>
      <c r="Q17" s="1321">
        <v>1</v>
      </c>
      <c r="R17" s="1573">
        <v>2710000809</v>
      </c>
      <c r="S17" s="949">
        <v>45763</v>
      </c>
      <c r="T17" s="937">
        <v>85000</v>
      </c>
      <c r="U17" s="937" t="s">
        <v>30</v>
      </c>
      <c r="V17" s="976">
        <f>Table6268934567910111213[[#This Row],[Offer Value]]-Table6268934567910111213[[#This Row],[PO Value]]</f>
        <v>0</v>
      </c>
      <c r="W17" s="937"/>
      <c r="X17" s="937"/>
      <c r="Y17" s="1447"/>
      <c r="Z17" s="1572"/>
      <c r="AA17" s="1572"/>
    </row>
    <row r="18" spans="1:27" s="246" customFormat="1" ht="28.8">
      <c r="A18" s="106">
        <v>6</v>
      </c>
      <c r="B18" s="1567"/>
      <c r="C18" s="1007" t="s">
        <v>1743</v>
      </c>
      <c r="D18" s="1010" t="s">
        <v>3898</v>
      </c>
      <c r="E18" s="945" t="s">
        <v>4189</v>
      </c>
      <c r="F18" s="1442" t="s">
        <v>4190</v>
      </c>
      <c r="G18" s="1442">
        <v>8750673003</v>
      </c>
      <c r="H18" s="1564" t="s">
        <v>4191</v>
      </c>
      <c r="I18" s="1442" t="s">
        <v>3998</v>
      </c>
      <c r="J18" s="944" t="s">
        <v>73</v>
      </c>
      <c r="K18" s="944" t="s">
        <v>138</v>
      </c>
      <c r="L18" s="978" t="s">
        <v>4192</v>
      </c>
      <c r="M18" s="1569">
        <v>45672</v>
      </c>
      <c r="N18" s="937">
        <v>85000</v>
      </c>
      <c r="O18" s="937" t="s">
        <v>7</v>
      </c>
      <c r="P18" s="937" t="s">
        <v>28</v>
      </c>
      <c r="Q18" s="1321">
        <v>1</v>
      </c>
      <c r="R18" s="1573">
        <v>2710000809</v>
      </c>
      <c r="S18" s="949">
        <v>45763</v>
      </c>
      <c r="T18" s="937">
        <v>85000</v>
      </c>
      <c r="U18" s="937" t="s">
        <v>30</v>
      </c>
      <c r="V18" s="976">
        <f>Table6268934567910111213[[#This Row],[Offer Value]]-Table6268934567910111213[[#This Row],[PO Value]]</f>
        <v>0</v>
      </c>
      <c r="W18" s="937"/>
      <c r="X18" s="937"/>
      <c r="Y18" s="1505"/>
      <c r="Z18" s="1572"/>
      <c r="AA18" s="1572"/>
    </row>
    <row r="19" spans="1:27" s="246" customFormat="1" ht="31.2">
      <c r="A19" s="1042">
        <v>7</v>
      </c>
      <c r="B19" s="1567">
        <v>45307</v>
      </c>
      <c r="C19" s="1007" t="s">
        <v>4193</v>
      </c>
      <c r="D19" s="1010" t="s">
        <v>3910</v>
      </c>
      <c r="E19" s="978" t="s">
        <v>4177</v>
      </c>
      <c r="F19" s="1574" t="s">
        <v>4194</v>
      </c>
      <c r="G19" s="1568">
        <v>9717316884</v>
      </c>
      <c r="H19" s="1568" t="s">
        <v>4195</v>
      </c>
      <c r="I19" s="1568" t="s">
        <v>4196</v>
      </c>
      <c r="J19" s="944" t="s">
        <v>79</v>
      </c>
      <c r="K19" s="944" t="s">
        <v>138</v>
      </c>
      <c r="L19" s="978" t="s">
        <v>4197</v>
      </c>
      <c r="M19" s="1569">
        <v>45672</v>
      </c>
      <c r="N19" s="937">
        <v>25000</v>
      </c>
      <c r="O19" s="937" t="s">
        <v>7</v>
      </c>
      <c r="P19" s="937" t="s">
        <v>7</v>
      </c>
      <c r="Q19" s="1321">
        <v>1</v>
      </c>
      <c r="R19" s="1573" t="s">
        <v>4198</v>
      </c>
      <c r="S19" s="949">
        <v>45672</v>
      </c>
      <c r="T19" s="937">
        <v>25000</v>
      </c>
      <c r="U19" s="937" t="s">
        <v>7</v>
      </c>
      <c r="V19" s="976">
        <f>Table6268934567910111213[[#This Row],[Offer Value]]-Table6268934567910111213[[#This Row],[PO Value]]</f>
        <v>0</v>
      </c>
      <c r="W19" s="948"/>
      <c r="X19" s="937"/>
      <c r="Y19" s="1447">
        <v>45685</v>
      </c>
      <c r="Z19" s="1572"/>
      <c r="AA19" s="1572" t="s">
        <v>3928</v>
      </c>
    </row>
    <row r="20" spans="1:27" ht="28.8">
      <c r="A20" s="1042">
        <v>8</v>
      </c>
      <c r="B20" s="1567">
        <v>45307</v>
      </c>
      <c r="C20" s="1007" t="s">
        <v>4193</v>
      </c>
      <c r="D20" s="1010" t="s">
        <v>3910</v>
      </c>
      <c r="E20" s="945" t="s">
        <v>4177</v>
      </c>
      <c r="F20" s="1564" t="s">
        <v>4199</v>
      </c>
      <c r="G20" s="1442">
        <v>9811458564</v>
      </c>
      <c r="H20" s="1442" t="s">
        <v>4200</v>
      </c>
      <c r="I20" s="1442" t="s">
        <v>4196</v>
      </c>
      <c r="J20" s="944" t="s">
        <v>74</v>
      </c>
      <c r="K20" s="944" t="s">
        <v>138</v>
      </c>
      <c r="L20" s="945" t="s">
        <v>4201</v>
      </c>
      <c r="M20" s="1569">
        <v>45673</v>
      </c>
      <c r="N20" s="937">
        <v>119428</v>
      </c>
      <c r="O20" s="937" t="s">
        <v>7</v>
      </c>
      <c r="P20" s="937" t="s">
        <v>7</v>
      </c>
      <c r="Q20" s="1321">
        <v>1</v>
      </c>
      <c r="R20" s="1573" t="s">
        <v>4202</v>
      </c>
      <c r="S20" s="949">
        <v>45674</v>
      </c>
      <c r="T20" s="937">
        <v>115845</v>
      </c>
      <c r="U20" s="937" t="s">
        <v>7</v>
      </c>
      <c r="V20" s="976">
        <f>Table6268934567910111213[[#This Row],[Offer Value]]-Table6268934567910111213[[#This Row],[PO Value]]</f>
        <v>3583</v>
      </c>
      <c r="W20" s="948"/>
      <c r="X20" s="937"/>
      <c r="Y20" s="1447">
        <v>45678</v>
      </c>
      <c r="Z20" s="1544"/>
      <c r="AA20" s="1572" t="s">
        <v>3928</v>
      </c>
    </row>
    <row r="21" spans="1:27" ht="31.2">
      <c r="A21" s="1042">
        <v>9</v>
      </c>
      <c r="B21" s="1567">
        <v>45307</v>
      </c>
      <c r="C21" s="978" t="s">
        <v>1411</v>
      </c>
      <c r="D21" s="1568" t="s">
        <v>4203</v>
      </c>
      <c r="E21" s="1575" t="s">
        <v>4177</v>
      </c>
      <c r="F21" s="1574" t="s">
        <v>4204</v>
      </c>
      <c r="G21" s="1568">
        <v>9816002875</v>
      </c>
      <c r="H21" s="978" t="s">
        <v>3935</v>
      </c>
      <c r="I21" s="978" t="s">
        <v>4023</v>
      </c>
      <c r="J21" s="944" t="s">
        <v>79</v>
      </c>
      <c r="K21" s="944" t="s">
        <v>138</v>
      </c>
      <c r="L21" s="978" t="s">
        <v>4205</v>
      </c>
      <c r="M21" s="1569">
        <v>45618</v>
      </c>
      <c r="N21" s="937">
        <v>30000</v>
      </c>
      <c r="O21" s="937" t="s">
        <v>7</v>
      </c>
      <c r="P21" s="937" t="s">
        <v>7</v>
      </c>
      <c r="Q21" s="1321">
        <v>1</v>
      </c>
      <c r="R21" s="1573">
        <v>5000127914</v>
      </c>
      <c r="S21" s="949">
        <v>45660</v>
      </c>
      <c r="T21" s="937">
        <v>28000</v>
      </c>
      <c r="U21" s="937" t="s">
        <v>7</v>
      </c>
      <c r="V21" s="976">
        <f>Table6268934567910111213[[#This Row],[Offer Value]]-Table6268934567910111213[[#This Row],[PO Value]]</f>
        <v>2000</v>
      </c>
      <c r="W21" s="948" t="s">
        <v>4206</v>
      </c>
      <c r="X21" s="937"/>
      <c r="Y21" s="1505"/>
      <c r="Z21" s="1544"/>
      <c r="AA21" s="1544"/>
    </row>
    <row r="22" spans="1:27" ht="31.2">
      <c r="A22" s="1042">
        <v>10</v>
      </c>
      <c r="B22" s="1567">
        <v>45307</v>
      </c>
      <c r="C22" s="1007" t="s">
        <v>614</v>
      </c>
      <c r="D22" s="1010" t="s">
        <v>3922</v>
      </c>
      <c r="E22" s="1010" t="s">
        <v>4207</v>
      </c>
      <c r="F22" s="1443" t="s">
        <v>4208</v>
      </c>
      <c r="G22" s="1568">
        <v>9810305992</v>
      </c>
      <c r="H22" s="1568" t="s">
        <v>4209</v>
      </c>
      <c r="I22" s="1568" t="s">
        <v>4036</v>
      </c>
      <c r="J22" s="944" t="s">
        <v>83</v>
      </c>
      <c r="K22" s="944" t="s">
        <v>157</v>
      </c>
      <c r="L22" s="978" t="s">
        <v>4210</v>
      </c>
      <c r="M22" s="1569">
        <v>45304</v>
      </c>
      <c r="N22" s="937">
        <v>1606254</v>
      </c>
      <c r="O22" s="937" t="s">
        <v>7</v>
      </c>
      <c r="P22" s="937" t="s">
        <v>7</v>
      </c>
      <c r="Q22" s="1321">
        <v>1</v>
      </c>
      <c r="R22" s="1573">
        <v>4000496392</v>
      </c>
      <c r="S22" s="949">
        <v>45659</v>
      </c>
      <c r="T22" s="937">
        <v>1272992</v>
      </c>
      <c r="U22" s="937" t="str">
        <f>TEXT(Table6268934567910111213[[#This Row],[PO Date]], "mmmm")</f>
        <v>January</v>
      </c>
      <c r="V22" s="976">
        <f>Table6268934567910111213[[#This Row],[Offer Value]]-Table6268934567910111213[[#This Row],[PO Value]]</f>
        <v>333262</v>
      </c>
      <c r="W22" s="948" t="s">
        <v>4206</v>
      </c>
      <c r="X22" s="937"/>
      <c r="Y22" s="1447">
        <v>45687</v>
      </c>
      <c r="Z22" s="1544"/>
      <c r="AA22" s="1572" t="s">
        <v>3928</v>
      </c>
    </row>
    <row r="23" spans="1:27" ht="15.6">
      <c r="A23" s="937">
        <v>11</v>
      </c>
      <c r="B23" s="938">
        <v>45684</v>
      </c>
      <c r="C23" s="1007" t="s">
        <v>1743</v>
      </c>
      <c r="D23" s="1010" t="s">
        <v>3938</v>
      </c>
      <c r="E23" s="978" t="s">
        <v>4189</v>
      </c>
      <c r="F23" s="1568" t="s">
        <v>4211</v>
      </c>
      <c r="G23" s="1568">
        <v>9937005843</v>
      </c>
      <c r="H23" s="1585" t="s">
        <v>4212</v>
      </c>
      <c r="I23" s="1568" t="s">
        <v>4041</v>
      </c>
      <c r="J23" s="944" t="s">
        <v>73</v>
      </c>
      <c r="K23" s="944" t="s">
        <v>138</v>
      </c>
      <c r="L23" s="1573" t="s">
        <v>4213</v>
      </c>
      <c r="M23" s="1569">
        <v>45673</v>
      </c>
      <c r="N23" s="937">
        <v>75000</v>
      </c>
      <c r="O23" s="937" t="s">
        <v>7</v>
      </c>
      <c r="P23" s="937" t="s">
        <v>28</v>
      </c>
      <c r="Q23" s="1321">
        <v>1</v>
      </c>
      <c r="R23" s="1573">
        <v>2710000789</v>
      </c>
      <c r="S23" s="949">
        <v>45762</v>
      </c>
      <c r="T23" s="937">
        <v>75000</v>
      </c>
      <c r="U23" s="937" t="s">
        <v>28</v>
      </c>
      <c r="V23" s="976">
        <f>Table6268934567910111213[[#This Row],[Offer Value]]-Table6268934567910111213[[#This Row],[PO Value]]</f>
        <v>0</v>
      </c>
      <c r="W23" s="948"/>
      <c r="X23" s="937"/>
      <c r="Y23" s="1505"/>
      <c r="Z23" s="7"/>
      <c r="AA23" s="7"/>
    </row>
    <row r="24" spans="1:27" ht="15.6">
      <c r="A24" s="937"/>
      <c r="B24" s="938"/>
      <c r="C24" s="1007" t="s">
        <v>1743</v>
      </c>
      <c r="D24" s="1010" t="s">
        <v>3938</v>
      </c>
      <c r="E24" s="945" t="s">
        <v>4189</v>
      </c>
      <c r="F24" s="1442" t="s">
        <v>4211</v>
      </c>
      <c r="G24" s="1442">
        <v>9937005843</v>
      </c>
      <c r="H24" s="1576" t="s">
        <v>4212</v>
      </c>
      <c r="I24" s="1442" t="s">
        <v>4214</v>
      </c>
      <c r="J24" s="944" t="s">
        <v>73</v>
      </c>
      <c r="K24" s="944" t="s">
        <v>138</v>
      </c>
      <c r="L24" s="1570" t="s">
        <v>4213</v>
      </c>
      <c r="M24" s="1569">
        <v>45673</v>
      </c>
      <c r="N24" s="937">
        <v>90000</v>
      </c>
      <c r="O24" s="937" t="s">
        <v>7</v>
      </c>
      <c r="P24" s="937" t="s">
        <v>28</v>
      </c>
      <c r="Q24" s="1321">
        <v>1</v>
      </c>
      <c r="R24" s="1573">
        <v>2710000789</v>
      </c>
      <c r="S24" s="949">
        <v>45762</v>
      </c>
      <c r="T24" s="937">
        <v>90000</v>
      </c>
      <c r="U24" s="937" t="s">
        <v>28</v>
      </c>
      <c r="V24" s="976">
        <f>Table6268934567910111213[[#This Row],[Offer Value]]-Table6268934567910111213[[#This Row],[PO Value]]</f>
        <v>0</v>
      </c>
      <c r="W24" s="948"/>
      <c r="X24" s="937"/>
      <c r="Y24" s="1505"/>
      <c r="Z24" s="7"/>
      <c r="AA24" s="7"/>
    </row>
    <row r="25" spans="1:27" ht="15.6">
      <c r="A25" s="937"/>
      <c r="B25" s="938"/>
      <c r="C25" s="1007" t="s">
        <v>1743</v>
      </c>
      <c r="D25" s="1010" t="s">
        <v>3938</v>
      </c>
      <c r="E25" s="945" t="s">
        <v>4189</v>
      </c>
      <c r="F25" s="1442" t="s">
        <v>4211</v>
      </c>
      <c r="G25" s="1442">
        <v>9937005843</v>
      </c>
      <c r="H25" s="1576" t="s">
        <v>4212</v>
      </c>
      <c r="I25" s="1442" t="s">
        <v>3942</v>
      </c>
      <c r="J25" s="944" t="s">
        <v>73</v>
      </c>
      <c r="K25" s="944" t="s">
        <v>138</v>
      </c>
      <c r="L25" s="1570" t="s">
        <v>4213</v>
      </c>
      <c r="M25" s="1569">
        <v>45673</v>
      </c>
      <c r="N25" s="937">
        <v>98000</v>
      </c>
      <c r="O25" s="937" t="s">
        <v>7</v>
      </c>
      <c r="P25" s="937" t="s">
        <v>28</v>
      </c>
      <c r="Q25" s="1321">
        <v>1</v>
      </c>
      <c r="R25" s="1573">
        <v>2710000789</v>
      </c>
      <c r="S25" s="949">
        <v>45762</v>
      </c>
      <c r="T25" s="937">
        <v>80000</v>
      </c>
      <c r="U25" s="937" t="s">
        <v>28</v>
      </c>
      <c r="V25" s="976">
        <v>0</v>
      </c>
      <c r="W25" s="948"/>
      <c r="X25" s="937"/>
      <c r="Y25" s="1505"/>
      <c r="Z25" s="7"/>
      <c r="AA25" s="7"/>
    </row>
    <row r="26" spans="1:27" ht="15.6">
      <c r="A26" s="937"/>
      <c r="B26" s="938"/>
      <c r="C26" s="1007" t="s">
        <v>1743</v>
      </c>
      <c r="D26" s="1010" t="s">
        <v>3938</v>
      </c>
      <c r="E26" s="945" t="s">
        <v>4189</v>
      </c>
      <c r="F26" s="1442" t="s">
        <v>4211</v>
      </c>
      <c r="G26" s="1442">
        <v>9937005843</v>
      </c>
      <c r="H26" s="1576" t="s">
        <v>4212</v>
      </c>
      <c r="I26" s="1442" t="s">
        <v>4215</v>
      </c>
      <c r="J26" s="944" t="s">
        <v>73</v>
      </c>
      <c r="K26" s="944" t="s">
        <v>138</v>
      </c>
      <c r="L26" s="1570" t="s">
        <v>4213</v>
      </c>
      <c r="M26" s="1569">
        <v>45673</v>
      </c>
      <c r="N26" s="937">
        <v>95000</v>
      </c>
      <c r="O26" s="937" t="s">
        <v>7</v>
      </c>
      <c r="P26" s="937" t="s">
        <v>30</v>
      </c>
      <c r="Q26" s="1321">
        <v>1</v>
      </c>
      <c r="R26" s="1573">
        <v>2710000789</v>
      </c>
      <c r="S26" s="949">
        <v>45762</v>
      </c>
      <c r="T26" s="937">
        <v>85000</v>
      </c>
      <c r="U26" s="937" t="s">
        <v>28</v>
      </c>
      <c r="V26" s="976">
        <v>0</v>
      </c>
      <c r="W26" s="937"/>
      <c r="X26" s="937"/>
      <c r="Y26" s="1447"/>
      <c r="Z26" s="1560"/>
      <c r="AA26" s="1560"/>
    </row>
    <row r="27" spans="1:27" ht="28.8">
      <c r="A27" s="106">
        <v>12</v>
      </c>
      <c r="B27" s="938">
        <v>45684</v>
      </c>
      <c r="C27" s="1007" t="s">
        <v>614</v>
      </c>
      <c r="D27" s="1010" t="s">
        <v>3922</v>
      </c>
      <c r="E27" s="978" t="s">
        <v>4216</v>
      </c>
      <c r="F27" s="1574" t="s">
        <v>4217</v>
      </c>
      <c r="G27" s="1568">
        <v>9050457078</v>
      </c>
      <c r="H27" s="1585" t="s">
        <v>4218</v>
      </c>
      <c r="I27" s="1568" t="s">
        <v>3994</v>
      </c>
      <c r="J27" s="944" t="s">
        <v>73</v>
      </c>
      <c r="K27" s="944" t="s">
        <v>138</v>
      </c>
      <c r="L27" s="1573" t="s">
        <v>4219</v>
      </c>
      <c r="M27" s="1569">
        <v>45673</v>
      </c>
      <c r="N27" s="937">
        <v>58000</v>
      </c>
      <c r="O27" s="937" t="s">
        <v>7</v>
      </c>
      <c r="P27" s="937" t="s">
        <v>39</v>
      </c>
      <c r="Q27" s="1321">
        <v>1</v>
      </c>
      <c r="R27" s="1573">
        <v>4800090227</v>
      </c>
      <c r="S27" s="949">
        <v>45924</v>
      </c>
      <c r="T27" s="937">
        <v>62080</v>
      </c>
      <c r="U27" s="937" t="s">
        <v>44</v>
      </c>
      <c r="V27" s="976">
        <v>0</v>
      </c>
      <c r="W27" s="106"/>
      <c r="X27" s="106"/>
      <c r="Y27" s="604"/>
      <c r="Z27" s="7"/>
      <c r="AA27" s="7"/>
    </row>
    <row r="28" spans="1:27" ht="28.8">
      <c r="A28" s="106"/>
      <c r="B28" s="938"/>
      <c r="C28" s="1007" t="s">
        <v>614</v>
      </c>
      <c r="D28" s="1010" t="s">
        <v>3922</v>
      </c>
      <c r="E28" s="945" t="s">
        <v>4216</v>
      </c>
      <c r="F28" s="1564" t="s">
        <v>4217</v>
      </c>
      <c r="G28" s="1442">
        <v>9050457078</v>
      </c>
      <c r="H28" s="1576" t="s">
        <v>4218</v>
      </c>
      <c r="I28" s="1442" t="s">
        <v>3995</v>
      </c>
      <c r="J28" s="944" t="s">
        <v>73</v>
      </c>
      <c r="K28" s="944" t="s">
        <v>138</v>
      </c>
      <c r="L28" s="1570" t="s">
        <v>4219</v>
      </c>
      <c r="M28" s="1569">
        <v>45673</v>
      </c>
      <c r="N28" s="937">
        <v>58000</v>
      </c>
      <c r="O28" s="937" t="s">
        <v>7</v>
      </c>
      <c r="P28" s="937" t="s">
        <v>39</v>
      </c>
      <c r="Q28" s="1321">
        <v>1</v>
      </c>
      <c r="R28" s="1573">
        <v>4800090227</v>
      </c>
      <c r="S28" s="949">
        <v>45924</v>
      </c>
      <c r="T28" s="937">
        <v>62080</v>
      </c>
      <c r="U28" s="937" t="s">
        <v>44</v>
      </c>
      <c r="V28" s="976">
        <v>0</v>
      </c>
      <c r="W28" s="110"/>
      <c r="X28" s="106"/>
      <c r="Y28" s="604"/>
      <c r="Z28" s="7"/>
      <c r="AA28" s="7"/>
    </row>
    <row r="29" spans="1:27" ht="28.8">
      <c r="A29" s="106"/>
      <c r="B29" s="938"/>
      <c r="C29" s="1007" t="s">
        <v>614</v>
      </c>
      <c r="D29" s="1010" t="s">
        <v>3922</v>
      </c>
      <c r="E29" s="945" t="s">
        <v>4216</v>
      </c>
      <c r="F29" s="1564" t="s">
        <v>4217</v>
      </c>
      <c r="G29" s="1442">
        <v>9050457078</v>
      </c>
      <c r="H29" s="1576" t="s">
        <v>4218</v>
      </c>
      <c r="I29" s="1442" t="s">
        <v>3992</v>
      </c>
      <c r="J29" s="944" t="s">
        <v>73</v>
      </c>
      <c r="K29" s="944" t="s">
        <v>138</v>
      </c>
      <c r="L29" s="1570" t="s">
        <v>4219</v>
      </c>
      <c r="M29" s="1569">
        <v>45673</v>
      </c>
      <c r="N29" s="937">
        <v>58000</v>
      </c>
      <c r="O29" s="937" t="s">
        <v>7</v>
      </c>
      <c r="P29" s="937" t="s">
        <v>39</v>
      </c>
      <c r="Q29" s="1321">
        <v>1</v>
      </c>
      <c r="R29" s="1573">
        <v>4800090227</v>
      </c>
      <c r="S29" s="949">
        <v>45924</v>
      </c>
      <c r="T29" s="937">
        <v>62080</v>
      </c>
      <c r="U29" s="937" t="s">
        <v>44</v>
      </c>
      <c r="V29" s="976">
        <v>0</v>
      </c>
      <c r="W29" s="110"/>
      <c r="X29" s="106"/>
      <c r="Y29" s="604"/>
      <c r="Z29" s="7"/>
      <c r="AA29" s="7"/>
    </row>
    <row r="30" spans="1:27" ht="28.8">
      <c r="A30" s="106"/>
      <c r="B30" s="938"/>
      <c r="C30" s="1007" t="s">
        <v>614</v>
      </c>
      <c r="D30" s="1010" t="s">
        <v>3922</v>
      </c>
      <c r="E30" s="945" t="s">
        <v>4216</v>
      </c>
      <c r="F30" s="1564" t="s">
        <v>4217</v>
      </c>
      <c r="G30" s="1442">
        <v>9050457078</v>
      </c>
      <c r="H30" s="1576" t="s">
        <v>4218</v>
      </c>
      <c r="I30" s="1442" t="s">
        <v>3996</v>
      </c>
      <c r="J30" s="944" t="s">
        <v>73</v>
      </c>
      <c r="K30" s="944" t="s">
        <v>138</v>
      </c>
      <c r="L30" s="1570" t="s">
        <v>4219</v>
      </c>
      <c r="M30" s="1569">
        <v>45673</v>
      </c>
      <c r="N30" s="937">
        <v>58000</v>
      </c>
      <c r="O30" s="937" t="s">
        <v>7</v>
      </c>
      <c r="P30" s="937" t="s">
        <v>39</v>
      </c>
      <c r="Q30" s="1321">
        <v>1</v>
      </c>
      <c r="R30" s="1573">
        <v>4800090227</v>
      </c>
      <c r="S30" s="949">
        <v>45924</v>
      </c>
      <c r="T30" s="937">
        <v>62080</v>
      </c>
      <c r="U30" s="937" t="s">
        <v>44</v>
      </c>
      <c r="V30" s="976">
        <v>0</v>
      </c>
      <c r="W30" s="110"/>
      <c r="X30" s="453"/>
      <c r="Y30" s="605"/>
      <c r="Z30" s="7"/>
      <c r="AA30" s="7"/>
    </row>
    <row r="31" spans="1:27" ht="28.8">
      <c r="A31" s="106"/>
      <c r="B31" s="938"/>
      <c r="C31" s="1007" t="s">
        <v>614</v>
      </c>
      <c r="D31" s="1010" t="s">
        <v>3922</v>
      </c>
      <c r="E31" s="945" t="s">
        <v>4216</v>
      </c>
      <c r="F31" s="1564" t="s">
        <v>4217</v>
      </c>
      <c r="G31" s="1442">
        <v>9050457078</v>
      </c>
      <c r="H31" s="1576" t="s">
        <v>4218</v>
      </c>
      <c r="I31" s="1442">
        <v>305000054</v>
      </c>
      <c r="J31" s="944" t="s">
        <v>73</v>
      </c>
      <c r="K31" s="944" t="s">
        <v>138</v>
      </c>
      <c r="L31" s="1570" t="s">
        <v>4219</v>
      </c>
      <c r="M31" s="1569">
        <v>45673</v>
      </c>
      <c r="N31" s="937">
        <v>58000</v>
      </c>
      <c r="O31" s="937" t="s">
        <v>7</v>
      </c>
      <c r="P31" s="937" t="s">
        <v>39</v>
      </c>
      <c r="Q31" s="1321">
        <v>1</v>
      </c>
      <c r="R31" s="1573">
        <v>4800090227</v>
      </c>
      <c r="S31" s="949">
        <v>45924</v>
      </c>
      <c r="T31" s="937">
        <v>62080</v>
      </c>
      <c r="U31" s="937" t="s">
        <v>44</v>
      </c>
      <c r="V31" s="976">
        <v>0</v>
      </c>
      <c r="W31" s="110"/>
      <c r="X31" s="106"/>
      <c r="Y31" s="604"/>
      <c r="Z31" s="7"/>
      <c r="AA31" s="7"/>
    </row>
    <row r="32" spans="1:27" ht="28.8">
      <c r="A32" s="106">
        <v>13</v>
      </c>
      <c r="B32" s="938"/>
      <c r="C32" s="1007" t="s">
        <v>614</v>
      </c>
      <c r="D32" s="1010" t="s">
        <v>3922</v>
      </c>
      <c r="E32" s="978" t="s">
        <v>4220</v>
      </c>
      <c r="F32" s="1574" t="s">
        <v>4221</v>
      </c>
      <c r="G32" s="1568">
        <v>9717006504</v>
      </c>
      <c r="H32" s="2973" t="s">
        <v>4222</v>
      </c>
      <c r="I32" s="1568" t="s">
        <v>4223</v>
      </c>
      <c r="J32" s="944" t="s">
        <v>73</v>
      </c>
      <c r="K32" s="944" t="s">
        <v>138</v>
      </c>
      <c r="L32" s="1570" t="s">
        <v>4224</v>
      </c>
      <c r="M32" s="1569">
        <v>45673</v>
      </c>
      <c r="N32" s="937">
        <v>58000</v>
      </c>
      <c r="O32" s="937" t="s">
        <v>7</v>
      </c>
      <c r="P32" s="937" t="s">
        <v>39</v>
      </c>
      <c r="Q32" s="1321">
        <v>1</v>
      </c>
      <c r="R32" s="1573" t="s">
        <v>4225</v>
      </c>
      <c r="S32" s="949">
        <v>45982</v>
      </c>
      <c r="T32" s="937">
        <v>57420</v>
      </c>
      <c r="U32" s="937" t="s">
        <v>49</v>
      </c>
      <c r="V32" s="976">
        <v>0</v>
      </c>
      <c r="W32" s="948"/>
      <c r="X32" s="937"/>
      <c r="Y32" s="1447"/>
      <c r="Z32" s="1544"/>
      <c r="AA32" s="1544"/>
    </row>
    <row r="33" spans="1:27" ht="28.8">
      <c r="A33" s="106"/>
      <c r="B33" s="938"/>
      <c r="C33" s="1007" t="s">
        <v>614</v>
      </c>
      <c r="D33" s="1010" t="s">
        <v>3922</v>
      </c>
      <c r="E33" s="945" t="s">
        <v>4220</v>
      </c>
      <c r="F33" s="1564" t="s">
        <v>4221</v>
      </c>
      <c r="G33" s="1442">
        <v>9717006504</v>
      </c>
      <c r="H33" s="1578" t="s">
        <v>4222</v>
      </c>
      <c r="I33" s="1442" t="s">
        <v>4226</v>
      </c>
      <c r="J33" s="944" t="s">
        <v>73</v>
      </c>
      <c r="K33" s="944" t="s">
        <v>138</v>
      </c>
      <c r="L33" s="1570" t="s">
        <v>4224</v>
      </c>
      <c r="M33" s="1569">
        <v>45673</v>
      </c>
      <c r="N33" s="937">
        <v>58000</v>
      </c>
      <c r="O33" s="937" t="s">
        <v>7</v>
      </c>
      <c r="P33" s="937" t="s">
        <v>39</v>
      </c>
      <c r="Q33" s="1321">
        <v>1</v>
      </c>
      <c r="R33" s="1573" t="s">
        <v>4225</v>
      </c>
      <c r="S33" s="949">
        <v>45982</v>
      </c>
      <c r="T33" s="937">
        <v>57420</v>
      </c>
      <c r="U33" s="937" t="s">
        <v>49</v>
      </c>
      <c r="V33" s="976">
        <v>0</v>
      </c>
      <c r="W33" s="948"/>
      <c r="X33" s="937"/>
      <c r="Y33" s="1447"/>
      <c r="Z33" s="1544"/>
      <c r="AA33" s="1544"/>
    </row>
    <row r="34" spans="1:27" ht="28.8">
      <c r="A34" s="106"/>
      <c r="B34" s="938"/>
      <c r="C34" s="1007" t="s">
        <v>614</v>
      </c>
      <c r="D34" s="1010" t="s">
        <v>3922</v>
      </c>
      <c r="E34" s="945" t="s">
        <v>4220</v>
      </c>
      <c r="F34" s="1564" t="s">
        <v>4221</v>
      </c>
      <c r="G34" s="1442">
        <v>9717006504</v>
      </c>
      <c r="H34" s="1578" t="s">
        <v>4222</v>
      </c>
      <c r="I34" s="1442" t="s">
        <v>4227</v>
      </c>
      <c r="J34" s="944" t="s">
        <v>73</v>
      </c>
      <c r="K34" s="944" t="s">
        <v>138</v>
      </c>
      <c r="L34" s="1570" t="s">
        <v>4224</v>
      </c>
      <c r="M34" s="1569">
        <v>45673</v>
      </c>
      <c r="N34" s="937">
        <v>58000</v>
      </c>
      <c r="O34" s="937" t="s">
        <v>7</v>
      </c>
      <c r="P34" s="937" t="s">
        <v>39</v>
      </c>
      <c r="Q34" s="1321">
        <v>1</v>
      </c>
      <c r="R34" s="1573" t="s">
        <v>4225</v>
      </c>
      <c r="S34" s="949">
        <v>45982</v>
      </c>
      <c r="T34" s="937">
        <v>57420</v>
      </c>
      <c r="U34" s="937" t="s">
        <v>49</v>
      </c>
      <c r="V34" s="976">
        <v>0</v>
      </c>
      <c r="W34" s="948"/>
      <c r="X34" s="937"/>
      <c r="Y34" s="1447"/>
      <c r="Z34" s="1544"/>
      <c r="AA34" s="1544"/>
    </row>
    <row r="35" spans="1:27" ht="28.8">
      <c r="A35" s="106"/>
      <c r="B35" s="938"/>
      <c r="C35" s="1007" t="s">
        <v>614</v>
      </c>
      <c r="D35" s="1010" t="s">
        <v>3922</v>
      </c>
      <c r="E35" s="945" t="s">
        <v>4220</v>
      </c>
      <c r="F35" s="1564" t="s">
        <v>4221</v>
      </c>
      <c r="G35" s="1442">
        <v>9717006504</v>
      </c>
      <c r="H35" s="1578" t="s">
        <v>4222</v>
      </c>
      <c r="I35" s="1442" t="s">
        <v>4228</v>
      </c>
      <c r="J35" s="944" t="s">
        <v>73</v>
      </c>
      <c r="K35" s="944" t="s">
        <v>138</v>
      </c>
      <c r="L35" s="1570" t="s">
        <v>4224</v>
      </c>
      <c r="M35" s="1569">
        <v>45673</v>
      </c>
      <c r="N35" s="937">
        <v>58000</v>
      </c>
      <c r="O35" s="937" t="s">
        <v>7</v>
      </c>
      <c r="P35" s="937" t="s">
        <v>39</v>
      </c>
      <c r="Q35" s="1321">
        <v>1</v>
      </c>
      <c r="R35" s="1573" t="s">
        <v>4225</v>
      </c>
      <c r="S35" s="949">
        <v>45982</v>
      </c>
      <c r="T35" s="937">
        <v>57420</v>
      </c>
      <c r="U35" s="937" t="s">
        <v>49</v>
      </c>
      <c r="V35" s="976">
        <v>0</v>
      </c>
      <c r="W35" s="948"/>
      <c r="X35" s="937"/>
      <c r="Y35" s="1447"/>
      <c r="Z35" s="1544"/>
      <c r="AA35" s="1544"/>
    </row>
    <row r="36" spans="1:27" ht="28.8">
      <c r="A36" s="106"/>
      <c r="B36" s="938"/>
      <c r="C36" s="1007" t="s">
        <v>614</v>
      </c>
      <c r="D36" s="1010" t="s">
        <v>3922</v>
      </c>
      <c r="E36" s="945" t="s">
        <v>4220</v>
      </c>
      <c r="F36" s="1564" t="s">
        <v>4221</v>
      </c>
      <c r="G36" s="1442">
        <v>9717006504</v>
      </c>
      <c r="H36" s="1578" t="s">
        <v>4222</v>
      </c>
      <c r="I36" s="1442" t="s">
        <v>4229</v>
      </c>
      <c r="J36" s="944" t="s">
        <v>73</v>
      </c>
      <c r="K36" s="944" t="s">
        <v>138</v>
      </c>
      <c r="L36" s="1570" t="s">
        <v>4224</v>
      </c>
      <c r="M36" s="1569">
        <v>45673</v>
      </c>
      <c r="N36" s="937">
        <v>58000</v>
      </c>
      <c r="O36" s="937" t="s">
        <v>7</v>
      </c>
      <c r="P36" s="937" t="s">
        <v>39</v>
      </c>
      <c r="Q36" s="1321">
        <v>1</v>
      </c>
      <c r="R36" s="1573" t="s">
        <v>4225</v>
      </c>
      <c r="S36" s="949">
        <v>45982</v>
      </c>
      <c r="T36" s="937">
        <v>57420</v>
      </c>
      <c r="U36" s="937" t="s">
        <v>49</v>
      </c>
      <c r="V36" s="976">
        <v>0</v>
      </c>
      <c r="W36" s="948"/>
      <c r="X36" s="937"/>
      <c r="Y36" s="1447"/>
      <c r="Z36" s="1544"/>
      <c r="AA36" s="1544"/>
    </row>
    <row r="37" spans="1:27" ht="30.9" customHeight="1">
      <c r="A37" s="1042">
        <v>14</v>
      </c>
      <c r="B37" s="938">
        <v>45684</v>
      </c>
      <c r="C37" s="1007" t="s">
        <v>4230</v>
      </c>
      <c r="D37" s="1010" t="s">
        <v>3944</v>
      </c>
      <c r="E37" s="945" t="s">
        <v>4177</v>
      </c>
      <c r="F37" s="1564" t="s">
        <v>4231</v>
      </c>
      <c r="G37" s="2361">
        <v>8146487890</v>
      </c>
      <c r="H37" s="1577" t="s">
        <v>4232</v>
      </c>
      <c r="I37" s="945" t="s">
        <v>4233</v>
      </c>
      <c r="J37" s="944" t="s">
        <v>73</v>
      </c>
      <c r="K37" s="944" t="s">
        <v>138</v>
      </c>
      <c r="L37" s="1570" t="s">
        <v>4234</v>
      </c>
      <c r="M37" s="1569">
        <v>45673</v>
      </c>
      <c r="N37" s="937">
        <v>145000</v>
      </c>
      <c r="O37" s="937" t="s">
        <v>7</v>
      </c>
      <c r="P37" s="937" t="s">
        <v>25</v>
      </c>
      <c r="Q37" s="1321">
        <v>1</v>
      </c>
      <c r="R37" s="1573">
        <v>4508578495</v>
      </c>
      <c r="S37" s="949">
        <v>45701</v>
      </c>
      <c r="T37" s="937">
        <v>137750</v>
      </c>
      <c r="U37" s="937" t="s">
        <v>18</v>
      </c>
      <c r="V37" s="976">
        <v>0</v>
      </c>
      <c r="W37" s="948"/>
      <c r="X37" s="937"/>
      <c r="Y37" s="1505"/>
      <c r="Z37" s="1544"/>
      <c r="AA37" s="1544"/>
    </row>
    <row r="38" spans="1:27" ht="29.1" customHeight="1">
      <c r="A38" s="1042">
        <v>15</v>
      </c>
      <c r="B38" s="938">
        <v>45684</v>
      </c>
      <c r="C38" s="1007" t="s">
        <v>4235</v>
      </c>
      <c r="D38" s="1010" t="s">
        <v>4236</v>
      </c>
      <c r="E38" s="945" t="s">
        <v>4237</v>
      </c>
      <c r="F38" s="1564" t="s">
        <v>4238</v>
      </c>
      <c r="G38" s="1568">
        <v>9936294447</v>
      </c>
      <c r="H38" s="1574" t="s">
        <v>4239</v>
      </c>
      <c r="I38" s="1442" t="s">
        <v>4240</v>
      </c>
      <c r="J38" s="944" t="s">
        <v>73</v>
      </c>
      <c r="K38" s="944" t="s">
        <v>138</v>
      </c>
      <c r="L38" s="1570" t="s">
        <v>4241</v>
      </c>
      <c r="M38" s="1569">
        <v>45673</v>
      </c>
      <c r="N38" s="937">
        <v>75000</v>
      </c>
      <c r="O38" s="937" t="s">
        <v>7</v>
      </c>
      <c r="P38" s="937" t="s">
        <v>18</v>
      </c>
      <c r="Q38" s="1321">
        <v>1</v>
      </c>
      <c r="R38" s="1573">
        <v>11705960</v>
      </c>
      <c r="S38" s="949">
        <v>45692</v>
      </c>
      <c r="T38" s="937">
        <v>75000</v>
      </c>
      <c r="U38" s="937" t="s">
        <v>18</v>
      </c>
      <c r="V38" s="976">
        <f>Table6268934567910111213[[#This Row],[Offer Value]]-Table6268934567910111213[[#This Row],[PO Value]]</f>
        <v>0</v>
      </c>
      <c r="W38" s="948"/>
      <c r="X38" s="937"/>
      <c r="Y38" s="1505"/>
      <c r="Z38" s="1544"/>
      <c r="AA38" s="1544"/>
    </row>
    <row r="39" spans="1:27" ht="28.8">
      <c r="A39" s="937">
        <v>16</v>
      </c>
      <c r="B39" s="938">
        <v>45684</v>
      </c>
      <c r="C39" s="1007" t="s">
        <v>4242</v>
      </c>
      <c r="D39" s="944" t="s">
        <v>3910</v>
      </c>
      <c r="E39" s="945" t="s">
        <v>4189</v>
      </c>
      <c r="F39" s="1564" t="s">
        <v>4243</v>
      </c>
      <c r="G39" s="1442">
        <v>8800905112</v>
      </c>
      <c r="H39" s="1564" t="s">
        <v>4244</v>
      </c>
      <c r="I39" s="1442" t="s">
        <v>4245</v>
      </c>
      <c r="J39" s="944" t="s">
        <v>73</v>
      </c>
      <c r="K39" s="944" t="s">
        <v>138</v>
      </c>
      <c r="L39" s="1570" t="s">
        <v>4246</v>
      </c>
      <c r="M39" s="1569">
        <v>45673</v>
      </c>
      <c r="N39" s="937">
        <v>375000</v>
      </c>
      <c r="O39" s="937" t="s">
        <v>7</v>
      </c>
      <c r="P39" s="937" t="s">
        <v>39</v>
      </c>
      <c r="Q39" s="1321">
        <v>1</v>
      </c>
      <c r="R39" s="1573">
        <v>2400019724</v>
      </c>
      <c r="S39" s="949">
        <v>45938</v>
      </c>
      <c r="T39" s="937">
        <v>350000</v>
      </c>
      <c r="U39" s="937" t="s">
        <v>47</v>
      </c>
      <c r="V39" s="976">
        <v>0</v>
      </c>
      <c r="W39" s="948"/>
      <c r="X39" s="937"/>
      <c r="Y39" s="1447"/>
      <c r="Z39" s="1544"/>
      <c r="AA39" s="1544"/>
    </row>
    <row r="40" spans="1:27" ht="31.2">
      <c r="A40" s="937">
        <v>17</v>
      </c>
      <c r="B40" s="938">
        <v>45684</v>
      </c>
      <c r="C40" s="1007" t="s">
        <v>4247</v>
      </c>
      <c r="D40" s="944" t="s">
        <v>3922</v>
      </c>
      <c r="E40" s="945" t="s">
        <v>4248</v>
      </c>
      <c r="F40" s="1564" t="s">
        <v>4249</v>
      </c>
      <c r="G40" s="1442">
        <v>9810753734</v>
      </c>
      <c r="H40" s="1564" t="s">
        <v>4250</v>
      </c>
      <c r="I40" s="1442" t="s">
        <v>4251</v>
      </c>
      <c r="J40" s="944" t="s">
        <v>73</v>
      </c>
      <c r="K40" s="944" t="s">
        <v>138</v>
      </c>
      <c r="L40" s="1570" t="s">
        <v>4252</v>
      </c>
      <c r="M40" s="1569">
        <v>45673</v>
      </c>
      <c r="N40" s="937">
        <v>185000</v>
      </c>
      <c r="O40" s="937" t="s">
        <v>28</v>
      </c>
      <c r="P40" s="937" t="s">
        <v>28</v>
      </c>
      <c r="Q40" s="1321">
        <v>1</v>
      </c>
      <c r="R40" s="1573" t="s">
        <v>4253</v>
      </c>
      <c r="S40" s="949" t="s">
        <v>4254</v>
      </c>
      <c r="T40" s="937">
        <v>185000</v>
      </c>
      <c r="U40" s="937" t="s">
        <v>25</v>
      </c>
      <c r="V40" s="976">
        <f>Table6268934567910111213[[#This Row],[Offer Value]]-Table6268934567910111213[[#This Row],[PO Value]]</f>
        <v>0</v>
      </c>
      <c r="W40" s="948"/>
      <c r="X40" s="937"/>
      <c r="Y40" s="1447"/>
      <c r="Z40" s="7"/>
      <c r="AA40" s="7"/>
    </row>
    <row r="41" spans="1:27" ht="31.2">
      <c r="A41" s="937"/>
      <c r="B41" s="938"/>
      <c r="C41" s="1007" t="s">
        <v>4247</v>
      </c>
      <c r="D41" s="944" t="s">
        <v>3922</v>
      </c>
      <c r="E41" s="945" t="s">
        <v>4248</v>
      </c>
      <c r="F41" s="1564" t="s">
        <v>4249</v>
      </c>
      <c r="G41" s="1442">
        <v>9810753734</v>
      </c>
      <c r="H41" s="1564" t="s">
        <v>4250</v>
      </c>
      <c r="I41" s="1442" t="s">
        <v>4255</v>
      </c>
      <c r="J41" s="944" t="s">
        <v>73</v>
      </c>
      <c r="K41" s="944" t="s">
        <v>138</v>
      </c>
      <c r="L41" s="1570" t="s">
        <v>4252</v>
      </c>
      <c r="M41" s="1569">
        <v>45673</v>
      </c>
      <c r="N41" s="937">
        <v>185000</v>
      </c>
      <c r="O41" s="937" t="s">
        <v>7</v>
      </c>
      <c r="P41" s="937" t="s">
        <v>28</v>
      </c>
      <c r="Q41" s="1321">
        <v>1</v>
      </c>
      <c r="R41" s="1573" t="s">
        <v>4253</v>
      </c>
      <c r="S41" s="949" t="s">
        <v>4254</v>
      </c>
      <c r="T41" s="937">
        <v>185000</v>
      </c>
      <c r="U41" s="937" t="s">
        <v>25</v>
      </c>
      <c r="V41" s="976">
        <f>Table6268934567910111213[[#This Row],[Offer Value]]-Table6268934567910111213[[#This Row],[PO Value]]</f>
        <v>0</v>
      </c>
      <c r="W41" s="937"/>
      <c r="X41" s="951"/>
      <c r="Y41" s="1447"/>
      <c r="Z41" s="7"/>
      <c r="AA41" s="7"/>
    </row>
    <row r="42" spans="1:27" ht="28.8">
      <c r="A42" s="937">
        <v>18</v>
      </c>
      <c r="B42" s="938">
        <v>45684</v>
      </c>
      <c r="C42" s="1007" t="s">
        <v>4045</v>
      </c>
      <c r="D42" s="944" t="s">
        <v>4046</v>
      </c>
      <c r="E42" s="945" t="s">
        <v>4177</v>
      </c>
      <c r="F42" s="1564" t="s">
        <v>4256</v>
      </c>
      <c r="G42" s="1442">
        <v>9911876413</v>
      </c>
      <c r="H42" s="1578" t="s">
        <v>4257</v>
      </c>
      <c r="I42" s="1442" t="s">
        <v>4258</v>
      </c>
      <c r="J42" s="944" t="s">
        <v>73</v>
      </c>
      <c r="K42" s="944" t="s">
        <v>138</v>
      </c>
      <c r="L42" s="1570" t="s">
        <v>4259</v>
      </c>
      <c r="M42" s="1579">
        <v>45454</v>
      </c>
      <c r="N42" s="937">
        <v>90000</v>
      </c>
      <c r="O42" s="937" t="s">
        <v>7</v>
      </c>
      <c r="P42" s="937" t="s">
        <v>7</v>
      </c>
      <c r="Q42" s="1321">
        <v>1</v>
      </c>
      <c r="R42" s="1573">
        <v>4340097826</v>
      </c>
      <c r="S42" s="949">
        <v>45665</v>
      </c>
      <c r="T42" s="937">
        <v>92014</v>
      </c>
      <c r="U42" s="937" t="s">
        <v>7</v>
      </c>
      <c r="V42" s="976">
        <f>Table6268934567910111213[[#This Row],[Offer Value]]-Table6268934567910111213[[#This Row],[PO Value]]</f>
        <v>-2014</v>
      </c>
      <c r="W42" s="937" t="s">
        <v>4260</v>
      </c>
      <c r="X42" s="951"/>
      <c r="Y42" s="1447">
        <v>45715</v>
      </c>
      <c r="Z42" s="1544"/>
      <c r="AA42" s="3501" t="s">
        <v>3966</v>
      </c>
    </row>
    <row r="43" spans="1:27" ht="28.8">
      <c r="A43" s="937"/>
      <c r="B43" s="938"/>
      <c r="C43" s="1007" t="s">
        <v>4045</v>
      </c>
      <c r="D43" s="944" t="s">
        <v>4046</v>
      </c>
      <c r="E43" s="945" t="s">
        <v>4177</v>
      </c>
      <c r="F43" s="1564" t="s">
        <v>4256</v>
      </c>
      <c r="G43" s="1442">
        <v>9911876413</v>
      </c>
      <c r="H43" s="1578" t="s">
        <v>4257</v>
      </c>
      <c r="I43" s="1442" t="s">
        <v>4261</v>
      </c>
      <c r="J43" s="944" t="s">
        <v>73</v>
      </c>
      <c r="K43" s="944" t="s">
        <v>138</v>
      </c>
      <c r="L43" s="1570" t="s">
        <v>4259</v>
      </c>
      <c r="M43" s="1579">
        <v>45454</v>
      </c>
      <c r="N43" s="937">
        <v>90000</v>
      </c>
      <c r="O43" s="937" t="s">
        <v>7</v>
      </c>
      <c r="P43" s="937" t="s">
        <v>7</v>
      </c>
      <c r="Q43" s="1321">
        <v>1</v>
      </c>
      <c r="R43" s="1573">
        <v>4340097826</v>
      </c>
      <c r="S43" s="949">
        <v>45665</v>
      </c>
      <c r="T43" s="937">
        <v>92014</v>
      </c>
      <c r="U43" s="937" t="s">
        <v>7</v>
      </c>
      <c r="V43" s="976">
        <f>Table6268934567910111213[[#This Row],[Offer Value]]-Table6268934567910111213[[#This Row],[PO Value]]</f>
        <v>-2014</v>
      </c>
      <c r="W43" s="937" t="s">
        <v>4260</v>
      </c>
      <c r="X43" s="937"/>
      <c r="Y43" s="1447">
        <v>45715</v>
      </c>
      <c r="Z43" s="1544"/>
      <c r="AA43" s="3502"/>
    </row>
    <row r="44" spans="1:27" ht="28.8">
      <c r="A44" s="937"/>
      <c r="B44" s="938"/>
      <c r="C44" s="1007" t="s">
        <v>4045</v>
      </c>
      <c r="D44" s="944" t="s">
        <v>4046</v>
      </c>
      <c r="E44" s="945" t="s">
        <v>4177</v>
      </c>
      <c r="F44" s="1564" t="s">
        <v>4256</v>
      </c>
      <c r="G44" s="1442">
        <v>9911876413</v>
      </c>
      <c r="H44" s="1578" t="s">
        <v>4257</v>
      </c>
      <c r="I44" s="1442" t="s">
        <v>4262</v>
      </c>
      <c r="J44" s="944" t="s">
        <v>73</v>
      </c>
      <c r="K44" s="944" t="s">
        <v>138</v>
      </c>
      <c r="L44" s="1570" t="s">
        <v>4259</v>
      </c>
      <c r="M44" s="1579">
        <v>45454</v>
      </c>
      <c r="N44" s="937">
        <v>90000</v>
      </c>
      <c r="O44" s="937" t="s">
        <v>7</v>
      </c>
      <c r="P44" s="937" t="s">
        <v>7</v>
      </c>
      <c r="Q44" s="1321">
        <v>1</v>
      </c>
      <c r="R44" s="1573">
        <v>4340097826</v>
      </c>
      <c r="S44" s="949">
        <v>45665</v>
      </c>
      <c r="T44" s="937">
        <v>92014</v>
      </c>
      <c r="U44" s="937" t="s">
        <v>7</v>
      </c>
      <c r="V44" s="976">
        <f>Table6268934567910111213[[#This Row],[Offer Value]]-Table6268934567910111213[[#This Row],[PO Value]]</f>
        <v>-2014</v>
      </c>
      <c r="W44" s="937" t="s">
        <v>4260</v>
      </c>
      <c r="X44" s="937"/>
      <c r="Y44" s="1447">
        <v>45715</v>
      </c>
      <c r="Z44" s="1544"/>
      <c r="AA44" s="3502"/>
    </row>
    <row r="45" spans="1:27" ht="28.8">
      <c r="A45" s="937"/>
      <c r="B45" s="938"/>
      <c r="C45" s="1007" t="s">
        <v>4045</v>
      </c>
      <c r="D45" s="944" t="s">
        <v>4046</v>
      </c>
      <c r="E45" s="945" t="s">
        <v>4177</v>
      </c>
      <c r="F45" s="1564" t="s">
        <v>4256</v>
      </c>
      <c r="G45" s="1442">
        <v>9911876413</v>
      </c>
      <c r="H45" s="1578" t="s">
        <v>4257</v>
      </c>
      <c r="I45" s="1442" t="s">
        <v>4263</v>
      </c>
      <c r="J45" s="944" t="s">
        <v>73</v>
      </c>
      <c r="K45" s="944" t="s">
        <v>138</v>
      </c>
      <c r="L45" s="1570" t="s">
        <v>4259</v>
      </c>
      <c r="M45" s="1579">
        <v>45454</v>
      </c>
      <c r="N45" s="937">
        <v>90000</v>
      </c>
      <c r="O45" s="937" t="s">
        <v>7</v>
      </c>
      <c r="P45" s="937" t="s">
        <v>7</v>
      </c>
      <c r="Q45" s="1321">
        <v>1</v>
      </c>
      <c r="R45" s="1573">
        <v>4340097826</v>
      </c>
      <c r="S45" s="949">
        <v>45665</v>
      </c>
      <c r="T45" s="937">
        <v>92014</v>
      </c>
      <c r="U45" s="937" t="s">
        <v>7</v>
      </c>
      <c r="V45" s="976">
        <f>Table6268934567910111213[[#This Row],[Offer Value]]-Table6268934567910111213[[#This Row],[PO Value]]</f>
        <v>-2014</v>
      </c>
      <c r="W45" s="937" t="s">
        <v>4260</v>
      </c>
      <c r="X45" s="937"/>
      <c r="Y45" s="1447">
        <v>45715</v>
      </c>
      <c r="Z45" s="1544"/>
      <c r="AA45" s="3502"/>
    </row>
    <row r="46" spans="1:27" ht="28.8">
      <c r="A46" s="937"/>
      <c r="B46" s="938"/>
      <c r="C46" s="1007" t="s">
        <v>4045</v>
      </c>
      <c r="D46" s="944" t="s">
        <v>4046</v>
      </c>
      <c r="E46" s="945" t="s">
        <v>4177</v>
      </c>
      <c r="F46" s="1564" t="s">
        <v>4256</v>
      </c>
      <c r="G46" s="1442">
        <v>9911876413</v>
      </c>
      <c r="H46" s="1578" t="s">
        <v>4257</v>
      </c>
      <c r="I46" s="1442" t="s">
        <v>4264</v>
      </c>
      <c r="J46" s="944" t="s">
        <v>73</v>
      </c>
      <c r="K46" s="944" t="s">
        <v>138</v>
      </c>
      <c r="L46" s="1570" t="s">
        <v>4259</v>
      </c>
      <c r="M46" s="1579">
        <v>45454</v>
      </c>
      <c r="N46" s="937">
        <v>90000</v>
      </c>
      <c r="O46" s="937" t="s">
        <v>7</v>
      </c>
      <c r="P46" s="937" t="s">
        <v>7</v>
      </c>
      <c r="Q46" s="1321">
        <v>1</v>
      </c>
      <c r="R46" s="1573">
        <v>4340097826</v>
      </c>
      <c r="S46" s="949">
        <v>45665</v>
      </c>
      <c r="T46" s="937">
        <v>92014</v>
      </c>
      <c r="U46" s="937" t="s">
        <v>7</v>
      </c>
      <c r="V46" s="976">
        <f>Table6268934567910111213[[#This Row],[Offer Value]]-Table6268934567910111213[[#This Row],[PO Value]]</f>
        <v>-2014</v>
      </c>
      <c r="W46" s="937" t="s">
        <v>4260</v>
      </c>
      <c r="X46" s="937"/>
      <c r="Y46" s="1447">
        <v>45715</v>
      </c>
      <c r="Z46" s="1544"/>
      <c r="AA46" s="3502"/>
    </row>
    <row r="47" spans="1:27" ht="28.8">
      <c r="A47" s="937"/>
      <c r="B47" s="938"/>
      <c r="C47" s="1007" t="s">
        <v>4045</v>
      </c>
      <c r="D47" s="944" t="s">
        <v>4046</v>
      </c>
      <c r="E47" s="945" t="s">
        <v>4177</v>
      </c>
      <c r="F47" s="1564" t="s">
        <v>4256</v>
      </c>
      <c r="G47" s="1442">
        <v>9911876413</v>
      </c>
      <c r="H47" s="1578" t="s">
        <v>4257</v>
      </c>
      <c r="I47" s="1442" t="s">
        <v>4265</v>
      </c>
      <c r="J47" s="944" t="s">
        <v>73</v>
      </c>
      <c r="K47" s="944" t="s">
        <v>138</v>
      </c>
      <c r="L47" s="1570" t="s">
        <v>4259</v>
      </c>
      <c r="M47" s="1579">
        <v>45454</v>
      </c>
      <c r="N47" s="937">
        <v>90000</v>
      </c>
      <c r="O47" s="937" t="s">
        <v>7</v>
      </c>
      <c r="P47" s="937" t="s">
        <v>7</v>
      </c>
      <c r="Q47" s="1321">
        <v>1</v>
      </c>
      <c r="R47" s="1573">
        <v>4340097826</v>
      </c>
      <c r="S47" s="949">
        <v>45665</v>
      </c>
      <c r="T47" s="937">
        <v>92014</v>
      </c>
      <c r="U47" s="937" t="s">
        <v>7</v>
      </c>
      <c r="V47" s="976">
        <f>Table6268934567910111213[[#This Row],[Offer Value]]-Table6268934567910111213[[#This Row],[PO Value]]</f>
        <v>-2014</v>
      </c>
      <c r="W47" s="937" t="s">
        <v>4260</v>
      </c>
      <c r="X47" s="951"/>
      <c r="Y47" s="1447">
        <v>45715</v>
      </c>
      <c r="Z47" s="1544"/>
      <c r="AA47" s="3502"/>
    </row>
    <row r="48" spans="1:27" ht="28.8">
      <c r="A48" s="937"/>
      <c r="B48" s="938"/>
      <c r="C48" s="1007" t="s">
        <v>4045</v>
      </c>
      <c r="D48" s="944" t="s">
        <v>4046</v>
      </c>
      <c r="E48" s="945" t="s">
        <v>4177</v>
      </c>
      <c r="F48" s="1564" t="s">
        <v>4256</v>
      </c>
      <c r="G48" s="1442">
        <v>9911876413</v>
      </c>
      <c r="H48" s="1578" t="s">
        <v>4257</v>
      </c>
      <c r="I48" s="1442" t="s">
        <v>4266</v>
      </c>
      <c r="J48" s="944" t="s">
        <v>73</v>
      </c>
      <c r="K48" s="944" t="s">
        <v>138</v>
      </c>
      <c r="L48" s="1570" t="s">
        <v>4259</v>
      </c>
      <c r="M48" s="1579">
        <v>45454</v>
      </c>
      <c r="N48" s="937">
        <v>90000</v>
      </c>
      <c r="O48" s="937" t="s">
        <v>7</v>
      </c>
      <c r="P48" s="937" t="s">
        <v>7</v>
      </c>
      <c r="Q48" s="1321">
        <v>1</v>
      </c>
      <c r="R48" s="1573">
        <v>4340097826</v>
      </c>
      <c r="S48" s="949">
        <v>45665</v>
      </c>
      <c r="T48" s="937">
        <v>92014</v>
      </c>
      <c r="U48" s="937" t="s">
        <v>7</v>
      </c>
      <c r="V48" s="976">
        <f>Table6268934567910111213[[#This Row],[Offer Value]]-Table6268934567910111213[[#This Row],[PO Value]]</f>
        <v>-2014</v>
      </c>
      <c r="W48" s="937" t="s">
        <v>4260</v>
      </c>
      <c r="X48" s="951"/>
      <c r="Y48" s="1447">
        <v>45715</v>
      </c>
      <c r="Z48" s="1544"/>
      <c r="AA48" s="3502"/>
    </row>
    <row r="49" spans="1:27" ht="28.8">
      <c r="A49" s="937"/>
      <c r="B49" s="938"/>
      <c r="C49" s="1007" t="s">
        <v>4045</v>
      </c>
      <c r="D49" s="944" t="s">
        <v>4046</v>
      </c>
      <c r="E49" s="945" t="s">
        <v>4177</v>
      </c>
      <c r="F49" s="1564" t="s">
        <v>4256</v>
      </c>
      <c r="G49" s="1442">
        <v>9911876413</v>
      </c>
      <c r="H49" s="1578" t="s">
        <v>4257</v>
      </c>
      <c r="I49" s="1442" t="s">
        <v>4267</v>
      </c>
      <c r="J49" s="944" t="s">
        <v>73</v>
      </c>
      <c r="K49" s="944" t="s">
        <v>138</v>
      </c>
      <c r="L49" s="1570" t="s">
        <v>4259</v>
      </c>
      <c r="M49" s="1579">
        <v>45454</v>
      </c>
      <c r="N49" s="937">
        <v>90000</v>
      </c>
      <c r="O49" s="937" t="s">
        <v>7</v>
      </c>
      <c r="P49" s="937" t="s">
        <v>7</v>
      </c>
      <c r="Q49" s="1321">
        <v>1</v>
      </c>
      <c r="R49" s="1573">
        <v>4340097826</v>
      </c>
      <c r="S49" s="949">
        <v>45665</v>
      </c>
      <c r="T49" s="937">
        <v>92014</v>
      </c>
      <c r="U49" s="937" t="s">
        <v>7</v>
      </c>
      <c r="V49" s="976">
        <f>Table6268934567910111213[[#This Row],[Offer Value]]-Table6268934567910111213[[#This Row],[PO Value]]</f>
        <v>-2014</v>
      </c>
      <c r="W49" s="937" t="s">
        <v>4260</v>
      </c>
      <c r="X49" s="937"/>
      <c r="Y49" s="1447">
        <v>45715</v>
      </c>
      <c r="Z49" s="1544"/>
      <c r="AA49" s="3503"/>
    </row>
    <row r="50" spans="1:27" ht="15.6">
      <c r="A50" s="937">
        <v>19</v>
      </c>
      <c r="B50" s="938">
        <v>45684</v>
      </c>
      <c r="C50" s="1449" t="s">
        <v>4006</v>
      </c>
      <c r="D50" s="1449" t="s">
        <v>4007</v>
      </c>
      <c r="E50" s="945" t="s">
        <v>4189</v>
      </c>
      <c r="F50" s="1564" t="s">
        <v>4268</v>
      </c>
      <c r="G50" s="1442">
        <v>9899010018</v>
      </c>
      <c r="H50" s="1564" t="s">
        <v>4269</v>
      </c>
      <c r="I50" s="1442" t="s">
        <v>4010</v>
      </c>
      <c r="J50" s="944" t="s">
        <v>73</v>
      </c>
      <c r="K50" s="944" t="s">
        <v>138</v>
      </c>
      <c r="L50" s="1570" t="s">
        <v>4270</v>
      </c>
      <c r="M50" s="1579">
        <v>45454</v>
      </c>
      <c r="N50" s="937">
        <v>120000</v>
      </c>
      <c r="O50" s="937" t="s">
        <v>7</v>
      </c>
      <c r="P50" s="937" t="s">
        <v>28</v>
      </c>
      <c r="Q50" s="1321">
        <v>1</v>
      </c>
      <c r="R50" s="1573">
        <v>3500120284</v>
      </c>
      <c r="S50" s="938">
        <v>45904</v>
      </c>
      <c r="T50" s="937">
        <v>120000</v>
      </c>
      <c r="U50" s="937" t="s">
        <v>28</v>
      </c>
      <c r="V50" s="976">
        <f>Table6268934567910111213[[#This Row],[Offer Value]]-Table6268934567910111213[[#This Row],[PO Value]]</f>
        <v>0</v>
      </c>
      <c r="W50" s="937" t="s">
        <v>4260</v>
      </c>
      <c r="X50" s="937"/>
      <c r="Y50" s="1505"/>
      <c r="Z50" s="7"/>
      <c r="AA50" s="7"/>
    </row>
    <row r="51" spans="1:27" ht="31.2">
      <c r="A51" s="937">
        <v>20</v>
      </c>
      <c r="B51" s="938">
        <v>45684</v>
      </c>
      <c r="C51" s="944" t="s">
        <v>4271</v>
      </c>
      <c r="D51" s="1449" t="s">
        <v>4272</v>
      </c>
      <c r="E51" s="945" t="s">
        <v>4177</v>
      </c>
      <c r="F51" s="1564" t="s">
        <v>4273</v>
      </c>
      <c r="G51" s="1442">
        <v>8195024422</v>
      </c>
      <c r="H51" s="1564" t="s">
        <v>4274</v>
      </c>
      <c r="I51" s="1442" t="s">
        <v>4275</v>
      </c>
      <c r="J51" s="944" t="s">
        <v>73</v>
      </c>
      <c r="K51" s="944" t="s">
        <v>138</v>
      </c>
      <c r="L51" s="1570" t="s">
        <v>4276</v>
      </c>
      <c r="M51" s="1580">
        <v>45456</v>
      </c>
      <c r="N51" s="937">
        <v>125000</v>
      </c>
      <c r="O51" s="937" t="s">
        <v>34</v>
      </c>
      <c r="P51" s="937" t="s">
        <v>18</v>
      </c>
      <c r="Q51" s="1321">
        <v>1</v>
      </c>
      <c r="R51" s="1573" t="s">
        <v>4277</v>
      </c>
      <c r="S51" s="938">
        <v>45566</v>
      </c>
      <c r="T51" s="937">
        <v>115200</v>
      </c>
      <c r="U51" s="937" t="s">
        <v>18</v>
      </c>
      <c r="V51" s="976">
        <v>0</v>
      </c>
      <c r="W51" s="937" t="s">
        <v>4260</v>
      </c>
      <c r="X51" s="937"/>
      <c r="Y51" s="1447">
        <v>45706</v>
      </c>
      <c r="Z51" s="1278"/>
      <c r="AA51" s="1278" t="s">
        <v>3928</v>
      </c>
    </row>
    <row r="52" spans="1:27" ht="15.6">
      <c r="A52" s="937">
        <v>21</v>
      </c>
      <c r="B52" s="938">
        <v>45684</v>
      </c>
      <c r="C52" s="944" t="s">
        <v>1064</v>
      </c>
      <c r="D52" s="1449" t="s">
        <v>3949</v>
      </c>
      <c r="E52" s="945" t="s">
        <v>4177</v>
      </c>
      <c r="F52" s="1564" t="s">
        <v>4278</v>
      </c>
      <c r="G52" s="1442">
        <v>9871005820</v>
      </c>
      <c r="H52" s="1581" t="s">
        <v>4076</v>
      </c>
      <c r="I52" s="1442" t="s">
        <v>4077</v>
      </c>
      <c r="J52" s="944" t="s">
        <v>73</v>
      </c>
      <c r="K52" s="944" t="s">
        <v>138</v>
      </c>
      <c r="L52" s="1570" t="s">
        <v>4279</v>
      </c>
      <c r="M52" s="1579">
        <v>45454</v>
      </c>
      <c r="N52" s="937">
        <v>140000</v>
      </c>
      <c r="O52" s="937" t="s">
        <v>7</v>
      </c>
      <c r="P52" s="937" t="s">
        <v>7</v>
      </c>
      <c r="Q52" s="1321">
        <v>1</v>
      </c>
      <c r="R52" s="1573">
        <v>1240051506</v>
      </c>
      <c r="S52" s="938">
        <v>45670</v>
      </c>
      <c r="T52" s="937">
        <v>72450</v>
      </c>
      <c r="U52" s="937" t="s">
        <v>7</v>
      </c>
      <c r="V52" s="976">
        <f>Table6268934567910111213[[#This Row],[Offer Value]]-Table6268934567910111213[[#This Row],[PO Value]]</f>
        <v>67550</v>
      </c>
      <c r="W52" s="937" t="s">
        <v>4260</v>
      </c>
      <c r="X52" s="937"/>
      <c r="Y52" s="1447">
        <v>45712</v>
      </c>
      <c r="Z52" s="1278"/>
      <c r="AA52" s="3501" t="s">
        <v>3928</v>
      </c>
    </row>
    <row r="53" spans="1:27" ht="15.6">
      <c r="A53" s="937"/>
      <c r="B53" s="938"/>
      <c r="C53" s="944" t="s">
        <v>1064</v>
      </c>
      <c r="D53" s="1449" t="s">
        <v>3949</v>
      </c>
      <c r="E53" s="945" t="s">
        <v>4177</v>
      </c>
      <c r="F53" s="1564" t="s">
        <v>4278</v>
      </c>
      <c r="G53" s="1442">
        <v>9871005820</v>
      </c>
      <c r="H53" s="1581" t="s">
        <v>4076</v>
      </c>
      <c r="I53" s="1442" t="s">
        <v>4280</v>
      </c>
      <c r="J53" s="944" t="s">
        <v>73</v>
      </c>
      <c r="K53" s="944" t="s">
        <v>138</v>
      </c>
      <c r="L53" s="1570" t="s">
        <v>4279</v>
      </c>
      <c r="M53" s="1579">
        <v>45454</v>
      </c>
      <c r="N53" s="937">
        <v>140000</v>
      </c>
      <c r="O53" s="937" t="s">
        <v>7</v>
      </c>
      <c r="P53" s="937" t="s">
        <v>7</v>
      </c>
      <c r="Q53" s="1321">
        <v>1</v>
      </c>
      <c r="R53" s="1573">
        <v>1240051506</v>
      </c>
      <c r="S53" s="938">
        <v>45670</v>
      </c>
      <c r="T53" s="937">
        <v>72450</v>
      </c>
      <c r="U53" s="937" t="s">
        <v>7</v>
      </c>
      <c r="V53" s="976">
        <f>Table6268934567910111213[[#This Row],[Offer Value]]-Table6268934567910111213[[#This Row],[PO Value]]</f>
        <v>67550</v>
      </c>
      <c r="W53" s="937" t="s">
        <v>4260</v>
      </c>
      <c r="X53" s="937"/>
      <c r="Y53" s="1447">
        <v>45712</v>
      </c>
      <c r="Z53" s="1278"/>
      <c r="AA53" s="3503"/>
    </row>
    <row r="54" spans="1:27" ht="31.2">
      <c r="A54" s="106">
        <v>22</v>
      </c>
      <c r="B54" s="301">
        <v>45691</v>
      </c>
      <c r="C54" s="178" t="s">
        <v>4235</v>
      </c>
      <c r="D54" s="178" t="s">
        <v>4236</v>
      </c>
      <c r="E54" s="181" t="s">
        <v>4177</v>
      </c>
      <c r="F54" s="872" t="s">
        <v>4238</v>
      </c>
      <c r="G54" s="858">
        <v>9936294447</v>
      </c>
      <c r="H54" s="872" t="s">
        <v>4239</v>
      </c>
      <c r="I54" s="858" t="s">
        <v>4240</v>
      </c>
      <c r="J54" s="178" t="s">
        <v>4281</v>
      </c>
      <c r="K54" s="115" t="s">
        <v>157</v>
      </c>
      <c r="L54" s="181" t="s">
        <v>4282</v>
      </c>
      <c r="M54" s="1335">
        <v>45685</v>
      </c>
      <c r="N54" s="180">
        <v>597898</v>
      </c>
      <c r="O54" s="106" t="s">
        <v>7</v>
      </c>
      <c r="P54" s="300" t="s">
        <v>45</v>
      </c>
      <c r="Q54" s="306">
        <v>0.5</v>
      </c>
      <c r="R54" s="867">
        <v>1011615305</v>
      </c>
      <c r="S54" s="315" t="s">
        <v>4283</v>
      </c>
      <c r="T54" s="300">
        <v>51920</v>
      </c>
      <c r="U54" s="300" t="str">
        <f>TEXT(Table6268934567910111213[[#This Row],[PO Date]], "mmmm")</f>
        <v>March</v>
      </c>
      <c r="V54" s="284">
        <f>Table6268934567910111213[[#This Row],[Offer Value]]-Table6268934567910111213[[#This Row],[PO Value]]</f>
        <v>545978</v>
      </c>
      <c r="W54" s="315" t="s">
        <v>4284</v>
      </c>
      <c r="X54" s="300"/>
      <c r="Y54" s="609">
        <v>45742</v>
      </c>
      <c r="Z54" s="7"/>
      <c r="AA54" s="1278" t="s">
        <v>3928</v>
      </c>
    </row>
    <row r="55" spans="1:27" ht="28.8">
      <c r="A55" s="937">
        <v>23</v>
      </c>
      <c r="B55" s="1582">
        <v>45691</v>
      </c>
      <c r="C55" s="1443" t="s">
        <v>4285</v>
      </c>
      <c r="D55" s="1443" t="s">
        <v>3910</v>
      </c>
      <c r="E55" s="945" t="s">
        <v>4189</v>
      </c>
      <c r="F55" s="1564" t="s">
        <v>4286</v>
      </c>
      <c r="G55" s="1442">
        <v>9650623330</v>
      </c>
      <c r="H55" s="1564" t="s">
        <v>4287</v>
      </c>
      <c r="I55" s="1442" t="s">
        <v>4288</v>
      </c>
      <c r="J55" s="1443" t="s">
        <v>73</v>
      </c>
      <c r="K55" s="1443" t="s">
        <v>639</v>
      </c>
      <c r="L55" s="945" t="s">
        <v>4289</v>
      </c>
      <c r="M55" s="1565">
        <v>45628</v>
      </c>
      <c r="N55" s="945">
        <v>70000</v>
      </c>
      <c r="O55" s="937" t="s">
        <v>7</v>
      </c>
      <c r="P55" s="1446" t="s">
        <v>34</v>
      </c>
      <c r="Q55" s="1566">
        <v>1</v>
      </c>
      <c r="R55" s="1573">
        <v>1100033763</v>
      </c>
      <c r="S55" s="2211">
        <v>45904</v>
      </c>
      <c r="T55" s="1446">
        <v>70000</v>
      </c>
      <c r="U55" s="1446" t="s">
        <v>35</v>
      </c>
      <c r="V55" s="284">
        <f>Table6268934567910111213[[#This Row],[Offer Value]]-Table6268934567910111213[[#This Row],[PO Value]]</f>
        <v>0</v>
      </c>
      <c r="W55" s="300"/>
      <c r="X55" s="300"/>
      <c r="Y55" s="610"/>
      <c r="Z55" s="7"/>
      <c r="AA55" s="7"/>
    </row>
    <row r="56" spans="1:27" ht="28.8">
      <c r="A56" s="937"/>
      <c r="B56" s="1582"/>
      <c r="C56" s="1443" t="s">
        <v>4285</v>
      </c>
      <c r="D56" s="1443" t="s">
        <v>3910</v>
      </c>
      <c r="E56" s="945" t="s">
        <v>4189</v>
      </c>
      <c r="F56" s="1564" t="s">
        <v>4286</v>
      </c>
      <c r="G56" s="1442">
        <v>9650623330</v>
      </c>
      <c r="H56" s="1564" t="s">
        <v>4287</v>
      </c>
      <c r="I56" s="1442" t="s">
        <v>4290</v>
      </c>
      <c r="J56" s="1443" t="s">
        <v>73</v>
      </c>
      <c r="K56" s="1443" t="s">
        <v>639</v>
      </c>
      <c r="L56" s="945" t="s">
        <v>4289</v>
      </c>
      <c r="M56" s="1565">
        <v>45628</v>
      </c>
      <c r="N56" s="945">
        <v>70000</v>
      </c>
      <c r="O56" s="937" t="s">
        <v>7</v>
      </c>
      <c r="P56" s="1446" t="s">
        <v>34</v>
      </c>
      <c r="Q56" s="1566">
        <v>1</v>
      </c>
      <c r="R56" s="1570">
        <v>1100033763</v>
      </c>
      <c r="S56" s="2212">
        <v>45904</v>
      </c>
      <c r="T56" s="1446">
        <v>70000</v>
      </c>
      <c r="U56" s="1446" t="s">
        <v>35</v>
      </c>
      <c r="V56" s="284">
        <f>Table6268934567910111213[[#This Row],[Offer Value]]-Table6268934567910111213[[#This Row],[PO Value]]</f>
        <v>0</v>
      </c>
      <c r="W56" s="300"/>
      <c r="X56" s="300"/>
      <c r="Y56" s="610"/>
      <c r="Z56" s="7"/>
      <c r="AA56" s="7"/>
    </row>
    <row r="57" spans="1:27" ht="25.35" customHeight="1">
      <c r="A57" s="937"/>
      <c r="B57" s="1582"/>
      <c r="C57" s="1443" t="s">
        <v>4285</v>
      </c>
      <c r="D57" s="1443" t="s">
        <v>3910</v>
      </c>
      <c r="E57" s="945" t="s">
        <v>4189</v>
      </c>
      <c r="F57" s="1564" t="s">
        <v>4286</v>
      </c>
      <c r="G57" s="1442">
        <v>9650623330</v>
      </c>
      <c r="H57" s="1564" t="s">
        <v>4287</v>
      </c>
      <c r="I57" s="1442" t="s">
        <v>4291</v>
      </c>
      <c r="J57" s="1443" t="s">
        <v>73</v>
      </c>
      <c r="K57" s="1443" t="s">
        <v>639</v>
      </c>
      <c r="L57" s="945" t="s">
        <v>4289</v>
      </c>
      <c r="M57" s="1565">
        <v>45628</v>
      </c>
      <c r="N57" s="945">
        <v>70000</v>
      </c>
      <c r="O57" s="937" t="s">
        <v>7</v>
      </c>
      <c r="P57" s="1446" t="s">
        <v>34</v>
      </c>
      <c r="Q57" s="1566">
        <v>1</v>
      </c>
      <c r="R57" s="1570">
        <v>1100033763</v>
      </c>
      <c r="S57" s="2212">
        <v>45904</v>
      </c>
      <c r="T57" s="1446">
        <v>70000</v>
      </c>
      <c r="U57" s="1446" t="s">
        <v>35</v>
      </c>
      <c r="V57" s="284">
        <f>Table6268934567910111213[[#This Row],[Offer Value]]-Table6268934567910111213[[#This Row],[PO Value]]</f>
        <v>0</v>
      </c>
      <c r="W57" s="300"/>
      <c r="X57" s="300"/>
      <c r="Y57" s="610"/>
      <c r="Z57" s="7"/>
      <c r="AA57" s="7"/>
    </row>
    <row r="58" spans="1:27" ht="28.8">
      <c r="A58" s="937"/>
      <c r="B58" s="1582"/>
      <c r="C58" s="1443" t="s">
        <v>4285</v>
      </c>
      <c r="D58" s="1443" t="s">
        <v>3910</v>
      </c>
      <c r="E58" s="945" t="s">
        <v>4189</v>
      </c>
      <c r="F58" s="1564" t="s">
        <v>4286</v>
      </c>
      <c r="G58" s="1442">
        <v>9650623330</v>
      </c>
      <c r="H58" s="1564" t="s">
        <v>4287</v>
      </c>
      <c r="I58" s="1442" t="s">
        <v>3920</v>
      </c>
      <c r="J58" s="1443" t="s">
        <v>73</v>
      </c>
      <c r="K58" s="1443" t="s">
        <v>639</v>
      </c>
      <c r="L58" s="945" t="s">
        <v>4289</v>
      </c>
      <c r="M58" s="1565">
        <v>45628</v>
      </c>
      <c r="N58" s="945">
        <v>70000</v>
      </c>
      <c r="O58" s="937" t="s">
        <v>7</v>
      </c>
      <c r="P58" s="1446" t="s">
        <v>34</v>
      </c>
      <c r="Q58" s="1566">
        <v>1</v>
      </c>
      <c r="R58" s="1570">
        <v>1100033763</v>
      </c>
      <c r="S58" s="2212">
        <v>45904</v>
      </c>
      <c r="T58" s="1446">
        <v>70000</v>
      </c>
      <c r="U58" s="1446" t="s">
        <v>35</v>
      </c>
      <c r="V58" s="284">
        <f>Table6268934567910111213[[#This Row],[Offer Value]]-Table6268934567910111213[[#This Row],[PO Value]]</f>
        <v>0</v>
      </c>
      <c r="W58" s="300"/>
      <c r="X58" s="300"/>
      <c r="Y58" s="610"/>
      <c r="Z58" s="7"/>
      <c r="AA58" s="7"/>
    </row>
    <row r="59" spans="1:27" ht="15.6">
      <c r="A59" s="937">
        <v>24</v>
      </c>
      <c r="B59" s="1582">
        <v>45691</v>
      </c>
      <c r="C59" s="1592" t="s">
        <v>614</v>
      </c>
      <c r="D59" s="1592" t="s">
        <v>3922</v>
      </c>
      <c r="E59" s="2290" t="s">
        <v>4168</v>
      </c>
      <c r="F59" s="2291" t="s">
        <v>4292</v>
      </c>
      <c r="G59" s="1442">
        <v>9718737555</v>
      </c>
      <c r="H59" s="1442" t="s">
        <v>3924</v>
      </c>
      <c r="I59" s="1442">
        <v>305000053</v>
      </c>
      <c r="J59" s="1592" t="s">
        <v>4281</v>
      </c>
      <c r="K59" s="1010" t="s">
        <v>157</v>
      </c>
      <c r="L59" s="945" t="s">
        <v>4293</v>
      </c>
      <c r="M59" s="2292">
        <v>45686</v>
      </c>
      <c r="N59" s="945">
        <v>958900</v>
      </c>
      <c r="O59" s="937" t="s">
        <v>7</v>
      </c>
      <c r="P59" s="1446" t="s">
        <v>35</v>
      </c>
      <c r="Q59" s="1566">
        <v>0.7</v>
      </c>
      <c r="R59" s="1784" t="s">
        <v>4294</v>
      </c>
      <c r="S59" s="1446" t="s">
        <v>4295</v>
      </c>
      <c r="T59" s="1446">
        <v>738219</v>
      </c>
      <c r="U59" s="1446" t="str">
        <f>TEXT(Table6268934567910111213[[#This Row],[PO Date]], "mmmm")</f>
        <v>March</v>
      </c>
      <c r="V59" s="976">
        <v>0</v>
      </c>
      <c r="W59" s="1446"/>
      <c r="X59" s="1446"/>
      <c r="Y59" s="1595">
        <v>45744</v>
      </c>
      <c r="Z59" s="7"/>
      <c r="AA59" s="7" t="s">
        <v>4296</v>
      </c>
    </row>
    <row r="60" spans="1:27" ht="28.8">
      <c r="A60" s="937">
        <v>25</v>
      </c>
      <c r="B60" s="1582">
        <v>45691</v>
      </c>
      <c r="C60" s="1443" t="s">
        <v>4285</v>
      </c>
      <c r="D60" s="1443" t="s">
        <v>3910</v>
      </c>
      <c r="E60" s="945" t="s">
        <v>4177</v>
      </c>
      <c r="F60" s="1564" t="s">
        <v>4297</v>
      </c>
      <c r="G60" s="1442">
        <v>9818778483</v>
      </c>
      <c r="H60" s="1564" t="s">
        <v>3919</v>
      </c>
      <c r="I60" s="943" t="s">
        <v>4288</v>
      </c>
      <c r="J60" s="1443" t="s">
        <v>4281</v>
      </c>
      <c r="K60" s="1007" t="s">
        <v>157</v>
      </c>
      <c r="L60" s="945" t="s">
        <v>4298</v>
      </c>
      <c r="M60" s="1565">
        <v>45686</v>
      </c>
      <c r="N60" s="945">
        <v>1059350</v>
      </c>
      <c r="O60" s="937" t="s">
        <v>7</v>
      </c>
      <c r="P60" s="1446" t="s">
        <v>35</v>
      </c>
      <c r="Q60" s="1566">
        <v>0.6</v>
      </c>
      <c r="R60" s="1573">
        <v>6500021226</v>
      </c>
      <c r="S60" s="1400" t="s">
        <v>4295</v>
      </c>
      <c r="T60" s="1446">
        <v>837250</v>
      </c>
      <c r="U60" s="1588" t="str">
        <f>TEXT(Table6268934567910111213[[#This Row],[PO Date]], "mmmm")</f>
        <v>March</v>
      </c>
      <c r="V60" s="1790">
        <v>0</v>
      </c>
      <c r="W60" s="1446"/>
      <c r="X60" s="1446"/>
      <c r="Y60" s="1589"/>
      <c r="Z60" s="7"/>
      <c r="AA60" s="7" t="s">
        <v>385</v>
      </c>
    </row>
    <row r="61" spans="1:27" ht="15.6">
      <c r="A61" s="106">
        <v>26</v>
      </c>
      <c r="B61" s="1582">
        <v>45691</v>
      </c>
      <c r="C61" s="1443" t="s">
        <v>4230</v>
      </c>
      <c r="D61" s="1443" t="s">
        <v>3944</v>
      </c>
      <c r="E61" s="945" t="s">
        <v>4177</v>
      </c>
      <c r="F61" s="1564" t="s">
        <v>4299</v>
      </c>
      <c r="G61" s="1442">
        <v>8168022312</v>
      </c>
      <c r="H61" s="1564" t="s">
        <v>4300</v>
      </c>
      <c r="I61" s="1568" t="s">
        <v>4233</v>
      </c>
      <c r="J61" s="1443" t="s">
        <v>4281</v>
      </c>
      <c r="K61" s="1007" t="s">
        <v>157</v>
      </c>
      <c r="L61" s="945" t="s">
        <v>4301</v>
      </c>
      <c r="M61" s="1565">
        <v>45686</v>
      </c>
      <c r="N61" s="945">
        <v>781108</v>
      </c>
      <c r="O61" s="937" t="s">
        <v>7</v>
      </c>
      <c r="P61" s="1446" t="s">
        <v>4302</v>
      </c>
      <c r="Q61" s="1566">
        <v>0.6</v>
      </c>
      <c r="R61" s="1573">
        <v>2300000031</v>
      </c>
      <c r="S61" s="1588" t="s">
        <v>4303</v>
      </c>
      <c r="T61" s="1446">
        <v>411943</v>
      </c>
      <c r="U61" s="1588" t="str">
        <f>TEXT(Table6268934567910111213[[#This Row],[PO Date]], "mmmm")</f>
        <v>June</v>
      </c>
      <c r="V61" s="1790">
        <v>0</v>
      </c>
      <c r="W61" s="1446"/>
      <c r="X61" s="1446"/>
      <c r="Y61" s="1589"/>
      <c r="Z61" s="7"/>
      <c r="AA61" s="7" t="s">
        <v>4304</v>
      </c>
    </row>
    <row r="62" spans="1:27" ht="28.8">
      <c r="A62" s="937">
        <v>27</v>
      </c>
      <c r="B62" s="1582">
        <v>45691</v>
      </c>
      <c r="C62" s="1443" t="s">
        <v>4285</v>
      </c>
      <c r="D62" s="1443" t="s">
        <v>3910</v>
      </c>
      <c r="E62" s="945" t="s">
        <v>4189</v>
      </c>
      <c r="F62" s="1564" t="s">
        <v>4305</v>
      </c>
      <c r="G62" s="1442" t="s">
        <v>1166</v>
      </c>
      <c r="H62" s="1581" t="s">
        <v>4306</v>
      </c>
      <c r="I62" s="1442" t="s">
        <v>4288</v>
      </c>
      <c r="J62" s="1443" t="s">
        <v>75</v>
      </c>
      <c r="K62" s="1007" t="s">
        <v>157</v>
      </c>
      <c r="L62" s="945" t="s">
        <v>4307</v>
      </c>
      <c r="M62" s="1565">
        <v>45686</v>
      </c>
      <c r="N62" s="945">
        <v>31445</v>
      </c>
      <c r="O62" s="937" t="s">
        <v>7</v>
      </c>
      <c r="P62" s="1446" t="s">
        <v>35</v>
      </c>
      <c r="Q62" s="1566">
        <v>1</v>
      </c>
      <c r="R62" s="1573">
        <v>6500020968</v>
      </c>
      <c r="S62" s="978" t="s">
        <v>4308</v>
      </c>
      <c r="T62" s="1446">
        <v>31086</v>
      </c>
      <c r="U62" s="1588" t="s">
        <v>4309</v>
      </c>
      <c r="V62" s="976">
        <v>0</v>
      </c>
      <c r="W62" s="1446"/>
      <c r="X62" s="1446"/>
      <c r="Y62" s="1584"/>
      <c r="Z62" s="7"/>
      <c r="AA62" s="7"/>
    </row>
    <row r="63" spans="1:27" ht="15.6">
      <c r="A63" s="106">
        <v>28</v>
      </c>
      <c r="B63" s="301">
        <v>45691</v>
      </c>
      <c r="C63" s="178" t="s">
        <v>4119</v>
      </c>
      <c r="D63" s="178" t="s">
        <v>3949</v>
      </c>
      <c r="E63" s="181" t="s">
        <v>4177</v>
      </c>
      <c r="F63" s="872" t="s">
        <v>4310</v>
      </c>
      <c r="G63" s="858" t="s">
        <v>1166</v>
      </c>
      <c r="H63" s="872" t="s">
        <v>4311</v>
      </c>
      <c r="I63" s="858" t="s">
        <v>4312</v>
      </c>
      <c r="J63" s="178" t="s">
        <v>4281</v>
      </c>
      <c r="K63" s="115" t="s">
        <v>157</v>
      </c>
      <c r="L63" s="181" t="s">
        <v>4313</v>
      </c>
      <c r="M63" s="1335">
        <v>45686</v>
      </c>
      <c r="N63" s="181">
        <v>1158984</v>
      </c>
      <c r="O63" s="106" t="s">
        <v>7</v>
      </c>
      <c r="P63" s="300" t="s">
        <v>39</v>
      </c>
      <c r="Q63" s="306">
        <v>0.6</v>
      </c>
      <c r="R63" s="608"/>
      <c r="S63" s="315"/>
      <c r="T63" s="300"/>
      <c r="U63" s="315" t="str">
        <f>TEXT(Table6268934567910111213[[#This Row],[PO Date]], "mmmm")</f>
        <v>January</v>
      </c>
      <c r="V63" s="284">
        <f>Table6268934567910111213[[#This Row],[Offer Value]]-Table6268934567910111213[[#This Row],[PO Value]]</f>
        <v>1158984</v>
      </c>
      <c r="W63" s="300"/>
      <c r="X63" s="300" t="s">
        <v>4314</v>
      </c>
      <c r="Y63" s="609"/>
      <c r="Z63" s="7" t="s">
        <v>157</v>
      </c>
      <c r="AA63" s="7"/>
    </row>
    <row r="64" spans="1:27" ht="28.8">
      <c r="A64" s="937">
        <v>29</v>
      </c>
      <c r="B64" s="1582">
        <v>45691</v>
      </c>
      <c r="C64" s="1443" t="s">
        <v>4315</v>
      </c>
      <c r="D64" s="1441" t="s">
        <v>3910</v>
      </c>
      <c r="E64" s="945" t="s">
        <v>4177</v>
      </c>
      <c r="F64" s="1564" t="s">
        <v>4316</v>
      </c>
      <c r="G64" s="1442">
        <v>8447739242</v>
      </c>
      <c r="H64" s="1564" t="s">
        <v>4317</v>
      </c>
      <c r="I64" s="975" t="s">
        <v>4318</v>
      </c>
      <c r="J64" s="1443" t="s">
        <v>75</v>
      </c>
      <c r="K64" s="1007" t="s">
        <v>157</v>
      </c>
      <c r="L64" s="945" t="s">
        <v>4319</v>
      </c>
      <c r="M64" s="1565">
        <v>45633</v>
      </c>
      <c r="N64" s="945">
        <v>231000</v>
      </c>
      <c r="O64" s="937" t="s">
        <v>7</v>
      </c>
      <c r="P64" s="1446" t="s">
        <v>7</v>
      </c>
      <c r="Q64" s="1566">
        <v>1</v>
      </c>
      <c r="R64" s="1573" t="s">
        <v>4320</v>
      </c>
      <c r="S64" s="1583">
        <v>45717</v>
      </c>
      <c r="T64" s="1446">
        <v>224070</v>
      </c>
      <c r="U64" s="1446" t="s">
        <v>7</v>
      </c>
      <c r="V64" s="976">
        <v>0</v>
      </c>
      <c r="W64" s="1446"/>
      <c r="X64" s="1446"/>
      <c r="Y64" s="1584">
        <v>45705</v>
      </c>
      <c r="Z64" s="1278"/>
      <c r="AA64" s="1278" t="s">
        <v>3928</v>
      </c>
    </row>
    <row r="65" spans="1:27" ht="15.6">
      <c r="A65" s="937">
        <v>30</v>
      </c>
      <c r="B65" s="1582">
        <v>45694</v>
      </c>
      <c r="C65" s="1443" t="s">
        <v>1064</v>
      </c>
      <c r="D65" s="1441" t="s">
        <v>3949</v>
      </c>
      <c r="E65" s="978" t="s">
        <v>4177</v>
      </c>
      <c r="F65" s="1568" t="s">
        <v>4321</v>
      </c>
      <c r="G65" s="1568">
        <v>9871005820</v>
      </c>
      <c r="H65" s="1568" t="s">
        <v>4076</v>
      </c>
      <c r="I65" s="1568" t="s">
        <v>4280</v>
      </c>
      <c r="J65" s="1568" t="s">
        <v>4281</v>
      </c>
      <c r="K65" s="1568" t="s">
        <v>157</v>
      </c>
      <c r="L65" s="1568" t="s">
        <v>4322</v>
      </c>
      <c r="M65" s="1590">
        <v>45692</v>
      </c>
      <c r="N65" s="1446">
        <v>779003</v>
      </c>
      <c r="O65" s="937" t="s">
        <v>18</v>
      </c>
      <c r="P65" s="1446" t="s">
        <v>34</v>
      </c>
      <c r="Q65" s="1566">
        <v>0.5</v>
      </c>
      <c r="R65" s="1573">
        <v>1240060166</v>
      </c>
      <c r="S65" s="1588" t="s">
        <v>4323</v>
      </c>
      <c r="T65" s="1446">
        <v>688000</v>
      </c>
      <c r="U65" s="1446" t="str">
        <f>TEXT(Table6268934567910111213[[#This Row],[PO Date]], "mmmm")</f>
        <v>February</v>
      </c>
      <c r="V65" s="976">
        <v>0</v>
      </c>
      <c r="W65" s="1446"/>
      <c r="X65" s="1446"/>
      <c r="Y65" s="1584">
        <v>45744</v>
      </c>
      <c r="Z65" s="7"/>
      <c r="AA65" s="1278" t="s">
        <v>3928</v>
      </c>
    </row>
    <row r="66" spans="1:27" ht="15.6">
      <c r="A66" s="106">
        <v>31</v>
      </c>
      <c r="B66" s="301"/>
      <c r="C66" s="178" t="s">
        <v>1064</v>
      </c>
      <c r="D66" s="178" t="s">
        <v>4324</v>
      </c>
      <c r="E66" s="181" t="s">
        <v>4177</v>
      </c>
      <c r="F66" s="858" t="s">
        <v>4182</v>
      </c>
      <c r="G66" s="858">
        <v>9997534222</v>
      </c>
      <c r="H66" s="858" t="s">
        <v>4055</v>
      </c>
      <c r="I66" s="858" t="s">
        <v>4056</v>
      </c>
      <c r="J66" s="858" t="s">
        <v>4281</v>
      </c>
      <c r="K66" s="858" t="s">
        <v>157</v>
      </c>
      <c r="L66" s="858" t="s">
        <v>4325</v>
      </c>
      <c r="M66" s="1336">
        <v>45692</v>
      </c>
      <c r="N66" s="300">
        <v>528176</v>
      </c>
      <c r="O66" s="300" t="s">
        <v>18</v>
      </c>
      <c r="P66" s="300" t="s">
        <v>4326</v>
      </c>
      <c r="Q66" s="306">
        <v>0.5</v>
      </c>
      <c r="R66" s="608"/>
      <c r="S66" s="320"/>
      <c r="T66" s="300"/>
      <c r="U66" s="315" t="str">
        <f>TEXT(Table6268934567910111213[[#This Row],[PO Date]], "mmmm")</f>
        <v>January</v>
      </c>
      <c r="V66" s="1563">
        <f>Table6268934567910111213[[#This Row],[Offer Value]]-Table6268934567910111213[[#This Row],[PO Value]]</f>
        <v>528176</v>
      </c>
      <c r="W66" s="300"/>
      <c r="X66" s="300"/>
      <c r="Y66" s="610"/>
      <c r="Z66" s="7" t="s">
        <v>208</v>
      </c>
      <c r="AA66" s="7"/>
    </row>
    <row r="67" spans="1:27" ht="31.2">
      <c r="A67" s="106">
        <v>32</v>
      </c>
      <c r="B67" s="301">
        <v>45694</v>
      </c>
      <c r="C67" s="178" t="s">
        <v>4247</v>
      </c>
      <c r="D67" s="178" t="s">
        <v>3922</v>
      </c>
      <c r="E67" s="180" t="s">
        <v>4168</v>
      </c>
      <c r="F67" s="859" t="s">
        <v>4321</v>
      </c>
      <c r="G67" s="859">
        <v>9910046492</v>
      </c>
      <c r="H67" s="859" t="s">
        <v>4327</v>
      </c>
      <c r="I67" s="859" t="s">
        <v>4255</v>
      </c>
      <c r="J67" s="859" t="s">
        <v>75</v>
      </c>
      <c r="K67" s="871" t="s">
        <v>685</v>
      </c>
      <c r="L67" s="871" t="s">
        <v>4328</v>
      </c>
      <c r="M67" s="1336">
        <v>45692</v>
      </c>
      <c r="N67" s="300">
        <v>1258250</v>
      </c>
      <c r="O67" s="300" t="s">
        <v>18</v>
      </c>
      <c r="P67" s="300" t="s">
        <v>4326</v>
      </c>
      <c r="Q67" s="306">
        <v>0.5</v>
      </c>
      <c r="R67" s="608"/>
      <c r="S67" s="320"/>
      <c r="T67" s="300"/>
      <c r="U67" s="315" t="str">
        <f>TEXT(Table6268934567910111213[[#This Row],[PO Date]], "mmmm")</f>
        <v>January</v>
      </c>
      <c r="V67" s="1563">
        <f>Table6268934567910111213[[#This Row],[Offer Value]]-Table6268934567910111213[[#This Row],[PO Value]]</f>
        <v>1258250</v>
      </c>
      <c r="W67" s="300"/>
      <c r="X67" s="300"/>
      <c r="Y67" s="610"/>
      <c r="Z67" s="7" t="s">
        <v>157</v>
      </c>
      <c r="AA67" s="7"/>
    </row>
    <row r="68" spans="1:27" ht="15.6">
      <c r="A68" s="937">
        <v>34</v>
      </c>
      <c r="B68" s="1582">
        <v>45700</v>
      </c>
      <c r="C68" s="1443" t="s">
        <v>4329</v>
      </c>
      <c r="D68" s="1443" t="s">
        <v>4330</v>
      </c>
      <c r="E68" s="945" t="s">
        <v>4177</v>
      </c>
      <c r="F68" s="1564" t="s">
        <v>4331</v>
      </c>
      <c r="G68" s="1442" t="s">
        <v>4332</v>
      </c>
      <c r="H68" s="1442" t="s">
        <v>4333</v>
      </c>
      <c r="I68" s="1442" t="s">
        <v>4082</v>
      </c>
      <c r="J68" s="1443" t="s">
        <v>73</v>
      </c>
      <c r="K68" s="1443" t="s">
        <v>639</v>
      </c>
      <c r="L68" s="945" t="s">
        <v>4334</v>
      </c>
      <c r="M68" s="1590">
        <v>45699</v>
      </c>
      <c r="N68" s="1446">
        <v>65000</v>
      </c>
      <c r="O68" s="1446" t="s">
        <v>18</v>
      </c>
      <c r="P68" s="1446" t="s">
        <v>35</v>
      </c>
      <c r="Q68" s="1566">
        <v>1</v>
      </c>
      <c r="R68" s="1591">
        <v>511687739281076</v>
      </c>
      <c r="S68" s="1568" t="s">
        <v>4335</v>
      </c>
      <c r="T68" s="1446">
        <v>50819</v>
      </c>
      <c r="U68" s="1588" t="s">
        <v>4336</v>
      </c>
      <c r="V68" s="976">
        <v>0</v>
      </c>
      <c r="W68" s="1446"/>
      <c r="X68" s="1446"/>
      <c r="Y68" s="1589"/>
      <c r="Z68" s="257"/>
      <c r="AA68" s="7"/>
    </row>
    <row r="69" spans="1:27" ht="15.6">
      <c r="A69" s="937"/>
      <c r="B69" s="1582"/>
      <c r="C69" s="1443" t="s">
        <v>4329</v>
      </c>
      <c r="D69" s="1443" t="s">
        <v>4330</v>
      </c>
      <c r="E69" s="945" t="s">
        <v>4177</v>
      </c>
      <c r="F69" s="1564" t="s">
        <v>4331</v>
      </c>
      <c r="G69" s="1442" t="s">
        <v>4332</v>
      </c>
      <c r="H69" s="1442" t="s">
        <v>4333</v>
      </c>
      <c r="I69" s="1442" t="s">
        <v>4337</v>
      </c>
      <c r="J69" s="1443" t="s">
        <v>73</v>
      </c>
      <c r="K69" s="1443" t="s">
        <v>639</v>
      </c>
      <c r="L69" s="945" t="s">
        <v>4334</v>
      </c>
      <c r="M69" s="1590">
        <v>45699</v>
      </c>
      <c r="N69" s="1446">
        <v>65000</v>
      </c>
      <c r="O69" s="1446" t="s">
        <v>18</v>
      </c>
      <c r="P69" s="1446" t="s">
        <v>35</v>
      </c>
      <c r="Q69" s="1566">
        <v>1</v>
      </c>
      <c r="R69" s="1591">
        <v>511687739281076</v>
      </c>
      <c r="S69" s="1442" t="s">
        <v>4335</v>
      </c>
      <c r="T69" s="1446">
        <v>50819</v>
      </c>
      <c r="U69" s="1588" t="s">
        <v>4336</v>
      </c>
      <c r="V69" s="976">
        <v>0</v>
      </c>
      <c r="W69" s="1446"/>
      <c r="X69" s="1446"/>
      <c r="Y69" s="1589"/>
      <c r="Z69" s="45"/>
      <c r="AA69" s="7"/>
    </row>
    <row r="70" spans="1:27" ht="15.6">
      <c r="A70" s="937"/>
      <c r="B70" s="1582"/>
      <c r="C70" s="1443" t="s">
        <v>4329</v>
      </c>
      <c r="D70" s="1443" t="s">
        <v>4330</v>
      </c>
      <c r="E70" s="945" t="s">
        <v>4177</v>
      </c>
      <c r="F70" s="1564" t="s">
        <v>4331</v>
      </c>
      <c r="G70" s="1442" t="s">
        <v>4332</v>
      </c>
      <c r="H70" s="1442" t="s">
        <v>4333</v>
      </c>
      <c r="I70" s="1442" t="s">
        <v>4338</v>
      </c>
      <c r="J70" s="1443" t="s">
        <v>73</v>
      </c>
      <c r="K70" s="1443" t="s">
        <v>639</v>
      </c>
      <c r="L70" s="945" t="s">
        <v>4334</v>
      </c>
      <c r="M70" s="1590">
        <v>45699</v>
      </c>
      <c r="N70" s="1446">
        <v>65000</v>
      </c>
      <c r="O70" s="1446" t="s">
        <v>18</v>
      </c>
      <c r="P70" s="1446" t="s">
        <v>35</v>
      </c>
      <c r="Q70" s="1566">
        <v>1</v>
      </c>
      <c r="R70" s="1591">
        <v>511687739281076</v>
      </c>
      <c r="S70" s="1442" t="s">
        <v>4335</v>
      </c>
      <c r="T70" s="1446">
        <v>50819</v>
      </c>
      <c r="U70" s="1588" t="s">
        <v>4336</v>
      </c>
      <c r="V70" s="976">
        <v>0</v>
      </c>
      <c r="W70" s="1446"/>
      <c r="X70" s="1446"/>
      <c r="Y70" s="1589"/>
      <c r="Z70" s="45"/>
      <c r="AA70" s="7"/>
    </row>
    <row r="71" spans="1:27" ht="28.8">
      <c r="A71" s="937">
        <v>36</v>
      </c>
      <c r="B71" s="1582">
        <v>45700</v>
      </c>
      <c r="C71" s="1592" t="s">
        <v>4339</v>
      </c>
      <c r="D71" s="1592" t="s">
        <v>4340</v>
      </c>
      <c r="E71" s="945" t="s">
        <v>4177</v>
      </c>
      <c r="F71" s="1564" t="s">
        <v>4341</v>
      </c>
      <c r="G71" s="1442">
        <v>9411456411</v>
      </c>
      <c r="H71" s="1442" t="s">
        <v>4342</v>
      </c>
      <c r="I71" s="1442" t="s">
        <v>4343</v>
      </c>
      <c r="J71" s="1443" t="s">
        <v>4281</v>
      </c>
      <c r="K71" s="1574" t="s">
        <v>685</v>
      </c>
      <c r="L71" s="945" t="s">
        <v>4344</v>
      </c>
      <c r="M71" s="1590">
        <v>45700</v>
      </c>
      <c r="N71" s="1446">
        <v>728598</v>
      </c>
      <c r="O71" s="1446" t="s">
        <v>18</v>
      </c>
      <c r="P71" s="1446" t="s">
        <v>30</v>
      </c>
      <c r="Q71" s="1566">
        <v>0.3</v>
      </c>
      <c r="R71" s="1573">
        <v>4700381227</v>
      </c>
      <c r="S71" s="1582">
        <v>45710</v>
      </c>
      <c r="T71" s="1446">
        <v>692170</v>
      </c>
      <c r="U71" s="1446" t="str">
        <f>TEXT(Table6268934567910111213[[#This Row],[PO Date]], "mmmm")</f>
        <v>February</v>
      </c>
      <c r="V71" s="1790">
        <v>0</v>
      </c>
      <c r="W71" s="1446"/>
      <c r="X71" s="1446"/>
      <c r="Y71" s="1589"/>
      <c r="Z71" s="45" t="s">
        <v>157</v>
      </c>
      <c r="AA71" s="2239" t="s">
        <v>4304</v>
      </c>
    </row>
    <row r="72" spans="1:27" ht="15.6">
      <c r="A72" s="106">
        <v>37</v>
      </c>
      <c r="B72" s="1582">
        <v>45712</v>
      </c>
      <c r="C72" s="1592" t="s">
        <v>4315</v>
      </c>
      <c r="D72" s="1592" t="s">
        <v>3910</v>
      </c>
      <c r="E72" s="978" t="s">
        <v>4177</v>
      </c>
      <c r="F72" s="1568" t="s">
        <v>4316</v>
      </c>
      <c r="G72" s="1568">
        <v>8447739242</v>
      </c>
      <c r="H72" s="1568" t="s">
        <v>4317</v>
      </c>
      <c r="I72" s="2594" t="s">
        <v>4318</v>
      </c>
      <c r="J72" s="1443" t="s">
        <v>4281</v>
      </c>
      <c r="K72" s="1574" t="s">
        <v>685</v>
      </c>
      <c r="L72" s="1573" t="s">
        <v>4345</v>
      </c>
      <c r="M72" s="1590">
        <v>45706</v>
      </c>
      <c r="N72" s="1446">
        <v>1428000</v>
      </c>
      <c r="O72" s="1446" t="s">
        <v>18</v>
      </c>
      <c r="P72" s="1446" t="s">
        <v>44</v>
      </c>
      <c r="Q72" s="1566">
        <v>0.5</v>
      </c>
      <c r="R72" s="1573" t="s">
        <v>4346</v>
      </c>
      <c r="S72" s="1582">
        <v>45945</v>
      </c>
      <c r="T72" s="1446">
        <v>470278</v>
      </c>
      <c r="U72" s="1446" t="str">
        <f>TEXT(Table6268934567910111213[[#This Row],[PO Date]], "mmmm")</f>
        <v>October</v>
      </c>
      <c r="V72" s="1790">
        <v>0</v>
      </c>
      <c r="W72" s="1446"/>
      <c r="X72" s="1446"/>
      <c r="Y72" s="1589"/>
      <c r="Z72" s="45" t="s">
        <v>157</v>
      </c>
      <c r="AA72" s="2239"/>
    </row>
    <row r="73" spans="1:27" ht="15.6">
      <c r="A73" s="106"/>
      <c r="B73" s="301"/>
      <c r="C73" s="304" t="s">
        <v>4315</v>
      </c>
      <c r="D73" s="304" t="s">
        <v>3910</v>
      </c>
      <c r="E73" s="181" t="s">
        <v>4177</v>
      </c>
      <c r="F73" s="858" t="s">
        <v>4316</v>
      </c>
      <c r="G73" s="858">
        <v>8447739242</v>
      </c>
      <c r="H73" s="858" t="s">
        <v>4317</v>
      </c>
      <c r="I73" s="858" t="s">
        <v>4347</v>
      </c>
      <c r="J73" s="178" t="s">
        <v>4281</v>
      </c>
      <c r="K73" s="871" t="s">
        <v>685</v>
      </c>
      <c r="L73" s="868" t="s">
        <v>4345</v>
      </c>
      <c r="M73" s="1336">
        <v>45706</v>
      </c>
      <c r="N73" s="300">
        <v>1483871</v>
      </c>
      <c r="O73" s="300" t="s">
        <v>18</v>
      </c>
      <c r="P73" s="300" t="s">
        <v>44</v>
      </c>
      <c r="Q73" s="306">
        <v>0.5</v>
      </c>
      <c r="R73" s="302"/>
      <c r="S73" s="301"/>
      <c r="T73" s="300"/>
      <c r="U73" s="300" t="str">
        <f>TEXT(Table6268934567910111213[[#This Row],[PO Date]], "mmmm")</f>
        <v>January</v>
      </c>
      <c r="V73" s="284">
        <f>Table6268934567910111213[[#This Row],[Offer Value]]-Table6268934567910111213[[#This Row],[PO Value]]</f>
        <v>1483871</v>
      </c>
      <c r="W73" s="300"/>
      <c r="X73" s="300"/>
      <c r="Y73" s="610"/>
      <c r="Z73" s="45" t="s">
        <v>157</v>
      </c>
      <c r="AA73" s="2239"/>
    </row>
    <row r="74" spans="1:27" ht="28.8">
      <c r="A74" s="937">
        <v>38</v>
      </c>
      <c r="B74" s="1582">
        <v>45712</v>
      </c>
      <c r="C74" s="1592" t="s">
        <v>4348</v>
      </c>
      <c r="D74" s="1592" t="s">
        <v>3922</v>
      </c>
      <c r="E74" s="978" t="s">
        <v>4220</v>
      </c>
      <c r="F74" s="1574" t="s">
        <v>4221</v>
      </c>
      <c r="G74" s="1568">
        <v>9717006504</v>
      </c>
      <c r="H74" s="1585" t="s">
        <v>4222</v>
      </c>
      <c r="I74" s="1568" t="s">
        <v>4226</v>
      </c>
      <c r="J74" s="1443" t="s">
        <v>4281</v>
      </c>
      <c r="K74" s="1574" t="s">
        <v>685</v>
      </c>
      <c r="L74" s="1570" t="s">
        <v>4349</v>
      </c>
      <c r="M74" s="1565">
        <v>45639</v>
      </c>
      <c r="N74" s="1446">
        <v>569220</v>
      </c>
      <c r="O74" s="1446" t="s">
        <v>7</v>
      </c>
      <c r="P74" s="1446" t="s">
        <v>44</v>
      </c>
      <c r="Q74" s="1566">
        <v>0.8</v>
      </c>
      <c r="R74" s="1573" t="s">
        <v>4350</v>
      </c>
      <c r="S74" s="1582">
        <v>45944</v>
      </c>
      <c r="T74" s="1446">
        <v>337916</v>
      </c>
      <c r="U74" s="1446" t="str">
        <f>TEXT(Table6268934567910111213[[#This Row],[PO Date]], "mmmm")</f>
        <v>October</v>
      </c>
      <c r="V74" s="1790">
        <v>0</v>
      </c>
      <c r="W74" s="1446"/>
      <c r="X74" s="1446"/>
      <c r="Y74" s="1788"/>
      <c r="Z74" s="1853" t="s">
        <v>157</v>
      </c>
      <c r="AA74" s="2492"/>
    </row>
    <row r="75" spans="1:27" ht="31.2">
      <c r="A75" s="106">
        <v>39</v>
      </c>
      <c r="B75" s="301">
        <v>45737</v>
      </c>
      <c r="C75" s="115" t="s">
        <v>1743</v>
      </c>
      <c r="D75" s="178" t="s">
        <v>4161</v>
      </c>
      <c r="E75" s="178" t="s">
        <v>4177</v>
      </c>
      <c r="F75" s="180" t="s">
        <v>4184</v>
      </c>
      <c r="G75" s="859">
        <v>8003992912</v>
      </c>
      <c r="H75" s="859" t="s">
        <v>4163</v>
      </c>
      <c r="I75" s="859" t="s">
        <v>4164</v>
      </c>
      <c r="J75" s="178" t="s">
        <v>4281</v>
      </c>
      <c r="K75" s="178" t="s">
        <v>685</v>
      </c>
      <c r="L75" s="180" t="s">
        <v>4351</v>
      </c>
      <c r="M75" s="1335">
        <v>45729</v>
      </c>
      <c r="N75" s="300">
        <v>480000</v>
      </c>
      <c r="O75" s="300" t="s">
        <v>4336</v>
      </c>
      <c r="P75" s="300" t="s">
        <v>4326</v>
      </c>
      <c r="Q75" s="306">
        <v>0.4</v>
      </c>
      <c r="R75" s="302"/>
      <c r="S75" s="300"/>
      <c r="T75" s="300"/>
      <c r="U75" s="300" t="str">
        <f>TEXT(Table6268934567910111213[[#This Row],[PO Date]], "mmmm")</f>
        <v>January</v>
      </c>
      <c r="V75" s="1563">
        <f>Table6268934567910111213[[#This Row],[Offer Value]]-Table6268934567910111213[[#This Row],[PO Value]]</f>
        <v>480000</v>
      </c>
      <c r="W75" s="300"/>
      <c r="X75" s="300"/>
      <c r="Y75" s="611"/>
      <c r="Z75" s="45" t="s">
        <v>157</v>
      </c>
      <c r="AA75" s="2239"/>
    </row>
    <row r="76" spans="1:27" ht="31.2">
      <c r="A76" s="106"/>
      <c r="B76" s="301"/>
      <c r="C76" s="115" t="s">
        <v>1743</v>
      </c>
      <c r="D76" s="304" t="s">
        <v>4161</v>
      </c>
      <c r="E76" s="178" t="s">
        <v>4177</v>
      </c>
      <c r="F76" s="181" t="s">
        <v>4184</v>
      </c>
      <c r="G76" s="858">
        <v>8003992912</v>
      </c>
      <c r="H76" s="858" t="s">
        <v>4163</v>
      </c>
      <c r="I76" s="858" t="s">
        <v>4188</v>
      </c>
      <c r="J76" s="178" t="s">
        <v>4281</v>
      </c>
      <c r="K76" s="178" t="s">
        <v>685</v>
      </c>
      <c r="L76" s="180" t="s">
        <v>4351</v>
      </c>
      <c r="M76" s="1335">
        <v>45729</v>
      </c>
      <c r="N76" s="300">
        <v>480000</v>
      </c>
      <c r="O76" s="300" t="s">
        <v>4336</v>
      </c>
      <c r="P76" s="300" t="s">
        <v>4326</v>
      </c>
      <c r="Q76" s="306">
        <v>0.4</v>
      </c>
      <c r="R76" s="302"/>
      <c r="S76" s="300"/>
      <c r="T76" s="300"/>
      <c r="U76" s="300" t="str">
        <f>TEXT(Table6268934567910111213[[#This Row],[PO Date]], "mmmm")</f>
        <v>January</v>
      </c>
      <c r="V76" s="284">
        <f>Table6268934567910111213[[#This Row],[Offer Value]]-Table6268934567910111213[[#This Row],[PO Value]]</f>
        <v>480000</v>
      </c>
      <c r="W76" s="300"/>
      <c r="X76" s="300"/>
      <c r="Y76" s="611"/>
      <c r="Z76" s="45" t="s">
        <v>157</v>
      </c>
      <c r="AA76" s="7"/>
    </row>
    <row r="77" spans="1:27" ht="31.2">
      <c r="A77" s="106">
        <v>40</v>
      </c>
      <c r="B77" s="1582">
        <v>45750</v>
      </c>
      <c r="C77" s="1443" t="s">
        <v>4352</v>
      </c>
      <c r="D77" s="1592" t="s">
        <v>4353</v>
      </c>
      <c r="E77" s="1443" t="s">
        <v>4168</v>
      </c>
      <c r="F77" s="1568" t="s">
        <v>4354</v>
      </c>
      <c r="G77" s="1568">
        <v>7838367907</v>
      </c>
      <c r="H77" s="1585" t="s">
        <v>4355</v>
      </c>
      <c r="I77" s="1568" t="s">
        <v>4356</v>
      </c>
      <c r="J77" s="1443" t="s">
        <v>4185</v>
      </c>
      <c r="K77" s="1443" t="s">
        <v>639</v>
      </c>
      <c r="L77" s="978" t="s">
        <v>4357</v>
      </c>
      <c r="M77" s="978" t="s">
        <v>4358</v>
      </c>
      <c r="N77" s="1446">
        <v>182000</v>
      </c>
      <c r="O77" s="1446" t="s">
        <v>4336</v>
      </c>
      <c r="P77" s="1446" t="s">
        <v>42</v>
      </c>
      <c r="Q77" s="1566">
        <v>1</v>
      </c>
      <c r="R77" s="1573">
        <v>440000458</v>
      </c>
      <c r="S77" s="1446" t="s">
        <v>4359</v>
      </c>
      <c r="T77" s="1446">
        <v>81000</v>
      </c>
      <c r="U77" s="1446" t="s">
        <v>4302</v>
      </c>
      <c r="V77" s="976">
        <v>0</v>
      </c>
      <c r="W77" s="1446"/>
      <c r="X77" s="1446"/>
      <c r="Y77" s="1788"/>
      <c r="Z77" s="45"/>
      <c r="AA77" s="7"/>
    </row>
    <row r="78" spans="1:27" ht="31.2">
      <c r="A78" s="106"/>
      <c r="B78" s="1850"/>
      <c r="C78" s="1443" t="s">
        <v>4352</v>
      </c>
      <c r="D78" s="1592" t="s">
        <v>4353</v>
      </c>
      <c r="E78" s="1851" t="s">
        <v>4168</v>
      </c>
      <c r="F78" s="1852" t="s">
        <v>4354</v>
      </c>
      <c r="G78" s="1442">
        <v>7838367907</v>
      </c>
      <c r="H78" s="1576" t="s">
        <v>4355</v>
      </c>
      <c r="I78" s="1442" t="s">
        <v>4360</v>
      </c>
      <c r="J78" s="1443" t="s">
        <v>4185</v>
      </c>
      <c r="K78" s="1443" t="s">
        <v>639</v>
      </c>
      <c r="L78" s="978" t="s">
        <v>4357</v>
      </c>
      <c r="M78" s="978" t="s">
        <v>4358</v>
      </c>
      <c r="N78" s="1446">
        <v>182000</v>
      </c>
      <c r="O78" s="1446" t="s">
        <v>4336</v>
      </c>
      <c r="P78" s="1446" t="s">
        <v>42</v>
      </c>
      <c r="Q78" s="1566">
        <v>1</v>
      </c>
      <c r="R78" s="1573">
        <v>440000458</v>
      </c>
      <c r="S78" s="1446" t="s">
        <v>4359</v>
      </c>
      <c r="T78" s="1446">
        <v>81000</v>
      </c>
      <c r="U78" s="1446" t="s">
        <v>4302</v>
      </c>
      <c r="V78" s="976">
        <v>0</v>
      </c>
      <c r="W78" s="1446"/>
      <c r="X78" s="1446"/>
      <c r="Y78" s="1788"/>
      <c r="Z78" s="45"/>
      <c r="AA78" s="7"/>
    </row>
    <row r="79" spans="1:27" ht="31.2">
      <c r="A79" s="200"/>
      <c r="B79" s="1399"/>
      <c r="C79" s="1443" t="s">
        <v>4352</v>
      </c>
      <c r="D79" s="1592" t="s">
        <v>4353</v>
      </c>
      <c r="E79" s="940" t="s">
        <v>4168</v>
      </c>
      <c r="F79" s="941" t="s">
        <v>4354</v>
      </c>
      <c r="G79" s="1442">
        <v>7838367907</v>
      </c>
      <c r="H79" s="1576" t="s">
        <v>4355</v>
      </c>
      <c r="I79" s="1442" t="s">
        <v>4361</v>
      </c>
      <c r="J79" s="1443" t="s">
        <v>4185</v>
      </c>
      <c r="K79" s="1443" t="s">
        <v>639</v>
      </c>
      <c r="L79" s="978" t="s">
        <v>4357</v>
      </c>
      <c r="M79" s="978" t="s">
        <v>4358</v>
      </c>
      <c r="N79" s="1446">
        <v>182000</v>
      </c>
      <c r="O79" s="1446" t="s">
        <v>4336</v>
      </c>
      <c r="P79" s="1446" t="s">
        <v>42</v>
      </c>
      <c r="Q79" s="1566">
        <v>1</v>
      </c>
      <c r="R79" s="1573">
        <v>440000458</v>
      </c>
      <c r="S79" s="1446" t="s">
        <v>4359</v>
      </c>
      <c r="T79" s="1446">
        <v>81000</v>
      </c>
      <c r="U79" s="1446" t="s">
        <v>4302</v>
      </c>
      <c r="V79" s="976">
        <v>0</v>
      </c>
      <c r="W79" s="1446"/>
      <c r="X79" s="1446"/>
      <c r="Y79" s="1788"/>
      <c r="Z79" s="45"/>
      <c r="AA79" s="7"/>
    </row>
    <row r="80" spans="1:27" ht="31.2">
      <c r="A80" s="200">
        <v>41</v>
      </c>
      <c r="B80" s="801" t="s">
        <v>4362</v>
      </c>
      <c r="C80" s="1681" t="s">
        <v>4045</v>
      </c>
      <c r="D80" s="856" t="s">
        <v>4353</v>
      </c>
      <c r="E80" s="856" t="s">
        <v>4168</v>
      </c>
      <c r="F80" s="856" t="s">
        <v>4363</v>
      </c>
      <c r="G80" s="859">
        <v>9718939898</v>
      </c>
      <c r="H80" s="865" t="s">
        <v>4364</v>
      </c>
      <c r="I80" s="1509" t="s">
        <v>4261</v>
      </c>
      <c r="J80" s="178" t="s">
        <v>4365</v>
      </c>
      <c r="K80" s="178" t="s">
        <v>685</v>
      </c>
      <c r="L80" s="180" t="s">
        <v>4366</v>
      </c>
      <c r="M80" s="2213">
        <v>45751</v>
      </c>
      <c r="N80" s="300">
        <v>330000</v>
      </c>
      <c r="O80" s="300" t="s">
        <v>4309</v>
      </c>
      <c r="P80" s="300" t="s">
        <v>44</v>
      </c>
      <c r="Q80" s="306">
        <v>0.7</v>
      </c>
      <c r="R80" s="302"/>
      <c r="S80" s="301"/>
      <c r="T80" s="300"/>
      <c r="U80" s="300"/>
      <c r="V80" s="284">
        <f>Table6268934567910111213[[#This Row],[Offer Value]]-Table6268934567910111213[[#This Row],[PO Value]]</f>
        <v>330000</v>
      </c>
      <c r="W80" s="300"/>
      <c r="X80" s="300"/>
      <c r="Y80" s="612"/>
      <c r="Z80" s="45"/>
      <c r="AA80" s="3492"/>
    </row>
    <row r="81" spans="1:27" ht="31.2">
      <c r="A81" s="200"/>
      <c r="B81" s="801"/>
      <c r="C81" s="1681" t="s">
        <v>4045</v>
      </c>
      <c r="D81" s="856" t="s">
        <v>4353</v>
      </c>
      <c r="E81" s="856" t="s">
        <v>4168</v>
      </c>
      <c r="F81" s="856" t="s">
        <v>4363</v>
      </c>
      <c r="G81" s="858">
        <v>9718939898</v>
      </c>
      <c r="H81" s="866" t="s">
        <v>4364</v>
      </c>
      <c r="I81" s="1510" t="s">
        <v>4262</v>
      </c>
      <c r="J81" s="178" t="s">
        <v>4365</v>
      </c>
      <c r="K81" s="178" t="s">
        <v>685</v>
      </c>
      <c r="L81" s="181" t="s">
        <v>4366</v>
      </c>
      <c r="M81" s="2214">
        <v>45751</v>
      </c>
      <c r="N81" s="300">
        <v>330000</v>
      </c>
      <c r="O81" s="300" t="s">
        <v>4309</v>
      </c>
      <c r="P81" s="300" t="s">
        <v>44</v>
      </c>
      <c r="Q81" s="306">
        <v>0.7</v>
      </c>
      <c r="R81" s="302"/>
      <c r="S81" s="300"/>
      <c r="T81" s="300"/>
      <c r="U81" s="300"/>
      <c r="V81" s="284">
        <f>Table6268934567910111213[[#This Row],[Offer Value]]-Table6268934567910111213[[#This Row],[PO Value]]</f>
        <v>330000</v>
      </c>
      <c r="W81" s="300"/>
      <c r="X81" s="300"/>
      <c r="Y81" s="611"/>
      <c r="Z81" s="45"/>
      <c r="AA81" s="3492"/>
    </row>
    <row r="82" spans="1:27" ht="31.2">
      <c r="A82" s="200"/>
      <c r="B82" s="803"/>
      <c r="C82" s="1681" t="s">
        <v>4045</v>
      </c>
      <c r="D82" s="856" t="s">
        <v>4353</v>
      </c>
      <c r="E82" s="856" t="s">
        <v>4168</v>
      </c>
      <c r="F82" s="856" t="s">
        <v>4363</v>
      </c>
      <c r="G82" s="858">
        <v>9718939898</v>
      </c>
      <c r="H82" s="866" t="s">
        <v>4364</v>
      </c>
      <c r="I82" s="1510" t="s">
        <v>4263</v>
      </c>
      <c r="J82" s="178" t="s">
        <v>4365</v>
      </c>
      <c r="K82" s="178" t="s">
        <v>685</v>
      </c>
      <c r="L82" s="181" t="s">
        <v>4366</v>
      </c>
      <c r="M82" s="2214">
        <v>45751</v>
      </c>
      <c r="N82" s="300">
        <v>330000</v>
      </c>
      <c r="O82" s="300" t="s">
        <v>4309</v>
      </c>
      <c r="P82" s="300" t="s">
        <v>44</v>
      </c>
      <c r="Q82" s="306">
        <v>0.7</v>
      </c>
      <c r="R82" s="302"/>
      <c r="S82" s="301"/>
      <c r="T82" s="300"/>
      <c r="U82" s="300"/>
      <c r="V82" s="284">
        <f>Table6268934567910111213[[#This Row],[Offer Value]]-Table6268934567910111213[[#This Row],[PO Value]]</f>
        <v>330000</v>
      </c>
      <c r="W82" s="300"/>
      <c r="X82" s="300"/>
      <c r="Y82" s="612"/>
      <c r="Z82" s="45"/>
      <c r="AA82" s="3492"/>
    </row>
    <row r="83" spans="1:27" ht="31.2">
      <c r="A83" s="200"/>
      <c r="B83" s="803"/>
      <c r="C83" s="1681" t="s">
        <v>4045</v>
      </c>
      <c r="D83" s="856" t="s">
        <v>4353</v>
      </c>
      <c r="E83" s="856" t="s">
        <v>4168</v>
      </c>
      <c r="F83" s="856" t="s">
        <v>4363</v>
      </c>
      <c r="G83" s="858">
        <v>9718939898</v>
      </c>
      <c r="H83" s="866" t="s">
        <v>4364</v>
      </c>
      <c r="I83" s="1510" t="s">
        <v>4264</v>
      </c>
      <c r="J83" s="178" t="s">
        <v>4365</v>
      </c>
      <c r="K83" s="178" t="s">
        <v>685</v>
      </c>
      <c r="L83" s="181" t="s">
        <v>4366</v>
      </c>
      <c r="M83" s="2214">
        <v>45751</v>
      </c>
      <c r="N83" s="300">
        <v>330000</v>
      </c>
      <c r="O83" s="300" t="s">
        <v>4309</v>
      </c>
      <c r="P83" s="300" t="s">
        <v>44</v>
      </c>
      <c r="Q83" s="306">
        <v>0.7</v>
      </c>
      <c r="R83" s="302"/>
      <c r="S83" s="301"/>
      <c r="T83" s="300"/>
      <c r="U83" s="300"/>
      <c r="V83" s="284">
        <f>Table6268934567910111213[[#This Row],[Offer Value]]-Table6268934567910111213[[#This Row],[PO Value]]</f>
        <v>330000</v>
      </c>
      <c r="W83" s="300"/>
      <c r="X83" s="300"/>
      <c r="Y83" s="611"/>
      <c r="Z83" s="45"/>
      <c r="AA83" s="3492"/>
    </row>
    <row r="84" spans="1:27" ht="15.6" customHeight="1">
      <c r="A84" s="200"/>
      <c r="B84" s="801"/>
      <c r="C84" s="1681" t="s">
        <v>4045</v>
      </c>
      <c r="D84" s="856" t="s">
        <v>4353</v>
      </c>
      <c r="E84" s="856" t="s">
        <v>4168</v>
      </c>
      <c r="F84" s="856" t="s">
        <v>4363</v>
      </c>
      <c r="G84" s="858">
        <v>9718939898</v>
      </c>
      <c r="H84" s="866" t="s">
        <v>4364</v>
      </c>
      <c r="I84" s="1510" t="s">
        <v>4265</v>
      </c>
      <c r="J84" s="178" t="s">
        <v>4365</v>
      </c>
      <c r="K84" s="178" t="s">
        <v>685</v>
      </c>
      <c r="L84" s="181" t="s">
        <v>4366</v>
      </c>
      <c r="M84" s="2214">
        <v>45751</v>
      </c>
      <c r="N84" s="300">
        <v>330000</v>
      </c>
      <c r="O84" s="300" t="s">
        <v>4309</v>
      </c>
      <c r="P84" s="300" t="s">
        <v>44</v>
      </c>
      <c r="Q84" s="306">
        <v>0.7</v>
      </c>
      <c r="R84" s="302"/>
      <c r="S84" s="301"/>
      <c r="T84" s="300"/>
      <c r="U84" s="300"/>
      <c r="V84" s="284">
        <f>Table6268934567910111213[[#This Row],[Offer Value]]-Table6268934567910111213[[#This Row],[PO Value]]</f>
        <v>330000</v>
      </c>
      <c r="W84" s="300"/>
      <c r="X84" s="300"/>
      <c r="Y84" s="611"/>
      <c r="Z84" s="45"/>
      <c r="AA84" s="3497"/>
    </row>
    <row r="85" spans="1:27" ht="15.6" customHeight="1">
      <c r="A85" s="200"/>
      <c r="B85" s="801"/>
      <c r="C85" s="1681" t="s">
        <v>4045</v>
      </c>
      <c r="D85" s="856" t="s">
        <v>4353</v>
      </c>
      <c r="E85" s="856" t="s">
        <v>4168</v>
      </c>
      <c r="F85" s="856" t="s">
        <v>4363</v>
      </c>
      <c r="G85" s="858">
        <v>9718939898</v>
      </c>
      <c r="H85" s="866" t="s">
        <v>4364</v>
      </c>
      <c r="I85" s="1510" t="s">
        <v>4266</v>
      </c>
      <c r="J85" s="178" t="s">
        <v>4365</v>
      </c>
      <c r="K85" s="178" t="s">
        <v>685</v>
      </c>
      <c r="L85" s="181" t="s">
        <v>4366</v>
      </c>
      <c r="M85" s="2214">
        <v>45751</v>
      </c>
      <c r="N85" s="300">
        <v>330000</v>
      </c>
      <c r="O85" s="300" t="s">
        <v>4309</v>
      </c>
      <c r="P85" s="300" t="s">
        <v>44</v>
      </c>
      <c r="Q85" s="306">
        <v>0.7</v>
      </c>
      <c r="R85" s="302"/>
      <c r="S85" s="301"/>
      <c r="T85" s="300"/>
      <c r="U85" s="300"/>
      <c r="V85" s="284">
        <f>Table6268934567910111213[[#This Row],[Offer Value]]-Table6268934567910111213[[#This Row],[PO Value]]</f>
        <v>330000</v>
      </c>
      <c r="W85" s="300"/>
      <c r="X85" s="300"/>
      <c r="Y85" s="611"/>
      <c r="Z85" s="45"/>
      <c r="AA85" s="3498"/>
    </row>
    <row r="86" spans="1:27" ht="15.6" customHeight="1">
      <c r="A86" s="200"/>
      <c r="B86" s="801"/>
      <c r="C86" s="1681" t="s">
        <v>4045</v>
      </c>
      <c r="D86" s="856" t="s">
        <v>4353</v>
      </c>
      <c r="E86" s="856" t="s">
        <v>4168</v>
      </c>
      <c r="F86" s="856" t="s">
        <v>4363</v>
      </c>
      <c r="G86" s="858">
        <v>9718939898</v>
      </c>
      <c r="H86" s="866" t="s">
        <v>4364</v>
      </c>
      <c r="I86" s="1510" t="s">
        <v>4367</v>
      </c>
      <c r="J86" s="178" t="s">
        <v>4365</v>
      </c>
      <c r="K86" s="178" t="s">
        <v>685</v>
      </c>
      <c r="L86" s="181" t="s">
        <v>4366</v>
      </c>
      <c r="M86" s="2214">
        <v>45751</v>
      </c>
      <c r="N86" s="300">
        <v>330000</v>
      </c>
      <c r="O86" s="300" t="s">
        <v>4309</v>
      </c>
      <c r="P86" s="300" t="s">
        <v>44</v>
      </c>
      <c r="Q86" s="306">
        <v>0.7</v>
      </c>
      <c r="R86" s="302"/>
      <c r="S86" s="301"/>
      <c r="T86" s="300"/>
      <c r="U86" s="300"/>
      <c r="V86" s="284">
        <f>Table6268934567910111213[[#This Row],[Offer Value]]-Table6268934567910111213[[#This Row],[PO Value]]</f>
        <v>330000</v>
      </c>
      <c r="W86" s="300"/>
      <c r="X86" s="300"/>
      <c r="Y86" s="611"/>
      <c r="Z86" s="45"/>
      <c r="AA86" s="3498"/>
    </row>
    <row r="87" spans="1:27" ht="15.6" customHeight="1">
      <c r="A87" s="200">
        <v>42</v>
      </c>
      <c r="B87" s="1399" t="s">
        <v>4368</v>
      </c>
      <c r="C87" s="941" t="s">
        <v>4369</v>
      </c>
      <c r="D87" s="941" t="s">
        <v>4370</v>
      </c>
      <c r="E87" s="941" t="s">
        <v>4177</v>
      </c>
      <c r="F87" s="941" t="s">
        <v>4371</v>
      </c>
      <c r="G87" s="1568">
        <v>8449955577</v>
      </c>
      <c r="H87" s="1568" t="s">
        <v>4018</v>
      </c>
      <c r="I87" s="1568" t="s">
        <v>4019</v>
      </c>
      <c r="J87" s="1443" t="s">
        <v>73</v>
      </c>
      <c r="K87" s="1443" t="s">
        <v>639</v>
      </c>
      <c r="L87" s="945" t="s">
        <v>4372</v>
      </c>
      <c r="M87" s="2215">
        <v>45904</v>
      </c>
      <c r="N87" s="1446">
        <v>95000</v>
      </c>
      <c r="O87" s="1446" t="s">
        <v>4309</v>
      </c>
      <c r="P87" s="1446" t="s">
        <v>44</v>
      </c>
      <c r="Q87" s="1566">
        <v>1</v>
      </c>
      <c r="R87" s="1573">
        <v>2700033067</v>
      </c>
      <c r="S87" s="1582">
        <v>45848</v>
      </c>
      <c r="T87" s="1446">
        <v>80000</v>
      </c>
      <c r="U87" s="1446" t="s">
        <v>42</v>
      </c>
      <c r="V87" s="976">
        <v>0</v>
      </c>
      <c r="W87" s="1446"/>
      <c r="X87" s="1446"/>
      <c r="Y87" s="1788"/>
      <c r="Z87" s="1853"/>
      <c r="AA87" s="3498"/>
    </row>
    <row r="88" spans="1:27" ht="15.6" customHeight="1">
      <c r="A88" s="200"/>
      <c r="B88" s="1399"/>
      <c r="C88" s="941" t="s">
        <v>4369</v>
      </c>
      <c r="D88" s="941" t="s">
        <v>4370</v>
      </c>
      <c r="E88" s="941" t="s">
        <v>4177</v>
      </c>
      <c r="F88" s="941" t="s">
        <v>4371</v>
      </c>
      <c r="G88" s="1442">
        <v>8449955577</v>
      </c>
      <c r="H88" s="1442" t="s">
        <v>4018</v>
      </c>
      <c r="I88" s="1442" t="s">
        <v>4373</v>
      </c>
      <c r="J88" s="1443" t="s">
        <v>73</v>
      </c>
      <c r="K88" s="1443" t="s">
        <v>639</v>
      </c>
      <c r="L88" s="945" t="s">
        <v>4372</v>
      </c>
      <c r="M88" s="2215">
        <v>45904</v>
      </c>
      <c r="N88" s="1446">
        <v>95000</v>
      </c>
      <c r="O88" s="1446" t="s">
        <v>4309</v>
      </c>
      <c r="P88" s="1446" t="s">
        <v>44</v>
      </c>
      <c r="Q88" s="1566">
        <v>1</v>
      </c>
      <c r="R88" s="1573">
        <v>2700033067</v>
      </c>
      <c r="S88" s="1582">
        <v>45848</v>
      </c>
      <c r="T88" s="1446">
        <v>80000</v>
      </c>
      <c r="U88" s="1446" t="s">
        <v>42</v>
      </c>
      <c r="V88" s="976">
        <v>0</v>
      </c>
      <c r="W88" s="1446"/>
      <c r="X88" s="1446"/>
      <c r="Y88" s="1788"/>
      <c r="Z88" s="1853"/>
      <c r="AA88" s="3499"/>
    </row>
    <row r="89" spans="1:27" ht="15.6" customHeight="1">
      <c r="A89" s="200">
        <v>43</v>
      </c>
      <c r="B89" s="1399" t="s">
        <v>4368</v>
      </c>
      <c r="C89" s="941" t="s">
        <v>4374</v>
      </c>
      <c r="D89" s="941" t="s">
        <v>4375</v>
      </c>
      <c r="E89" s="941" t="s">
        <v>4177</v>
      </c>
      <c r="F89" s="941" t="s">
        <v>4376</v>
      </c>
      <c r="G89" s="1442">
        <v>9871553546</v>
      </c>
      <c r="H89" s="1442" t="s">
        <v>3961</v>
      </c>
      <c r="I89" s="1442" t="s">
        <v>4014</v>
      </c>
      <c r="J89" s="1443" t="s">
        <v>73</v>
      </c>
      <c r="K89" s="1443" t="s">
        <v>639</v>
      </c>
      <c r="L89" s="945" t="s">
        <v>4377</v>
      </c>
      <c r="M89" s="2215">
        <v>45904</v>
      </c>
      <c r="N89" s="1446">
        <v>98000</v>
      </c>
      <c r="O89" s="1446" t="s">
        <v>4309</v>
      </c>
      <c r="P89" s="1446" t="s">
        <v>44</v>
      </c>
      <c r="Q89" s="1566">
        <v>1</v>
      </c>
      <c r="R89" s="1573">
        <v>901971263</v>
      </c>
      <c r="S89" s="1582">
        <v>45856</v>
      </c>
      <c r="T89" s="1446">
        <v>98000</v>
      </c>
      <c r="U89" s="1446" t="s">
        <v>42</v>
      </c>
      <c r="V89" s="976">
        <f>Table6268934567910111213[[#This Row],[Offer Value]]-Table6268934567910111213[[#This Row],[PO Value]]</f>
        <v>0</v>
      </c>
      <c r="W89" s="1446"/>
      <c r="X89" s="1446"/>
      <c r="Y89" s="1595"/>
      <c r="Z89" s="1853"/>
      <c r="AA89" s="7"/>
    </row>
    <row r="90" spans="1:27" ht="15.6" customHeight="1">
      <c r="A90" s="200"/>
      <c r="B90" s="1399"/>
      <c r="C90" s="941" t="s">
        <v>4374</v>
      </c>
      <c r="D90" s="941" t="s">
        <v>4375</v>
      </c>
      <c r="E90" s="941" t="s">
        <v>4177</v>
      </c>
      <c r="F90" s="941" t="s">
        <v>4376</v>
      </c>
      <c r="G90" s="1442">
        <v>9871553546</v>
      </c>
      <c r="H90" s="1442" t="s">
        <v>3961</v>
      </c>
      <c r="I90" s="1442" t="s">
        <v>3962</v>
      </c>
      <c r="J90" s="1443" t="s">
        <v>73</v>
      </c>
      <c r="K90" s="1443" t="s">
        <v>639</v>
      </c>
      <c r="L90" s="945" t="s">
        <v>4377</v>
      </c>
      <c r="M90" s="2215">
        <v>45904</v>
      </c>
      <c r="N90" s="1446">
        <v>98000</v>
      </c>
      <c r="O90" s="1446" t="s">
        <v>4309</v>
      </c>
      <c r="P90" s="1446" t="s">
        <v>44</v>
      </c>
      <c r="Q90" s="1566">
        <v>1</v>
      </c>
      <c r="R90" s="1570">
        <v>901971263</v>
      </c>
      <c r="S90" s="1582">
        <v>45856</v>
      </c>
      <c r="T90" s="1446">
        <v>98000</v>
      </c>
      <c r="U90" s="1446" t="s">
        <v>42</v>
      </c>
      <c r="V90" s="976">
        <f>Table6268934567910111213[[#This Row],[Offer Value]]-Table6268934567910111213[[#This Row],[PO Value]]</f>
        <v>0</v>
      </c>
      <c r="W90" s="1446"/>
      <c r="X90" s="1446"/>
      <c r="Y90" s="1595"/>
      <c r="Z90" s="1853"/>
      <c r="AA90" s="3492"/>
    </row>
    <row r="91" spans="1:27" ht="15.6" customHeight="1">
      <c r="A91" s="200">
        <v>44</v>
      </c>
      <c r="B91" s="1399"/>
      <c r="C91" s="941" t="s">
        <v>4374</v>
      </c>
      <c r="D91" s="941" t="s">
        <v>4375</v>
      </c>
      <c r="E91" s="941" t="s">
        <v>4177</v>
      </c>
      <c r="F91" s="941" t="s">
        <v>4378</v>
      </c>
      <c r="G91" s="1442">
        <v>9466881418</v>
      </c>
      <c r="H91" s="943" t="s">
        <v>4379</v>
      </c>
      <c r="I91" s="945" t="s">
        <v>3980</v>
      </c>
      <c r="J91" s="1443" t="s">
        <v>73</v>
      </c>
      <c r="K91" s="1443" t="s">
        <v>639</v>
      </c>
      <c r="L91" s="945" t="s">
        <v>4380</v>
      </c>
      <c r="M91" s="2215">
        <v>45904</v>
      </c>
      <c r="N91" s="1446">
        <v>98000</v>
      </c>
      <c r="O91" s="1446" t="s">
        <v>4309</v>
      </c>
      <c r="P91" s="1446" t="s">
        <v>44</v>
      </c>
      <c r="Q91" s="1566">
        <v>1</v>
      </c>
      <c r="R91" s="1570">
        <v>901968953</v>
      </c>
      <c r="S91" s="1582">
        <v>45804</v>
      </c>
      <c r="T91" s="1446">
        <v>98000</v>
      </c>
      <c r="U91" s="1446" t="s">
        <v>4302</v>
      </c>
      <c r="V91" s="976">
        <f>Table6268934567910111213[[#This Row],[Offer Value]]-Table6268934567910111213[[#This Row],[PO Value]]</f>
        <v>0</v>
      </c>
      <c r="W91" s="1446"/>
      <c r="X91" s="1446"/>
      <c r="Y91" s="1595"/>
      <c r="Z91" s="1853"/>
      <c r="AA91" s="3492"/>
    </row>
    <row r="92" spans="1:27" ht="30.9" customHeight="1">
      <c r="A92" s="200">
        <v>46</v>
      </c>
      <c r="B92" s="801" t="s">
        <v>4368</v>
      </c>
      <c r="C92" s="856" t="s">
        <v>4348</v>
      </c>
      <c r="D92" s="856" t="s">
        <v>4381</v>
      </c>
      <c r="E92" s="856" t="s">
        <v>4207</v>
      </c>
      <c r="F92" s="856" t="s">
        <v>4382</v>
      </c>
      <c r="G92" s="858">
        <v>9721856460</v>
      </c>
      <c r="H92" s="858" t="s">
        <v>4383</v>
      </c>
      <c r="I92" s="858" t="s">
        <v>4384</v>
      </c>
      <c r="J92" s="115" t="s">
        <v>83</v>
      </c>
      <c r="K92" s="178" t="s">
        <v>685</v>
      </c>
      <c r="L92" s="181" t="s">
        <v>4385</v>
      </c>
      <c r="M92" s="181" t="s">
        <v>4386</v>
      </c>
      <c r="N92" s="180">
        <v>480320</v>
      </c>
      <c r="O92" s="300" t="s">
        <v>4309</v>
      </c>
      <c r="P92" s="300" t="s">
        <v>47</v>
      </c>
      <c r="Q92" s="306">
        <v>0.4</v>
      </c>
      <c r="R92" s="302"/>
      <c r="S92" s="301"/>
      <c r="T92" s="300"/>
      <c r="U92" s="300" t="str">
        <f>TEXT(Table6268934567910111213[[#This Row],[PO Date]], "mmmm")</f>
        <v>January</v>
      </c>
      <c r="V92" s="284">
        <f>Table6268934567910111213[[#This Row],[Offer Value]]-Table6268934567910111213[[#This Row],[PO Value]]</f>
        <v>480320</v>
      </c>
      <c r="W92" s="300"/>
      <c r="X92" s="300"/>
      <c r="Y92" s="612"/>
      <c r="Z92" s="45" t="s">
        <v>157</v>
      </c>
      <c r="AA92" s="7"/>
    </row>
    <row r="93" spans="1:27" ht="30.9" customHeight="1">
      <c r="A93" s="200"/>
      <c r="B93" s="801"/>
      <c r="C93" s="856" t="s">
        <v>4348</v>
      </c>
      <c r="D93" s="856" t="s">
        <v>4381</v>
      </c>
      <c r="E93" s="856" t="s">
        <v>4207</v>
      </c>
      <c r="F93" s="856" t="s">
        <v>4382</v>
      </c>
      <c r="G93" s="858">
        <v>9721856460</v>
      </c>
      <c r="H93" s="858" t="s">
        <v>4383</v>
      </c>
      <c r="I93" s="858" t="s">
        <v>4387</v>
      </c>
      <c r="J93" s="115" t="s">
        <v>83</v>
      </c>
      <c r="K93" s="178" t="s">
        <v>685</v>
      </c>
      <c r="L93" s="181" t="s">
        <v>4385</v>
      </c>
      <c r="M93" s="181" t="s">
        <v>4386</v>
      </c>
      <c r="N93" s="181">
        <v>387392</v>
      </c>
      <c r="O93" s="300" t="s">
        <v>4309</v>
      </c>
      <c r="P93" s="300" t="s">
        <v>47</v>
      </c>
      <c r="Q93" s="306">
        <v>0.4</v>
      </c>
      <c r="R93" s="302"/>
      <c r="S93" s="301"/>
      <c r="T93" s="300"/>
      <c r="U93" s="300"/>
      <c r="V93" s="284">
        <f>Table6268934567910111213[[#This Row],[Offer Value]]-Table6268934567910111213[[#This Row],[PO Value]]</f>
        <v>387392</v>
      </c>
      <c r="W93" s="300"/>
      <c r="X93" s="300"/>
      <c r="Y93" s="612"/>
      <c r="Z93" s="45"/>
      <c r="AA93" s="7"/>
    </row>
    <row r="94" spans="1:27" ht="15.6" customHeight="1">
      <c r="A94" s="1682">
        <v>47</v>
      </c>
      <c r="B94" s="1399" t="s">
        <v>4368</v>
      </c>
      <c r="C94" s="941" t="s">
        <v>4348</v>
      </c>
      <c r="D94" s="1460" t="s">
        <v>4388</v>
      </c>
      <c r="E94" s="940" t="s">
        <v>4168</v>
      </c>
      <c r="F94" s="940" t="s">
        <v>4389</v>
      </c>
      <c r="G94" s="1594">
        <v>946494226</v>
      </c>
      <c r="H94" s="1442" t="s">
        <v>4390</v>
      </c>
      <c r="I94" s="1442" t="s">
        <v>4391</v>
      </c>
      <c r="J94" s="1443" t="s">
        <v>73</v>
      </c>
      <c r="K94" s="1443" t="s">
        <v>639</v>
      </c>
      <c r="L94" s="945" t="s">
        <v>4392</v>
      </c>
      <c r="M94" s="2215">
        <v>45052</v>
      </c>
      <c r="N94" s="945">
        <v>57000</v>
      </c>
      <c r="O94" s="1446" t="s">
        <v>7</v>
      </c>
      <c r="P94" s="1446" t="s">
        <v>35</v>
      </c>
      <c r="Q94" s="1566">
        <v>1</v>
      </c>
      <c r="R94" s="1573">
        <v>4800073882</v>
      </c>
      <c r="S94" s="2211">
        <v>45240</v>
      </c>
      <c r="T94" s="945">
        <v>57000</v>
      </c>
      <c r="U94" s="1446" t="s">
        <v>35</v>
      </c>
      <c r="V94" s="976">
        <f>Table6268934567910111213[[#This Row],[Offer Value]]-Table6268934567910111213[[#This Row],[PO Value]]</f>
        <v>0</v>
      </c>
      <c r="W94" s="1446"/>
      <c r="X94" s="1446"/>
      <c r="Y94" s="1595"/>
      <c r="Z94" s="45"/>
      <c r="AA94" s="7"/>
    </row>
    <row r="95" spans="1:27" ht="15.6" customHeight="1">
      <c r="A95" s="1682"/>
      <c r="B95" s="1399"/>
      <c r="C95" s="941" t="s">
        <v>4348</v>
      </c>
      <c r="D95" s="1460" t="s">
        <v>4388</v>
      </c>
      <c r="E95" s="940" t="s">
        <v>4168</v>
      </c>
      <c r="F95" s="940" t="s">
        <v>4389</v>
      </c>
      <c r="G95" s="1594">
        <v>946494226</v>
      </c>
      <c r="H95" s="1442" t="s">
        <v>4390</v>
      </c>
      <c r="I95" s="1442" t="s">
        <v>4393</v>
      </c>
      <c r="J95" s="1443" t="s">
        <v>73</v>
      </c>
      <c r="K95" s="1443" t="s">
        <v>639</v>
      </c>
      <c r="L95" s="945" t="s">
        <v>4392</v>
      </c>
      <c r="M95" s="2215">
        <v>45052</v>
      </c>
      <c r="N95" s="945">
        <v>57000</v>
      </c>
      <c r="O95" s="1446" t="s">
        <v>7</v>
      </c>
      <c r="P95" s="1446" t="s">
        <v>35</v>
      </c>
      <c r="Q95" s="1566">
        <v>1</v>
      </c>
      <c r="R95" s="1570">
        <v>4800073882</v>
      </c>
      <c r="S95" s="2212">
        <v>45240</v>
      </c>
      <c r="T95" s="945">
        <v>57000</v>
      </c>
      <c r="U95" s="1446" t="s">
        <v>35</v>
      </c>
      <c r="V95" s="976">
        <f>Table6268934567910111213[[#This Row],[Offer Value]]-Table6268934567910111213[[#This Row],[PO Value]]</f>
        <v>0</v>
      </c>
      <c r="W95" s="1446"/>
      <c r="X95" s="1446"/>
      <c r="Y95" s="1595"/>
      <c r="Z95" s="45"/>
      <c r="AA95" s="7"/>
    </row>
    <row r="96" spans="1:27" ht="15.6" customHeight="1">
      <c r="A96" s="937"/>
      <c r="B96" s="1683"/>
      <c r="C96" s="945" t="s">
        <v>4348</v>
      </c>
      <c r="D96" s="1593" t="s">
        <v>4388</v>
      </c>
      <c r="E96" s="1587" t="s">
        <v>4168</v>
      </c>
      <c r="F96" s="1587" t="s">
        <v>4389</v>
      </c>
      <c r="G96" s="1594">
        <v>946494226</v>
      </c>
      <c r="H96" s="1442" t="s">
        <v>4390</v>
      </c>
      <c r="I96" s="1442" t="s">
        <v>4394</v>
      </c>
      <c r="J96" s="1443" t="s">
        <v>73</v>
      </c>
      <c r="K96" s="1443" t="s">
        <v>639</v>
      </c>
      <c r="L96" s="945" t="s">
        <v>4392</v>
      </c>
      <c r="M96" s="2215">
        <v>45052</v>
      </c>
      <c r="N96" s="945">
        <v>57000</v>
      </c>
      <c r="O96" s="1446" t="s">
        <v>7</v>
      </c>
      <c r="P96" s="1446" t="s">
        <v>35</v>
      </c>
      <c r="Q96" s="1566">
        <v>1</v>
      </c>
      <c r="R96" s="1570">
        <v>4800073882</v>
      </c>
      <c r="S96" s="2212">
        <v>45240</v>
      </c>
      <c r="T96" s="945">
        <v>57000</v>
      </c>
      <c r="U96" s="1446" t="s">
        <v>35</v>
      </c>
      <c r="V96" s="976">
        <f>Table6268934567910111213[[#This Row],[Offer Value]]-Table6268934567910111213[[#This Row],[PO Value]]</f>
        <v>0</v>
      </c>
      <c r="W96" s="1446"/>
      <c r="X96" s="1446"/>
      <c r="Y96" s="1596"/>
      <c r="Z96" s="45"/>
      <c r="AA96" s="7"/>
    </row>
    <row r="97" spans="1:27" ht="15.6" customHeight="1">
      <c r="A97" s="937"/>
      <c r="B97" s="1446"/>
      <c r="C97" s="945" t="s">
        <v>4348</v>
      </c>
      <c r="D97" s="1593" t="s">
        <v>4388</v>
      </c>
      <c r="E97" s="1587" t="s">
        <v>4168</v>
      </c>
      <c r="F97" s="1587" t="s">
        <v>4389</v>
      </c>
      <c r="G97" s="1594">
        <v>946494226</v>
      </c>
      <c r="H97" s="1442" t="s">
        <v>4390</v>
      </c>
      <c r="I97" s="1442" t="s">
        <v>4395</v>
      </c>
      <c r="J97" s="1443" t="s">
        <v>73</v>
      </c>
      <c r="K97" s="1443" t="s">
        <v>639</v>
      </c>
      <c r="L97" s="945" t="s">
        <v>4392</v>
      </c>
      <c r="M97" s="2215">
        <v>45052</v>
      </c>
      <c r="N97" s="945">
        <v>57000</v>
      </c>
      <c r="O97" s="1446" t="s">
        <v>7</v>
      </c>
      <c r="P97" s="1446" t="s">
        <v>35</v>
      </c>
      <c r="Q97" s="1566">
        <v>1</v>
      </c>
      <c r="R97" s="1570">
        <v>4800073882</v>
      </c>
      <c r="S97" s="2212">
        <v>45240</v>
      </c>
      <c r="T97" s="945">
        <v>57000</v>
      </c>
      <c r="U97" s="1446" t="s">
        <v>35</v>
      </c>
      <c r="V97" s="976">
        <f>Table6268934567910111213[[#This Row],[Offer Value]]-Table6268934567910111213[[#This Row],[PO Value]]</f>
        <v>0</v>
      </c>
      <c r="W97" s="1446"/>
      <c r="X97" s="1446"/>
      <c r="Y97" s="1597"/>
      <c r="Z97" s="45"/>
      <c r="AA97" s="7"/>
    </row>
    <row r="98" spans="1:27" ht="15.6" customHeight="1">
      <c r="A98" s="937"/>
      <c r="B98" s="1446"/>
      <c r="C98" s="945" t="s">
        <v>4348</v>
      </c>
      <c r="D98" s="1593" t="s">
        <v>4388</v>
      </c>
      <c r="E98" s="1587" t="s">
        <v>4168</v>
      </c>
      <c r="F98" s="1587" t="s">
        <v>4389</v>
      </c>
      <c r="G98" s="1594">
        <v>946494226</v>
      </c>
      <c r="H98" s="1442" t="s">
        <v>4390</v>
      </c>
      <c r="I98" s="1442" t="s">
        <v>4396</v>
      </c>
      <c r="J98" s="1443" t="s">
        <v>73</v>
      </c>
      <c r="K98" s="1443" t="s">
        <v>639</v>
      </c>
      <c r="L98" s="945" t="s">
        <v>4392</v>
      </c>
      <c r="M98" s="2215">
        <v>45052</v>
      </c>
      <c r="N98" s="945">
        <v>57000</v>
      </c>
      <c r="O98" s="1446" t="s">
        <v>7</v>
      </c>
      <c r="P98" s="1446" t="s">
        <v>35</v>
      </c>
      <c r="Q98" s="1566">
        <v>1</v>
      </c>
      <c r="R98" s="1570">
        <v>4800073882</v>
      </c>
      <c r="S98" s="2212">
        <v>45240</v>
      </c>
      <c r="T98" s="945">
        <v>57000</v>
      </c>
      <c r="U98" s="1446" t="s">
        <v>35</v>
      </c>
      <c r="V98" s="976">
        <f>Table6268934567910111213[[#This Row],[Offer Value]]-Table6268934567910111213[[#This Row],[PO Value]]</f>
        <v>0</v>
      </c>
      <c r="W98" s="1446"/>
      <c r="X98" s="1446"/>
      <c r="Y98" s="1597"/>
      <c r="Z98" s="45"/>
      <c r="AA98" s="7"/>
    </row>
    <row r="99" spans="1:27" ht="15.6" customHeight="1">
      <c r="A99" s="937"/>
      <c r="B99" s="1446"/>
      <c r="C99" s="945" t="s">
        <v>4348</v>
      </c>
      <c r="D99" s="1593" t="s">
        <v>4388</v>
      </c>
      <c r="E99" s="1587" t="s">
        <v>4168</v>
      </c>
      <c r="F99" s="1587" t="s">
        <v>4389</v>
      </c>
      <c r="G99" s="1594">
        <v>946494226</v>
      </c>
      <c r="H99" s="1442" t="s">
        <v>4390</v>
      </c>
      <c r="I99" s="1442" t="s">
        <v>4397</v>
      </c>
      <c r="J99" s="1443" t="s">
        <v>73</v>
      </c>
      <c r="K99" s="1443" t="s">
        <v>639</v>
      </c>
      <c r="L99" s="945" t="s">
        <v>4392</v>
      </c>
      <c r="M99" s="2215">
        <v>45052</v>
      </c>
      <c r="N99" s="945">
        <v>57000</v>
      </c>
      <c r="O99" s="1446" t="s">
        <v>7</v>
      </c>
      <c r="P99" s="1446" t="s">
        <v>35</v>
      </c>
      <c r="Q99" s="1566">
        <v>1</v>
      </c>
      <c r="R99" s="1570">
        <v>4800073882</v>
      </c>
      <c r="S99" s="2212">
        <v>45240</v>
      </c>
      <c r="T99" s="945">
        <v>57000</v>
      </c>
      <c r="U99" s="1446" t="s">
        <v>35</v>
      </c>
      <c r="V99" s="976">
        <f>Table6268934567910111213[[#This Row],[Offer Value]]-Table6268934567910111213[[#This Row],[PO Value]]</f>
        <v>0</v>
      </c>
      <c r="W99" s="1446"/>
      <c r="X99" s="1446"/>
      <c r="Y99" s="1597"/>
      <c r="Z99" s="45"/>
      <c r="AA99" s="7"/>
    </row>
    <row r="100" spans="1:27" ht="15.6" customHeight="1">
      <c r="A100" s="937"/>
      <c r="B100" s="1446"/>
      <c r="C100" s="945" t="s">
        <v>4348</v>
      </c>
      <c r="D100" s="1593" t="s">
        <v>4388</v>
      </c>
      <c r="E100" s="1587" t="s">
        <v>4168</v>
      </c>
      <c r="F100" s="1587" t="s">
        <v>4389</v>
      </c>
      <c r="G100" s="1594">
        <v>946494226</v>
      </c>
      <c r="H100" s="1442" t="s">
        <v>4390</v>
      </c>
      <c r="I100" s="1442" t="s">
        <v>4398</v>
      </c>
      <c r="J100" s="1443" t="s">
        <v>73</v>
      </c>
      <c r="K100" s="1443" t="s">
        <v>639</v>
      </c>
      <c r="L100" s="945" t="s">
        <v>4392</v>
      </c>
      <c r="M100" s="2215">
        <v>45052</v>
      </c>
      <c r="N100" s="945">
        <v>57000</v>
      </c>
      <c r="O100" s="1446" t="s">
        <v>7</v>
      </c>
      <c r="P100" s="1446" t="s">
        <v>35</v>
      </c>
      <c r="Q100" s="1566">
        <v>1</v>
      </c>
      <c r="R100" s="1570">
        <v>4800073882</v>
      </c>
      <c r="S100" s="2212">
        <v>45240</v>
      </c>
      <c r="T100" s="945">
        <v>57000</v>
      </c>
      <c r="U100" s="1446" t="s">
        <v>35</v>
      </c>
      <c r="V100" s="976">
        <f>Table6268934567910111213[[#This Row],[Offer Value]]-Table6268934567910111213[[#This Row],[PO Value]]</f>
        <v>0</v>
      </c>
      <c r="W100" s="937"/>
      <c r="X100" s="937"/>
      <c r="Y100" s="1598"/>
      <c r="Z100" s="45"/>
      <c r="AA100" s="7"/>
    </row>
    <row r="101" spans="1:27" ht="15.6" customHeight="1">
      <c r="A101" s="937"/>
      <c r="B101" s="1446"/>
      <c r="C101" s="945" t="s">
        <v>4348</v>
      </c>
      <c r="D101" s="1593" t="s">
        <v>4388</v>
      </c>
      <c r="E101" s="1587" t="s">
        <v>4168</v>
      </c>
      <c r="F101" s="1587" t="s">
        <v>4389</v>
      </c>
      <c r="G101" s="1594">
        <v>946494226</v>
      </c>
      <c r="H101" s="1442" t="s">
        <v>4390</v>
      </c>
      <c r="I101" s="1442" t="s">
        <v>4399</v>
      </c>
      <c r="J101" s="1443" t="s">
        <v>73</v>
      </c>
      <c r="K101" s="1443" t="s">
        <v>639</v>
      </c>
      <c r="L101" s="945" t="s">
        <v>4392</v>
      </c>
      <c r="M101" s="2215">
        <v>45052</v>
      </c>
      <c r="N101" s="945">
        <v>57000</v>
      </c>
      <c r="O101" s="1446" t="s">
        <v>7</v>
      </c>
      <c r="P101" s="1446" t="s">
        <v>35</v>
      </c>
      <c r="Q101" s="1566">
        <v>1</v>
      </c>
      <c r="R101" s="1570">
        <v>4800073882</v>
      </c>
      <c r="S101" s="2212">
        <v>45240</v>
      </c>
      <c r="T101" s="945">
        <v>57000</v>
      </c>
      <c r="U101" s="1446" t="s">
        <v>35</v>
      </c>
      <c r="V101" s="976">
        <f>Table6268934567910111213[[#This Row],[Offer Value]]-Table6268934567910111213[[#This Row],[PO Value]]</f>
        <v>0</v>
      </c>
      <c r="W101" s="937"/>
      <c r="X101" s="937"/>
      <c r="Y101" s="1599"/>
      <c r="Z101" s="45"/>
      <c r="AA101" s="7"/>
    </row>
    <row r="102" spans="1:27" ht="15.6">
      <c r="A102" s="937"/>
      <c r="B102" s="1446"/>
      <c r="C102" s="945" t="s">
        <v>4348</v>
      </c>
      <c r="D102" s="1593" t="s">
        <v>4388</v>
      </c>
      <c r="E102" s="1587" t="s">
        <v>4168</v>
      </c>
      <c r="F102" s="1587" t="s">
        <v>4389</v>
      </c>
      <c r="G102" s="1594">
        <v>946494226</v>
      </c>
      <c r="H102" s="1442" t="s">
        <v>4390</v>
      </c>
      <c r="I102" s="1442" t="s">
        <v>4400</v>
      </c>
      <c r="J102" s="1443" t="s">
        <v>73</v>
      </c>
      <c r="K102" s="1443" t="s">
        <v>639</v>
      </c>
      <c r="L102" s="945" t="s">
        <v>4392</v>
      </c>
      <c r="M102" s="2215">
        <v>45052</v>
      </c>
      <c r="N102" s="945">
        <v>57000</v>
      </c>
      <c r="O102" s="1446" t="s">
        <v>7</v>
      </c>
      <c r="P102" s="1446" t="s">
        <v>35</v>
      </c>
      <c r="Q102" s="1566">
        <v>1</v>
      </c>
      <c r="R102" s="1570">
        <v>4800073882</v>
      </c>
      <c r="S102" s="2212">
        <v>45240</v>
      </c>
      <c r="T102" s="945">
        <v>57000</v>
      </c>
      <c r="U102" s="1446" t="s">
        <v>35</v>
      </c>
      <c r="V102" s="976">
        <f>Table6268934567910111213[[#This Row],[Offer Value]]-Table6268934567910111213[[#This Row],[PO Value]]</f>
        <v>0</v>
      </c>
      <c r="W102" s="937"/>
      <c r="X102" s="937"/>
      <c r="Y102" s="1598"/>
      <c r="Z102" s="45"/>
      <c r="AA102" s="7"/>
    </row>
    <row r="103" spans="1:27" ht="15.6">
      <c r="A103" s="937"/>
      <c r="B103" s="1446"/>
      <c r="C103" s="945" t="s">
        <v>4348</v>
      </c>
      <c r="D103" s="1593" t="s">
        <v>4388</v>
      </c>
      <c r="E103" s="1587" t="s">
        <v>4168</v>
      </c>
      <c r="F103" s="1587" t="s">
        <v>4389</v>
      </c>
      <c r="G103" s="1594">
        <v>946494226</v>
      </c>
      <c r="H103" s="1442" t="s">
        <v>4390</v>
      </c>
      <c r="I103" s="1442" t="s">
        <v>4401</v>
      </c>
      <c r="J103" s="1443" t="s">
        <v>73</v>
      </c>
      <c r="K103" s="1443" t="s">
        <v>639</v>
      </c>
      <c r="L103" s="945" t="s">
        <v>4392</v>
      </c>
      <c r="M103" s="2215">
        <v>45052</v>
      </c>
      <c r="N103" s="945">
        <v>57000</v>
      </c>
      <c r="O103" s="1446" t="s">
        <v>7</v>
      </c>
      <c r="P103" s="1446" t="s">
        <v>35</v>
      </c>
      <c r="Q103" s="1566">
        <v>1</v>
      </c>
      <c r="R103" s="1570">
        <v>4800073882</v>
      </c>
      <c r="S103" s="2212">
        <v>45240</v>
      </c>
      <c r="T103" s="945">
        <v>57000</v>
      </c>
      <c r="U103" s="1446" t="s">
        <v>35</v>
      </c>
      <c r="V103" s="976">
        <f>Table6268934567910111213[[#This Row],[Offer Value]]-Table6268934567910111213[[#This Row],[PO Value]]</f>
        <v>0</v>
      </c>
      <c r="W103" s="937"/>
      <c r="X103" s="937"/>
      <c r="Y103" s="1600"/>
      <c r="Z103" s="45"/>
      <c r="AA103" s="7"/>
    </row>
    <row r="104" spans="1:27" ht="15.6">
      <c r="A104" s="937"/>
      <c r="B104" s="1446"/>
      <c r="C104" s="945" t="s">
        <v>4348</v>
      </c>
      <c r="D104" s="1593" t="s">
        <v>4388</v>
      </c>
      <c r="E104" s="1587" t="s">
        <v>4168</v>
      </c>
      <c r="F104" s="1587" t="s">
        <v>4389</v>
      </c>
      <c r="G104" s="1594">
        <v>946494226</v>
      </c>
      <c r="H104" s="1442" t="s">
        <v>4390</v>
      </c>
      <c r="I104" s="1442" t="s">
        <v>4402</v>
      </c>
      <c r="J104" s="1443" t="s">
        <v>73</v>
      </c>
      <c r="K104" s="1443" t="s">
        <v>639</v>
      </c>
      <c r="L104" s="945" t="s">
        <v>4392</v>
      </c>
      <c r="M104" s="2215">
        <v>45052</v>
      </c>
      <c r="N104" s="945">
        <v>57000</v>
      </c>
      <c r="O104" s="1446" t="s">
        <v>7</v>
      </c>
      <c r="P104" s="1446" t="s">
        <v>35</v>
      </c>
      <c r="Q104" s="1566">
        <v>1</v>
      </c>
      <c r="R104" s="1570">
        <v>4800073882</v>
      </c>
      <c r="S104" s="2212">
        <v>45240</v>
      </c>
      <c r="T104" s="945">
        <v>57000</v>
      </c>
      <c r="U104" s="1446" t="s">
        <v>35</v>
      </c>
      <c r="V104" s="976">
        <f>Table6268934567910111213[[#This Row],[Offer Value]]-Table6268934567910111213[[#This Row],[PO Value]]</f>
        <v>0</v>
      </c>
      <c r="W104" s="937"/>
      <c r="X104" s="937"/>
      <c r="Y104" s="1601"/>
      <c r="Z104" s="45"/>
      <c r="AA104" s="7"/>
    </row>
    <row r="105" spans="1:27" ht="15.6">
      <c r="A105" s="937"/>
      <c r="B105" s="1446"/>
      <c r="C105" s="945" t="s">
        <v>4348</v>
      </c>
      <c r="D105" s="1593" t="s">
        <v>4388</v>
      </c>
      <c r="E105" s="1587" t="s">
        <v>4168</v>
      </c>
      <c r="F105" s="1587" t="s">
        <v>4389</v>
      </c>
      <c r="G105" s="1594">
        <v>946494226</v>
      </c>
      <c r="H105" s="1442" t="s">
        <v>4390</v>
      </c>
      <c r="I105" s="1442" t="s">
        <v>4403</v>
      </c>
      <c r="J105" s="1443" t="s">
        <v>73</v>
      </c>
      <c r="K105" s="1443" t="s">
        <v>639</v>
      </c>
      <c r="L105" s="945" t="s">
        <v>4392</v>
      </c>
      <c r="M105" s="2215">
        <v>45052</v>
      </c>
      <c r="N105" s="945">
        <v>57000</v>
      </c>
      <c r="O105" s="1446" t="s">
        <v>7</v>
      </c>
      <c r="P105" s="1446" t="s">
        <v>35</v>
      </c>
      <c r="Q105" s="1566">
        <v>1</v>
      </c>
      <c r="R105" s="1570">
        <v>4800073882</v>
      </c>
      <c r="S105" s="2212">
        <v>45240</v>
      </c>
      <c r="T105" s="945">
        <v>57000</v>
      </c>
      <c r="U105" s="1446" t="s">
        <v>35</v>
      </c>
      <c r="V105" s="976">
        <f>Table6268934567910111213[[#This Row],[Offer Value]]-Table6268934567910111213[[#This Row],[PO Value]]</f>
        <v>0</v>
      </c>
      <c r="W105" s="937"/>
      <c r="X105" s="937"/>
      <c r="Y105" s="1601"/>
      <c r="Z105" s="45"/>
      <c r="AA105" s="7"/>
    </row>
    <row r="106" spans="1:27" ht="15.6">
      <c r="A106" s="937"/>
      <c r="B106" s="1446"/>
      <c r="C106" s="945" t="s">
        <v>4348</v>
      </c>
      <c r="D106" s="1593" t="s">
        <v>4388</v>
      </c>
      <c r="E106" s="1587" t="s">
        <v>4168</v>
      </c>
      <c r="F106" s="1587" t="s">
        <v>4389</v>
      </c>
      <c r="G106" s="1594">
        <v>946494226</v>
      </c>
      <c r="H106" s="1442" t="s">
        <v>4390</v>
      </c>
      <c r="I106" s="1442" t="s">
        <v>4404</v>
      </c>
      <c r="J106" s="1443" t="s">
        <v>73</v>
      </c>
      <c r="K106" s="1443" t="s">
        <v>639</v>
      </c>
      <c r="L106" s="945" t="s">
        <v>4392</v>
      </c>
      <c r="M106" s="2215">
        <v>45052</v>
      </c>
      <c r="N106" s="945">
        <v>57000</v>
      </c>
      <c r="O106" s="1446" t="s">
        <v>7</v>
      </c>
      <c r="P106" s="1446" t="s">
        <v>35</v>
      </c>
      <c r="Q106" s="1566">
        <v>1</v>
      </c>
      <c r="R106" s="1570">
        <v>4800073882</v>
      </c>
      <c r="S106" s="2212">
        <v>45240</v>
      </c>
      <c r="T106" s="945">
        <v>57000</v>
      </c>
      <c r="U106" s="1446" t="s">
        <v>35</v>
      </c>
      <c r="V106" s="976">
        <f>Table6268934567910111213[[#This Row],[Offer Value]]-Table6268934567910111213[[#This Row],[PO Value]]</f>
        <v>0</v>
      </c>
      <c r="W106" s="937"/>
      <c r="X106" s="937"/>
      <c r="Y106" s="1601"/>
      <c r="Z106" s="45"/>
      <c r="AA106" s="3492"/>
    </row>
    <row r="107" spans="1:27" s="4" customFormat="1" ht="31.2">
      <c r="A107" s="817">
        <v>49</v>
      </c>
      <c r="B107" s="810" t="s">
        <v>4368</v>
      </c>
      <c r="C107" s="2216" t="s">
        <v>4405</v>
      </c>
      <c r="D107" s="2216" t="s">
        <v>4406</v>
      </c>
      <c r="E107" s="2217" t="s">
        <v>4177</v>
      </c>
      <c r="F107" s="2217" t="s">
        <v>4407</v>
      </c>
      <c r="G107" s="2217">
        <v>9560271006</v>
      </c>
      <c r="H107" s="2217" t="s">
        <v>4408</v>
      </c>
      <c r="I107" s="2217" t="s">
        <v>4010</v>
      </c>
      <c r="J107" s="1464" t="s">
        <v>83</v>
      </c>
      <c r="K107" s="1464" t="s">
        <v>157</v>
      </c>
      <c r="L107" s="2216" t="s">
        <v>4409</v>
      </c>
      <c r="M107" s="2216" t="s">
        <v>4362</v>
      </c>
      <c r="N107" s="2216">
        <v>701233</v>
      </c>
      <c r="O107" s="817" t="s">
        <v>28</v>
      </c>
      <c r="P107" s="817" t="s">
        <v>44</v>
      </c>
      <c r="Q107" s="860">
        <v>0.5</v>
      </c>
      <c r="R107" s="1504"/>
      <c r="S107" s="1465"/>
      <c r="T107" s="817"/>
      <c r="U107" s="817" t="str">
        <f>TEXT(Table6268934567910111213[[#This Row],[PO Date]], "mmmm")</f>
        <v>January</v>
      </c>
      <c r="V107" s="2293">
        <f>Table6268934567910111213[[#This Row],[Offer Value]]-Table6268934567910111213[[#This Row],[PO Value]]</f>
        <v>701233</v>
      </c>
      <c r="W107" s="817"/>
      <c r="X107" s="817"/>
      <c r="Y107" s="1466"/>
      <c r="Z107" s="2294" t="s">
        <v>208</v>
      </c>
      <c r="AA107" s="3492"/>
    </row>
    <row r="108" spans="1:27" ht="15.6">
      <c r="A108" s="106">
        <v>50</v>
      </c>
      <c r="B108" s="300" t="s">
        <v>4368</v>
      </c>
      <c r="C108" s="181" t="s">
        <v>4410</v>
      </c>
      <c r="D108" s="181" t="s">
        <v>4411</v>
      </c>
      <c r="E108" s="858" t="s">
        <v>4189</v>
      </c>
      <c r="F108" s="858" t="s">
        <v>4412</v>
      </c>
      <c r="G108" s="858" t="s">
        <v>1166</v>
      </c>
      <c r="H108" s="866" t="s">
        <v>4413</v>
      </c>
      <c r="I108" s="857" t="s">
        <v>4414</v>
      </c>
      <c r="J108" s="115" t="s">
        <v>73</v>
      </c>
      <c r="K108" s="115" t="s">
        <v>138</v>
      </c>
      <c r="L108" s="181" t="s">
        <v>4415</v>
      </c>
      <c r="M108" s="181" t="s">
        <v>4362</v>
      </c>
      <c r="N108" s="181">
        <v>494350</v>
      </c>
      <c r="O108" s="817" t="s">
        <v>28</v>
      </c>
      <c r="P108" s="106" t="s">
        <v>49</v>
      </c>
      <c r="Q108" s="109">
        <v>1</v>
      </c>
      <c r="R108" s="256"/>
      <c r="S108" s="107"/>
      <c r="T108" s="106"/>
      <c r="U108" s="106"/>
      <c r="V108" s="284">
        <f>Table6268934567910111213[[#This Row],[Offer Value]]-Table6268934567910111213[[#This Row],[PO Value]]</f>
        <v>494350</v>
      </c>
      <c r="W108" s="106"/>
      <c r="X108" s="106"/>
      <c r="Y108" s="617"/>
      <c r="Z108" s="45"/>
      <c r="AA108" s="7"/>
    </row>
    <row r="109" spans="1:27" ht="15.6">
      <c r="A109" s="106"/>
      <c r="B109" s="300"/>
      <c r="C109" s="181" t="s">
        <v>4410</v>
      </c>
      <c r="D109" s="181" t="s">
        <v>4411</v>
      </c>
      <c r="E109" s="858" t="s">
        <v>4189</v>
      </c>
      <c r="F109" s="858" t="s">
        <v>4412</v>
      </c>
      <c r="G109" s="858" t="s">
        <v>1166</v>
      </c>
      <c r="H109" s="866" t="s">
        <v>4413</v>
      </c>
      <c r="I109" s="857" t="s">
        <v>4416</v>
      </c>
      <c r="J109" s="115" t="s">
        <v>73</v>
      </c>
      <c r="K109" s="115" t="s">
        <v>138</v>
      </c>
      <c r="L109" s="181" t="s">
        <v>4415</v>
      </c>
      <c r="M109" s="181" t="s">
        <v>4362</v>
      </c>
      <c r="N109" s="181">
        <v>494350</v>
      </c>
      <c r="O109" s="817" t="s">
        <v>28</v>
      </c>
      <c r="P109" s="106" t="s">
        <v>49</v>
      </c>
      <c r="Q109" s="109">
        <v>1</v>
      </c>
      <c r="R109" s="289"/>
      <c r="S109" s="107"/>
      <c r="T109" s="106"/>
      <c r="U109" s="106"/>
      <c r="V109" s="284">
        <f>Table6268934567910111213[[#This Row],[Offer Value]]-Table6268934567910111213[[#This Row],[PO Value]]</f>
        <v>494350</v>
      </c>
      <c r="W109" s="106"/>
      <c r="X109" s="106"/>
      <c r="Y109" s="617"/>
      <c r="Z109" s="45"/>
      <c r="AA109" s="7"/>
    </row>
    <row r="110" spans="1:27" ht="15.6">
      <c r="A110" s="33"/>
      <c r="B110" s="300"/>
      <c r="C110" s="181" t="s">
        <v>4410</v>
      </c>
      <c r="D110" s="181" t="s">
        <v>4411</v>
      </c>
      <c r="E110" s="858" t="s">
        <v>4189</v>
      </c>
      <c r="F110" s="858" t="s">
        <v>4412</v>
      </c>
      <c r="G110" s="858" t="s">
        <v>1166</v>
      </c>
      <c r="H110" s="866" t="s">
        <v>4413</v>
      </c>
      <c r="I110" s="857" t="s">
        <v>4417</v>
      </c>
      <c r="J110" s="115" t="s">
        <v>73</v>
      </c>
      <c r="K110" s="115" t="s">
        <v>138</v>
      </c>
      <c r="L110" s="181" t="s">
        <v>4415</v>
      </c>
      <c r="M110" s="181" t="s">
        <v>4362</v>
      </c>
      <c r="N110" s="181">
        <v>494350</v>
      </c>
      <c r="O110" s="817" t="s">
        <v>28</v>
      </c>
      <c r="P110" s="106" t="s">
        <v>49</v>
      </c>
      <c r="Q110" s="109">
        <v>1</v>
      </c>
      <c r="R110" s="289"/>
      <c r="S110" s="107"/>
      <c r="T110" s="106"/>
      <c r="U110" s="174"/>
      <c r="V110" s="284">
        <f>Table6268934567910111213[[#This Row],[Offer Value]]-Table6268934567910111213[[#This Row],[PO Value]]</f>
        <v>494350</v>
      </c>
      <c r="W110" s="177"/>
      <c r="X110" s="177"/>
      <c r="Y110" s="618"/>
      <c r="Z110" s="45"/>
      <c r="AA110" s="7"/>
    </row>
    <row r="111" spans="1:27" ht="15.6">
      <c r="A111" s="33"/>
      <c r="B111" s="300"/>
      <c r="C111" s="181" t="s">
        <v>4410</v>
      </c>
      <c r="D111" s="181" t="s">
        <v>4411</v>
      </c>
      <c r="E111" s="858" t="s">
        <v>4189</v>
      </c>
      <c r="F111" s="858" t="s">
        <v>4412</v>
      </c>
      <c r="G111" s="858" t="s">
        <v>1166</v>
      </c>
      <c r="H111" s="866" t="s">
        <v>4413</v>
      </c>
      <c r="I111" s="857" t="s">
        <v>4418</v>
      </c>
      <c r="J111" s="115" t="s">
        <v>73</v>
      </c>
      <c r="K111" s="115" t="s">
        <v>138</v>
      </c>
      <c r="L111" s="181" t="s">
        <v>4415</v>
      </c>
      <c r="M111" s="181" t="s">
        <v>4362</v>
      </c>
      <c r="N111" s="181">
        <v>494350</v>
      </c>
      <c r="O111" s="817" t="s">
        <v>28</v>
      </c>
      <c r="P111" s="106" t="s">
        <v>49</v>
      </c>
      <c r="Q111" s="109">
        <v>1</v>
      </c>
      <c r="R111" s="289"/>
      <c r="S111" s="107"/>
      <c r="T111" s="106"/>
      <c r="U111" s="174"/>
      <c r="V111" s="284">
        <f>Table6268934567910111213[[#This Row],[Offer Value]]-Table6268934567910111213[[#This Row],[PO Value]]</f>
        <v>494350</v>
      </c>
      <c r="W111" s="177"/>
      <c r="X111" s="177"/>
      <c r="Y111" s="618"/>
      <c r="Z111" s="45"/>
      <c r="AA111" s="7"/>
    </row>
    <row r="112" spans="1:27" ht="15.6">
      <c r="A112" s="106"/>
      <c r="B112" s="300"/>
      <c r="C112" s="181" t="s">
        <v>4410</v>
      </c>
      <c r="D112" s="181" t="s">
        <v>4411</v>
      </c>
      <c r="E112" s="858" t="s">
        <v>4189</v>
      </c>
      <c r="F112" s="858" t="s">
        <v>4412</v>
      </c>
      <c r="G112" s="858" t="s">
        <v>1166</v>
      </c>
      <c r="H112" s="866" t="s">
        <v>4413</v>
      </c>
      <c r="I112" s="857" t="s">
        <v>4419</v>
      </c>
      <c r="J112" s="115" t="s">
        <v>73</v>
      </c>
      <c r="K112" s="115" t="s">
        <v>138</v>
      </c>
      <c r="L112" s="181" t="s">
        <v>4415</v>
      </c>
      <c r="M112" s="181" t="s">
        <v>4362</v>
      </c>
      <c r="N112" s="181">
        <v>494350</v>
      </c>
      <c r="O112" s="817" t="s">
        <v>28</v>
      </c>
      <c r="P112" s="106" t="s">
        <v>49</v>
      </c>
      <c r="Q112" s="109">
        <v>1</v>
      </c>
      <c r="R112" s="289"/>
      <c r="S112" s="107"/>
      <c r="T112" s="106"/>
      <c r="U112" s="106"/>
      <c r="V112" s="284">
        <f>Table6268934567910111213[[#This Row],[Offer Value]]-Table6268934567910111213[[#This Row],[PO Value]]</f>
        <v>494350</v>
      </c>
      <c r="W112" s="106"/>
      <c r="X112" s="106"/>
      <c r="Y112" s="617"/>
      <c r="Z112" s="45"/>
      <c r="AA112" s="7"/>
    </row>
    <row r="113" spans="1:27" ht="15.6">
      <c r="A113" s="106"/>
      <c r="B113" s="300"/>
      <c r="C113" s="181" t="s">
        <v>4410</v>
      </c>
      <c r="D113" s="181" t="s">
        <v>4411</v>
      </c>
      <c r="E113" s="858" t="s">
        <v>4189</v>
      </c>
      <c r="F113" s="858" t="s">
        <v>4412</v>
      </c>
      <c r="G113" s="858" t="s">
        <v>1166</v>
      </c>
      <c r="H113" s="866" t="s">
        <v>4413</v>
      </c>
      <c r="I113" s="857" t="s">
        <v>4420</v>
      </c>
      <c r="J113" s="115" t="s">
        <v>73</v>
      </c>
      <c r="K113" s="115" t="s">
        <v>138</v>
      </c>
      <c r="L113" s="181" t="s">
        <v>4415</v>
      </c>
      <c r="M113" s="181" t="s">
        <v>4362</v>
      </c>
      <c r="N113" s="181">
        <v>494350</v>
      </c>
      <c r="O113" s="106"/>
      <c r="P113" s="106" t="s">
        <v>49</v>
      </c>
      <c r="Q113" s="109">
        <v>1</v>
      </c>
      <c r="R113" s="289"/>
      <c r="S113" s="105"/>
      <c r="T113" s="106"/>
      <c r="U113" s="106"/>
      <c r="V113" s="284">
        <f>Table6268934567910111213[[#This Row],[Offer Value]]-Table6268934567910111213[[#This Row],[PO Value]]</f>
        <v>494350</v>
      </c>
      <c r="W113" s="106"/>
      <c r="X113" s="106"/>
      <c r="Y113" s="217"/>
      <c r="Z113" s="45"/>
      <c r="AA113" s="7"/>
    </row>
    <row r="114" spans="1:27" ht="15.6">
      <c r="A114" s="937">
        <v>51</v>
      </c>
      <c r="B114" s="1446" t="s">
        <v>4368</v>
      </c>
      <c r="C114" s="945" t="s">
        <v>4374</v>
      </c>
      <c r="D114" s="945" t="s">
        <v>4375</v>
      </c>
      <c r="E114" s="1442" t="s">
        <v>4177</v>
      </c>
      <c r="F114" s="1442" t="s">
        <v>4421</v>
      </c>
      <c r="G114" s="1442">
        <v>9560922155</v>
      </c>
      <c r="H114" s="1442" t="s">
        <v>4422</v>
      </c>
      <c r="I114" s="1442" t="s">
        <v>3980</v>
      </c>
      <c r="J114" s="1007" t="s">
        <v>73</v>
      </c>
      <c r="K114" s="1007" t="s">
        <v>157</v>
      </c>
      <c r="L114" s="945" t="s">
        <v>4423</v>
      </c>
      <c r="M114" s="2215">
        <v>45455</v>
      </c>
      <c r="N114" s="945">
        <v>145000</v>
      </c>
      <c r="O114" s="937" t="s">
        <v>7</v>
      </c>
      <c r="P114" s="937" t="s">
        <v>28</v>
      </c>
      <c r="Q114" s="1321">
        <v>1</v>
      </c>
      <c r="R114" s="1573">
        <v>901965547</v>
      </c>
      <c r="S114" s="1568" t="s">
        <v>4424</v>
      </c>
      <c r="T114" s="937">
        <v>139000</v>
      </c>
      <c r="U114" s="937" t="s">
        <v>28</v>
      </c>
      <c r="V114" s="976">
        <v>0</v>
      </c>
      <c r="W114" s="937"/>
      <c r="X114" s="937"/>
      <c r="Y114" s="1600"/>
      <c r="Z114" s="45"/>
      <c r="AA114" s="7"/>
    </row>
    <row r="115" spans="1:27" ht="31.2">
      <c r="A115" s="106">
        <v>52</v>
      </c>
      <c r="B115" s="300" t="s">
        <v>4368</v>
      </c>
      <c r="C115" s="181" t="s">
        <v>4425</v>
      </c>
      <c r="D115" s="181" t="s">
        <v>4353</v>
      </c>
      <c r="E115" s="858" t="s">
        <v>4168</v>
      </c>
      <c r="F115" s="858" t="s">
        <v>4363</v>
      </c>
      <c r="G115" s="858">
        <v>9718939898</v>
      </c>
      <c r="H115" s="866" t="s">
        <v>4364</v>
      </c>
      <c r="I115" s="1510" t="s">
        <v>4261</v>
      </c>
      <c r="J115" s="115" t="s">
        <v>83</v>
      </c>
      <c r="K115" s="115" t="s">
        <v>157</v>
      </c>
      <c r="L115" s="181" t="s">
        <v>4426</v>
      </c>
      <c r="M115" s="181" t="s">
        <v>4427</v>
      </c>
      <c r="N115" s="181">
        <v>3384003</v>
      </c>
      <c r="O115" s="106" t="s">
        <v>30</v>
      </c>
      <c r="P115" s="106" t="s">
        <v>44</v>
      </c>
      <c r="Q115" s="109">
        <v>0.5</v>
      </c>
      <c r="R115" s="256"/>
      <c r="S115" s="107"/>
      <c r="T115" s="106"/>
      <c r="U115" s="106" t="str">
        <f>TEXT(Table6268934567910111213[[#This Row],[PO Date]], "mmmm")</f>
        <v>January</v>
      </c>
      <c r="V115" s="1563">
        <f>Table6268934567910111213[[#This Row],[Offer Value]]-Table6268934567910111213[[#This Row],[PO Value]]</f>
        <v>3384003</v>
      </c>
      <c r="W115" s="106"/>
      <c r="X115" s="106"/>
      <c r="Y115" s="617"/>
      <c r="Z115" s="45" t="s">
        <v>208</v>
      </c>
      <c r="AA115" s="7"/>
    </row>
    <row r="116" spans="1:27" ht="31.2">
      <c r="A116" s="106">
        <v>53</v>
      </c>
      <c r="B116" s="106" t="s">
        <v>4428</v>
      </c>
      <c r="C116" s="105" t="s">
        <v>4091</v>
      </c>
      <c r="D116" s="105" t="s">
        <v>4046</v>
      </c>
      <c r="E116" s="178" t="s">
        <v>4168</v>
      </c>
      <c r="F116" s="859" t="s">
        <v>4354</v>
      </c>
      <c r="G116" s="859">
        <v>7838367907</v>
      </c>
      <c r="H116" s="865" t="s">
        <v>4355</v>
      </c>
      <c r="I116" s="859" t="s">
        <v>4356</v>
      </c>
      <c r="J116" s="115" t="s">
        <v>80</v>
      </c>
      <c r="K116" s="115" t="s">
        <v>157</v>
      </c>
      <c r="L116" s="180" t="s">
        <v>4429</v>
      </c>
      <c r="M116" s="960">
        <v>45792</v>
      </c>
      <c r="N116" s="106">
        <v>180000</v>
      </c>
      <c r="O116" s="106" t="s">
        <v>30</v>
      </c>
      <c r="P116" s="106" t="s">
        <v>44</v>
      </c>
      <c r="Q116" s="109">
        <v>0.3</v>
      </c>
      <c r="R116" s="289"/>
      <c r="S116" s="107"/>
      <c r="T116" s="106"/>
      <c r="U116" s="106"/>
      <c r="V116" s="284">
        <f>Table6268934567910111213[[#This Row],[Offer Value]]-Table6268934567910111213[[#This Row],[PO Value]]</f>
        <v>180000</v>
      </c>
      <c r="W116" s="106"/>
      <c r="X116" s="106"/>
      <c r="Y116" s="217"/>
      <c r="Z116" s="45"/>
      <c r="AA116" s="7"/>
    </row>
    <row r="117" spans="1:27" ht="31.2">
      <c r="A117" s="106">
        <v>54</v>
      </c>
      <c r="B117" s="107" t="s">
        <v>4428</v>
      </c>
      <c r="C117" s="105" t="s">
        <v>4045</v>
      </c>
      <c r="D117" s="105" t="s">
        <v>4046</v>
      </c>
      <c r="E117" s="181" t="s">
        <v>4177</v>
      </c>
      <c r="F117" s="858" t="s">
        <v>4256</v>
      </c>
      <c r="G117" s="858">
        <v>9911876413</v>
      </c>
      <c r="H117" s="866" t="s">
        <v>4257</v>
      </c>
      <c r="I117" s="858" t="s">
        <v>4258</v>
      </c>
      <c r="J117" s="115" t="s">
        <v>80</v>
      </c>
      <c r="K117" s="115" t="s">
        <v>157</v>
      </c>
      <c r="L117" s="181" t="s">
        <v>4430</v>
      </c>
      <c r="M117" s="960">
        <v>45792</v>
      </c>
      <c r="N117" s="106">
        <v>190000</v>
      </c>
      <c r="O117" s="106" t="s">
        <v>30</v>
      </c>
      <c r="P117" s="106" t="s">
        <v>44</v>
      </c>
      <c r="Q117" s="109">
        <v>0.3</v>
      </c>
      <c r="R117" s="256"/>
      <c r="S117" s="107"/>
      <c r="T117" s="106"/>
      <c r="U117" s="106"/>
      <c r="V117" s="284">
        <f>Table6268934567910111213[[#This Row],[Offer Value]]-Table6268934567910111213[[#This Row],[PO Value]]</f>
        <v>190000</v>
      </c>
      <c r="W117" s="106"/>
      <c r="X117" s="106"/>
      <c r="Y117" s="617"/>
      <c r="Z117" s="45"/>
      <c r="AA117" s="3492"/>
    </row>
    <row r="118" spans="1:27" ht="28.8">
      <c r="A118" s="106">
        <v>55</v>
      </c>
      <c r="B118" s="106" t="s">
        <v>4431</v>
      </c>
      <c r="C118" s="105" t="s">
        <v>4091</v>
      </c>
      <c r="D118" s="105" t="s">
        <v>4046</v>
      </c>
      <c r="E118" s="178" t="s">
        <v>4168</v>
      </c>
      <c r="F118" s="871" t="s">
        <v>4354</v>
      </c>
      <c r="G118" s="859">
        <v>7838367907</v>
      </c>
      <c r="H118" s="869" t="s">
        <v>4355</v>
      </c>
      <c r="I118" s="859" t="s">
        <v>4356</v>
      </c>
      <c r="J118" s="115" t="s">
        <v>75</v>
      </c>
      <c r="K118" s="115" t="s">
        <v>157</v>
      </c>
      <c r="L118" s="180" t="s">
        <v>4429</v>
      </c>
      <c r="M118" s="180" t="s">
        <v>4368</v>
      </c>
      <c r="N118" s="106">
        <v>180000</v>
      </c>
      <c r="O118" s="106" t="s">
        <v>30</v>
      </c>
      <c r="P118" s="106" t="s">
        <v>49</v>
      </c>
      <c r="Q118" s="109">
        <v>0.4</v>
      </c>
      <c r="R118" s="256"/>
      <c r="S118" s="107"/>
      <c r="T118" s="106"/>
      <c r="U118" s="106"/>
      <c r="V118" s="284">
        <f>Table6268934567910111213[[#This Row],[Offer Value]]-Table6268934567910111213[[#This Row],[PO Value]]</f>
        <v>180000</v>
      </c>
      <c r="W118" s="106"/>
      <c r="X118" s="106"/>
      <c r="Y118" s="617"/>
      <c r="Z118" s="45"/>
      <c r="AA118" s="3492"/>
    </row>
    <row r="119" spans="1:27" ht="29.1" customHeight="1">
      <c r="A119" s="106">
        <v>56</v>
      </c>
      <c r="B119" s="106" t="s">
        <v>4431</v>
      </c>
      <c r="C119" s="105" t="s">
        <v>4045</v>
      </c>
      <c r="D119" s="105" t="s">
        <v>4046</v>
      </c>
      <c r="E119" s="181" t="s">
        <v>4177</v>
      </c>
      <c r="F119" s="872" t="s">
        <v>4256</v>
      </c>
      <c r="G119" s="858">
        <v>9911876413</v>
      </c>
      <c r="H119" s="870" t="s">
        <v>4257</v>
      </c>
      <c r="I119" s="858" t="s">
        <v>4258</v>
      </c>
      <c r="J119" s="115" t="s">
        <v>75</v>
      </c>
      <c r="K119" s="115" t="s">
        <v>157</v>
      </c>
      <c r="L119" s="181" t="s">
        <v>4430</v>
      </c>
      <c r="M119" s="181" t="s">
        <v>4368</v>
      </c>
      <c r="N119" s="106">
        <v>190000</v>
      </c>
      <c r="O119" s="106" t="s">
        <v>30</v>
      </c>
      <c r="P119" s="106" t="s">
        <v>49</v>
      </c>
      <c r="Q119" s="109">
        <v>0.3</v>
      </c>
      <c r="R119" s="289"/>
      <c r="S119" s="107"/>
      <c r="T119" s="106"/>
      <c r="U119" s="106"/>
      <c r="V119" s="284">
        <f>Table6268934567910111213[[#This Row],[Offer Value]]-Table6268934567910111213[[#This Row],[PO Value]]</f>
        <v>190000</v>
      </c>
      <c r="W119" s="106"/>
      <c r="X119" s="106"/>
      <c r="Y119" s="217"/>
      <c r="Z119" s="45"/>
      <c r="AA119" s="644"/>
    </row>
    <row r="120" spans="1:27" ht="28.8">
      <c r="A120" s="106">
        <v>57</v>
      </c>
      <c r="B120" s="106" t="s">
        <v>4431</v>
      </c>
      <c r="C120" s="105"/>
      <c r="D120" s="105" t="s">
        <v>3949</v>
      </c>
      <c r="E120" s="181" t="s">
        <v>4177</v>
      </c>
      <c r="F120" s="872" t="s">
        <v>4432</v>
      </c>
      <c r="G120" s="858">
        <v>9765947709</v>
      </c>
      <c r="H120" s="2295" t="s">
        <v>4433</v>
      </c>
      <c r="I120" s="183" t="s">
        <v>4434</v>
      </c>
      <c r="J120" s="115" t="s">
        <v>75</v>
      </c>
      <c r="K120" s="115" t="s">
        <v>157</v>
      </c>
      <c r="L120" s="181" t="s">
        <v>4435</v>
      </c>
      <c r="M120" s="181" t="s">
        <v>4436</v>
      </c>
      <c r="N120" s="106">
        <v>1109760</v>
      </c>
      <c r="O120" s="106" t="s">
        <v>30</v>
      </c>
      <c r="P120" s="106" t="s">
        <v>62</v>
      </c>
      <c r="Q120" s="109">
        <v>0.3</v>
      </c>
      <c r="R120" s="289"/>
      <c r="S120" s="107"/>
      <c r="T120" s="106"/>
      <c r="U120" s="106" t="str">
        <f>TEXT(Table6268934567910111213[[#This Row],[PO Date]], "mmmm")</f>
        <v>January</v>
      </c>
      <c r="V120" s="1563">
        <f>Table6268934567910111213[[#This Row],[Offer Value]]-Table6268934567910111213[[#This Row],[PO Value]]</f>
        <v>1109760</v>
      </c>
      <c r="W120" s="106"/>
      <c r="X120" s="106"/>
      <c r="Y120" s="617"/>
      <c r="Z120" s="45" t="s">
        <v>4437</v>
      </c>
      <c r="AA120" s="2239"/>
    </row>
    <row r="121" spans="1:27" ht="15.6">
      <c r="A121" s="1650">
        <v>58</v>
      </c>
      <c r="B121" s="106" t="s">
        <v>4431</v>
      </c>
      <c r="C121" s="105" t="s">
        <v>4045</v>
      </c>
      <c r="D121" s="105" t="s">
        <v>4046</v>
      </c>
      <c r="E121" s="180" t="s">
        <v>4168</v>
      </c>
      <c r="F121" s="859" t="s">
        <v>4363</v>
      </c>
      <c r="G121" s="859">
        <v>9718939898</v>
      </c>
      <c r="H121" s="865" t="s">
        <v>4364</v>
      </c>
      <c r="I121" s="859" t="s">
        <v>4261</v>
      </c>
      <c r="J121" s="859" t="s">
        <v>4438</v>
      </c>
      <c r="K121" s="1652" t="s">
        <v>157</v>
      </c>
      <c r="L121" s="181" t="s">
        <v>4439</v>
      </c>
      <c r="M121" s="181" t="s">
        <v>4440</v>
      </c>
      <c r="N121" s="1653">
        <v>3170000</v>
      </c>
      <c r="O121" s="106" t="s">
        <v>30</v>
      </c>
      <c r="P121" s="1654" t="s">
        <v>44</v>
      </c>
      <c r="Q121" s="1655">
        <v>0.4</v>
      </c>
      <c r="R121" s="1656"/>
      <c r="S121" s="1657"/>
      <c r="T121" s="1658"/>
      <c r="U121" s="1654" t="str">
        <f>TEXT(Table6268934567910111213[[#This Row],[PO Date]], "mmmm")</f>
        <v>January</v>
      </c>
      <c r="V121" s="1659"/>
      <c r="W121" s="1651"/>
      <c r="X121" s="1651"/>
      <c r="Y121" s="1660"/>
      <c r="Z121" s="45" t="s">
        <v>157</v>
      </c>
      <c r="AA121" s="2239"/>
    </row>
    <row r="122" spans="1:27" ht="15.6">
      <c r="A122" s="1650"/>
      <c r="B122" s="106"/>
      <c r="C122" s="105" t="s">
        <v>4045</v>
      </c>
      <c r="D122" s="105" t="s">
        <v>4046</v>
      </c>
      <c r="E122" s="181" t="s">
        <v>4168</v>
      </c>
      <c r="F122" s="858" t="s">
        <v>4363</v>
      </c>
      <c r="G122" s="858">
        <v>9718939898</v>
      </c>
      <c r="H122" s="866" t="s">
        <v>4364</v>
      </c>
      <c r="I122" s="858" t="s">
        <v>4262</v>
      </c>
      <c r="J122" s="858" t="s">
        <v>4438</v>
      </c>
      <c r="K122" s="1652" t="s">
        <v>157</v>
      </c>
      <c r="L122" s="181" t="s">
        <v>4439</v>
      </c>
      <c r="M122" s="181" t="s">
        <v>4440</v>
      </c>
      <c r="N122" s="1653">
        <v>3170000</v>
      </c>
      <c r="O122" s="106" t="s">
        <v>30</v>
      </c>
      <c r="P122" s="1654" t="s">
        <v>44</v>
      </c>
      <c r="Q122" s="1655">
        <v>0.4</v>
      </c>
      <c r="R122" s="1656"/>
      <c r="S122" s="1657"/>
      <c r="T122" s="1658"/>
      <c r="U122" s="1654" t="str">
        <f>TEXT(Table6268934567910111213[[#This Row],[PO Date]], "mmmm")</f>
        <v>January</v>
      </c>
      <c r="V122" s="1659"/>
      <c r="W122" s="1651"/>
      <c r="X122" s="1651"/>
      <c r="Y122" s="1660"/>
      <c r="Z122" s="45"/>
      <c r="AA122" s="2239"/>
    </row>
    <row r="123" spans="1:27" ht="15.6">
      <c r="A123" s="1650"/>
      <c r="B123" s="106"/>
      <c r="C123" s="105" t="s">
        <v>4045</v>
      </c>
      <c r="D123" s="105" t="s">
        <v>4046</v>
      </c>
      <c r="E123" s="181" t="s">
        <v>4168</v>
      </c>
      <c r="F123" s="858" t="s">
        <v>4363</v>
      </c>
      <c r="G123" s="858">
        <v>9718939898</v>
      </c>
      <c r="H123" s="866" t="s">
        <v>4364</v>
      </c>
      <c r="I123" s="858" t="s">
        <v>4263</v>
      </c>
      <c r="J123" s="858" t="s">
        <v>4438</v>
      </c>
      <c r="K123" s="1652" t="s">
        <v>157</v>
      </c>
      <c r="L123" s="181" t="s">
        <v>4439</v>
      </c>
      <c r="M123" s="181" t="s">
        <v>4440</v>
      </c>
      <c r="N123" s="1653">
        <v>3170000</v>
      </c>
      <c r="O123" s="106" t="s">
        <v>30</v>
      </c>
      <c r="P123" s="1654" t="s">
        <v>44</v>
      </c>
      <c r="Q123" s="1655">
        <v>0.4</v>
      </c>
      <c r="R123" s="1656"/>
      <c r="S123" s="1657"/>
      <c r="T123" s="1658"/>
      <c r="U123" s="1654" t="str">
        <f>TEXT(Table6268934567910111213[[#This Row],[PO Date]], "mmmm")</f>
        <v>January</v>
      </c>
      <c r="V123" s="1659"/>
      <c r="W123" s="1651"/>
      <c r="X123" s="1651"/>
      <c r="Y123" s="1660"/>
      <c r="Z123" s="45"/>
      <c r="AA123" s="2239"/>
    </row>
    <row r="124" spans="1:27" ht="15.6">
      <c r="A124" s="1650"/>
      <c r="B124" s="106"/>
      <c r="C124" s="105" t="s">
        <v>4045</v>
      </c>
      <c r="D124" s="105" t="s">
        <v>4046</v>
      </c>
      <c r="E124" s="181" t="s">
        <v>4168</v>
      </c>
      <c r="F124" s="858" t="s">
        <v>4363</v>
      </c>
      <c r="G124" s="858">
        <v>9718939898</v>
      </c>
      <c r="H124" s="866" t="s">
        <v>4364</v>
      </c>
      <c r="I124" s="858" t="s">
        <v>4264</v>
      </c>
      <c r="J124" s="858" t="s">
        <v>4438</v>
      </c>
      <c r="K124" s="1652" t="s">
        <v>157</v>
      </c>
      <c r="L124" s="181" t="s">
        <v>4439</v>
      </c>
      <c r="M124" s="181" t="s">
        <v>4440</v>
      </c>
      <c r="N124" s="1653">
        <v>3170000</v>
      </c>
      <c r="O124" s="106" t="s">
        <v>30</v>
      </c>
      <c r="P124" s="1654" t="s">
        <v>44</v>
      </c>
      <c r="Q124" s="1655">
        <v>0.4</v>
      </c>
      <c r="R124" s="1656"/>
      <c r="S124" s="1657"/>
      <c r="T124" s="1658"/>
      <c r="U124" s="1654" t="str">
        <f>TEXT(Table6268934567910111213[[#This Row],[PO Date]], "mmmm")</f>
        <v>January</v>
      </c>
      <c r="V124" s="1659"/>
      <c r="W124" s="1651"/>
      <c r="X124" s="1651"/>
      <c r="Y124" s="1660"/>
      <c r="Z124" s="45"/>
      <c r="AA124" s="2239"/>
    </row>
    <row r="125" spans="1:27" ht="15.6">
      <c r="A125" s="1650"/>
      <c r="B125" s="106"/>
      <c r="C125" s="105" t="s">
        <v>4045</v>
      </c>
      <c r="D125" s="105" t="s">
        <v>4046</v>
      </c>
      <c r="E125" s="181" t="s">
        <v>4168</v>
      </c>
      <c r="F125" s="858" t="s">
        <v>4363</v>
      </c>
      <c r="G125" s="858">
        <v>9718939898</v>
      </c>
      <c r="H125" s="866" t="s">
        <v>4364</v>
      </c>
      <c r="I125" s="858" t="s">
        <v>4265</v>
      </c>
      <c r="J125" s="858" t="s">
        <v>4438</v>
      </c>
      <c r="K125" s="1652" t="s">
        <v>157</v>
      </c>
      <c r="L125" s="181" t="s">
        <v>4439</v>
      </c>
      <c r="M125" s="181" t="s">
        <v>4440</v>
      </c>
      <c r="N125" s="1653">
        <v>3170000</v>
      </c>
      <c r="O125" s="106" t="s">
        <v>30</v>
      </c>
      <c r="P125" s="1654" t="s">
        <v>44</v>
      </c>
      <c r="Q125" s="1655">
        <v>0.4</v>
      </c>
      <c r="R125" s="1656"/>
      <c r="S125" s="1657"/>
      <c r="T125" s="1658"/>
      <c r="U125" s="1654" t="str">
        <f>TEXT(Table6268934567910111213[[#This Row],[PO Date]], "mmmm")</f>
        <v>January</v>
      </c>
      <c r="V125" s="1659"/>
      <c r="W125" s="1651"/>
      <c r="X125" s="1651"/>
      <c r="Y125" s="1660"/>
      <c r="Z125" s="45"/>
      <c r="AA125" s="2239"/>
    </row>
    <row r="126" spans="1:27" ht="15.6">
      <c r="A126" s="1650"/>
      <c r="B126" s="106"/>
      <c r="C126" s="105" t="s">
        <v>4045</v>
      </c>
      <c r="D126" s="105" t="s">
        <v>4046</v>
      </c>
      <c r="E126" s="181" t="s">
        <v>4168</v>
      </c>
      <c r="F126" s="858" t="s">
        <v>4363</v>
      </c>
      <c r="G126" s="858">
        <v>9718939898</v>
      </c>
      <c r="H126" s="866" t="s">
        <v>4364</v>
      </c>
      <c r="I126" s="858" t="s">
        <v>4266</v>
      </c>
      <c r="J126" s="858" t="s">
        <v>4438</v>
      </c>
      <c r="K126" s="1652" t="s">
        <v>157</v>
      </c>
      <c r="L126" s="181" t="s">
        <v>4439</v>
      </c>
      <c r="M126" s="181" t="s">
        <v>4440</v>
      </c>
      <c r="N126" s="1653">
        <v>3170000</v>
      </c>
      <c r="O126" s="106" t="s">
        <v>30</v>
      </c>
      <c r="P126" s="1654" t="s">
        <v>44</v>
      </c>
      <c r="Q126" s="1655">
        <v>0.4</v>
      </c>
      <c r="R126" s="1656"/>
      <c r="S126" s="1657"/>
      <c r="T126" s="1658"/>
      <c r="U126" s="1654" t="str">
        <f>TEXT(Table6268934567910111213[[#This Row],[PO Date]], "mmmm")</f>
        <v>January</v>
      </c>
      <c r="V126" s="1659"/>
      <c r="W126" s="1651"/>
      <c r="X126" s="1651"/>
      <c r="Y126" s="1660"/>
      <c r="Z126" s="45"/>
      <c r="AA126" s="2239"/>
    </row>
    <row r="127" spans="1:27" ht="15.6">
      <c r="A127" s="1650"/>
      <c r="B127" s="106"/>
      <c r="C127" s="105" t="s">
        <v>4045</v>
      </c>
      <c r="D127" s="105" t="s">
        <v>4046</v>
      </c>
      <c r="E127" s="181" t="s">
        <v>4168</v>
      </c>
      <c r="F127" s="858" t="s">
        <v>4363</v>
      </c>
      <c r="G127" s="858">
        <v>9718939898</v>
      </c>
      <c r="H127" s="866" t="s">
        <v>4364</v>
      </c>
      <c r="I127" s="858" t="s">
        <v>4367</v>
      </c>
      <c r="J127" s="858" t="s">
        <v>4438</v>
      </c>
      <c r="K127" s="1652" t="s">
        <v>157</v>
      </c>
      <c r="L127" s="181" t="s">
        <v>4439</v>
      </c>
      <c r="M127" s="181" t="s">
        <v>4440</v>
      </c>
      <c r="N127" s="1653">
        <v>3170000</v>
      </c>
      <c r="O127" s="106" t="s">
        <v>30</v>
      </c>
      <c r="P127" s="1654" t="s">
        <v>44</v>
      </c>
      <c r="Q127" s="1655">
        <v>0.4</v>
      </c>
      <c r="R127" s="1656"/>
      <c r="S127" s="1657"/>
      <c r="T127" s="1658"/>
      <c r="U127" s="1654" t="str">
        <f>TEXT(Table6268934567910111213[[#This Row],[PO Date]], "mmmm")</f>
        <v>January</v>
      </c>
      <c r="V127" s="1659"/>
      <c r="W127" s="1651"/>
      <c r="X127" s="1651"/>
      <c r="Y127" s="1660"/>
      <c r="Z127" s="45"/>
      <c r="AA127" s="2239"/>
    </row>
    <row r="128" spans="1:27" ht="15.6" customHeight="1">
      <c r="A128" s="106">
        <v>59</v>
      </c>
      <c r="B128" s="937" t="s">
        <v>4431</v>
      </c>
      <c r="C128" s="1010" t="s">
        <v>178</v>
      </c>
      <c r="D128" s="1010" t="s">
        <v>4340</v>
      </c>
      <c r="E128" s="945" t="s">
        <v>4177</v>
      </c>
      <c r="F128" s="1564" t="s">
        <v>4341</v>
      </c>
      <c r="G128" s="1442">
        <v>9411456411</v>
      </c>
      <c r="H128" s="1564" t="s">
        <v>4342</v>
      </c>
      <c r="I128" s="1568" t="s">
        <v>4343</v>
      </c>
      <c r="J128" s="944" t="s">
        <v>77</v>
      </c>
      <c r="K128" s="944" t="s">
        <v>138</v>
      </c>
      <c r="L128" s="945" t="s">
        <v>4441</v>
      </c>
      <c r="M128" s="945" t="s">
        <v>4431</v>
      </c>
      <c r="N128" s="937">
        <v>375000</v>
      </c>
      <c r="O128" s="937" t="s">
        <v>30</v>
      </c>
      <c r="P128" s="937" t="s">
        <v>39</v>
      </c>
      <c r="Q128" s="1321">
        <v>1</v>
      </c>
      <c r="R128" s="972">
        <v>1</v>
      </c>
      <c r="S128" s="938">
        <v>45927</v>
      </c>
      <c r="T128" s="937">
        <v>375000</v>
      </c>
      <c r="U128" s="937" t="s">
        <v>44</v>
      </c>
      <c r="V128" s="976">
        <f>Table6268934567910111213[[#This Row],[Offer Value]]-Table6268934567910111213[[#This Row],[PO Value]]</f>
        <v>0</v>
      </c>
      <c r="W128" s="937"/>
      <c r="X128" s="937"/>
      <c r="Y128" s="1601"/>
      <c r="Z128" s="1853"/>
      <c r="AA128" s="2493"/>
    </row>
    <row r="129" spans="1:27" s="5" customFormat="1" ht="15.6">
      <c r="A129" s="453">
        <v>60</v>
      </c>
      <c r="B129" s="2225">
        <v>45817</v>
      </c>
      <c r="C129" s="2233" t="s">
        <v>614</v>
      </c>
      <c r="D129" s="2233" t="s">
        <v>4388</v>
      </c>
      <c r="E129" s="2228" t="s">
        <v>4168</v>
      </c>
      <c r="F129" s="2234" t="s">
        <v>4389</v>
      </c>
      <c r="G129" s="2235">
        <v>946494226</v>
      </c>
      <c r="H129" s="2231" t="s">
        <v>4390</v>
      </c>
      <c r="I129" s="2231" t="s">
        <v>4395</v>
      </c>
      <c r="J129" s="2229" t="s">
        <v>75</v>
      </c>
      <c r="K129" s="2229" t="s">
        <v>157</v>
      </c>
      <c r="L129" s="2236" t="s">
        <v>4442</v>
      </c>
      <c r="M129" s="2237">
        <v>45811</v>
      </c>
      <c r="N129" s="951">
        <v>216800</v>
      </c>
      <c r="O129" s="951" t="s">
        <v>34</v>
      </c>
      <c r="P129" s="951" t="s">
        <v>34</v>
      </c>
      <c r="Q129" s="2226">
        <v>1</v>
      </c>
      <c r="R129" s="2230">
        <v>4000548058</v>
      </c>
      <c r="S129" s="2225">
        <v>45835</v>
      </c>
      <c r="T129" s="951">
        <v>411920</v>
      </c>
      <c r="U129" s="951" t="s">
        <v>34</v>
      </c>
      <c r="V129" s="976">
        <v>0</v>
      </c>
      <c r="W129" s="951"/>
      <c r="X129" s="951"/>
      <c r="Y129" s="2238"/>
      <c r="Z129" s="2232"/>
      <c r="AA129" s="6"/>
    </row>
    <row r="130" spans="1:27" ht="15.6">
      <c r="A130" s="106">
        <v>61</v>
      </c>
      <c r="B130" s="938">
        <v>45817</v>
      </c>
      <c r="C130" s="1010" t="s">
        <v>1064</v>
      </c>
      <c r="D130" s="1010" t="s">
        <v>3949</v>
      </c>
      <c r="E130" s="945" t="s">
        <v>4177</v>
      </c>
      <c r="F130" s="1564" t="s">
        <v>4321</v>
      </c>
      <c r="G130" s="1442">
        <v>9871005820</v>
      </c>
      <c r="H130" s="1442" t="s">
        <v>4076</v>
      </c>
      <c r="I130" s="1442" t="s">
        <v>4077</v>
      </c>
      <c r="J130" s="1007" t="s">
        <v>75</v>
      </c>
      <c r="K130" s="1007" t="s">
        <v>157</v>
      </c>
      <c r="L130" s="945" t="s">
        <v>4443</v>
      </c>
      <c r="M130" s="1579">
        <v>45813</v>
      </c>
      <c r="N130" s="937">
        <v>533566</v>
      </c>
      <c r="O130" s="937" t="s">
        <v>34</v>
      </c>
      <c r="P130" s="937" t="s">
        <v>34</v>
      </c>
      <c r="Q130" s="1321">
        <v>0.8</v>
      </c>
      <c r="R130" s="1573">
        <v>1250013604</v>
      </c>
      <c r="S130" s="938">
        <v>45819</v>
      </c>
      <c r="T130" s="937">
        <v>304711</v>
      </c>
      <c r="U130" s="937" t="str">
        <f>TEXT(Table6268934567910111213[[#This Row],[PO Date]], "mmmm")</f>
        <v>June</v>
      </c>
      <c r="V130" s="976">
        <v>0</v>
      </c>
      <c r="W130" s="937"/>
      <c r="X130" s="937"/>
      <c r="Y130" s="1600"/>
      <c r="Z130" s="45" t="s">
        <v>157</v>
      </c>
      <c r="AA130" s="7" t="s">
        <v>157</v>
      </c>
    </row>
    <row r="131" spans="1:27" ht="28.8">
      <c r="A131" s="106">
        <v>62</v>
      </c>
      <c r="B131" s="107">
        <v>45852</v>
      </c>
      <c r="C131" s="2316" t="s">
        <v>4444</v>
      </c>
      <c r="D131" s="2240" t="s">
        <v>3959</v>
      </c>
      <c r="E131" s="181" t="s">
        <v>4177</v>
      </c>
      <c r="F131" s="872" t="s">
        <v>4445</v>
      </c>
      <c r="G131" s="858">
        <v>9711969714</v>
      </c>
      <c r="H131" s="858" t="s">
        <v>4446</v>
      </c>
      <c r="I131" s="858" t="s">
        <v>4447</v>
      </c>
      <c r="J131" s="115" t="s">
        <v>75</v>
      </c>
      <c r="K131" s="115" t="s">
        <v>157</v>
      </c>
      <c r="L131" s="181" t="s">
        <v>4448</v>
      </c>
      <c r="M131" s="959">
        <v>45817</v>
      </c>
      <c r="N131" s="106">
        <v>1109760</v>
      </c>
      <c r="O131" s="106" t="s">
        <v>34</v>
      </c>
      <c r="P131" s="106" t="s">
        <v>47</v>
      </c>
      <c r="Q131" s="109">
        <v>0.4</v>
      </c>
      <c r="R131" s="289"/>
      <c r="S131" s="107"/>
      <c r="T131" s="106"/>
      <c r="U131" s="106" t="str">
        <f>TEXT(Table6268934567910111213[[#This Row],[PO Date]], "mmmm")</f>
        <v>January</v>
      </c>
      <c r="V131" s="1563">
        <f>Table6268934567910111213[[#This Row],[Offer Value]]-Table6268934567910111213[[#This Row],[PO Value]]</f>
        <v>1109760</v>
      </c>
      <c r="W131" s="106"/>
      <c r="X131" s="106"/>
      <c r="Y131" s="217"/>
      <c r="Z131" s="45" t="s">
        <v>157</v>
      </c>
      <c r="AA131" s="7"/>
    </row>
    <row r="132" spans="1:27" ht="31.2">
      <c r="A132" s="33">
        <v>63</v>
      </c>
      <c r="B132" s="195">
        <v>45863</v>
      </c>
      <c r="C132" s="105" t="s">
        <v>4449</v>
      </c>
      <c r="D132" s="105" t="s">
        <v>3938</v>
      </c>
      <c r="E132" s="108" t="s">
        <v>4189</v>
      </c>
      <c r="F132" s="108" t="s">
        <v>4450</v>
      </c>
      <c r="G132" s="180">
        <v>981110039</v>
      </c>
      <c r="H132" s="865" t="s">
        <v>4451</v>
      </c>
      <c r="I132" s="859" t="s">
        <v>4452</v>
      </c>
      <c r="J132" s="115" t="s">
        <v>77</v>
      </c>
      <c r="K132" s="115" t="s">
        <v>157</v>
      </c>
      <c r="L132" s="180" t="s">
        <v>4453</v>
      </c>
      <c r="M132" s="959">
        <v>45819</v>
      </c>
      <c r="N132" s="106">
        <v>262500</v>
      </c>
      <c r="O132" s="106" t="s">
        <v>34</v>
      </c>
      <c r="P132" s="106" t="s">
        <v>47</v>
      </c>
      <c r="Q132" s="109">
        <v>0.8</v>
      </c>
      <c r="R132" s="195"/>
      <c r="S132" s="587"/>
      <c r="T132" s="106"/>
      <c r="U132" s="106"/>
      <c r="V132" s="284">
        <f>Table6268934567910111213[[#This Row],[Offer Value]]-Table6268934567910111213[[#This Row],[PO Value]]</f>
        <v>262500</v>
      </c>
      <c r="W132" s="177"/>
      <c r="X132" s="177"/>
      <c r="Y132" s="217"/>
      <c r="Z132" s="45"/>
      <c r="AA132" s="7"/>
    </row>
    <row r="133" spans="1:27" ht="31.2">
      <c r="A133" s="106"/>
      <c r="B133" s="195"/>
      <c r="C133" s="105" t="s">
        <v>4449</v>
      </c>
      <c r="D133" s="105" t="s">
        <v>3938</v>
      </c>
      <c r="E133" s="108" t="s">
        <v>4189</v>
      </c>
      <c r="F133" s="108" t="s">
        <v>4450</v>
      </c>
      <c r="G133" s="181">
        <v>981110039</v>
      </c>
      <c r="H133" s="866" t="s">
        <v>4451</v>
      </c>
      <c r="I133" s="858" t="s">
        <v>4454</v>
      </c>
      <c r="J133" s="115" t="s">
        <v>77</v>
      </c>
      <c r="K133" s="115" t="s">
        <v>157</v>
      </c>
      <c r="L133" s="180" t="s">
        <v>4453</v>
      </c>
      <c r="M133" s="959">
        <v>45819</v>
      </c>
      <c r="N133" s="106">
        <v>262500</v>
      </c>
      <c r="O133" s="106" t="s">
        <v>34</v>
      </c>
      <c r="P133" s="106" t="s">
        <v>47</v>
      </c>
      <c r="Q133" s="109">
        <v>0.8</v>
      </c>
      <c r="R133" s="289"/>
      <c r="S133" s="107"/>
      <c r="T133" s="106"/>
      <c r="U133" s="106"/>
      <c r="V133" s="284">
        <f>Table6268934567910111213[[#This Row],[Offer Value]]-Table6268934567910111213[[#This Row],[PO Value]]</f>
        <v>262500</v>
      </c>
      <c r="W133" s="106"/>
      <c r="X133" s="106"/>
      <c r="Y133" s="217"/>
      <c r="Z133" s="45"/>
      <c r="AA133" s="7"/>
    </row>
    <row r="134" spans="1:27" ht="31.2">
      <c r="A134" s="106"/>
      <c r="B134" s="195"/>
      <c r="C134" s="105" t="s">
        <v>4449</v>
      </c>
      <c r="D134" s="105" t="s">
        <v>3938</v>
      </c>
      <c r="E134" s="108" t="s">
        <v>4189</v>
      </c>
      <c r="F134" s="108" t="s">
        <v>4450</v>
      </c>
      <c r="G134" s="181">
        <v>981110039</v>
      </c>
      <c r="H134" s="866" t="s">
        <v>4451</v>
      </c>
      <c r="I134" s="858" t="s">
        <v>4455</v>
      </c>
      <c r="J134" s="115" t="s">
        <v>77</v>
      </c>
      <c r="K134" s="115" t="s">
        <v>157</v>
      </c>
      <c r="L134" s="180" t="s">
        <v>4453</v>
      </c>
      <c r="M134" s="959">
        <v>45819</v>
      </c>
      <c r="N134" s="106">
        <v>262500</v>
      </c>
      <c r="O134" s="106" t="s">
        <v>34</v>
      </c>
      <c r="P134" s="106" t="s">
        <v>47</v>
      </c>
      <c r="Q134" s="109">
        <v>0.8</v>
      </c>
      <c r="R134" s="256"/>
      <c r="S134" s="107"/>
      <c r="T134" s="106"/>
      <c r="U134" s="106"/>
      <c r="V134" s="284">
        <f>Table6268934567910111213[[#This Row],[Offer Value]]-Table6268934567910111213[[#This Row],[PO Value]]</f>
        <v>262500</v>
      </c>
      <c r="W134" s="106"/>
      <c r="X134" s="106"/>
      <c r="Y134" s="617"/>
      <c r="Z134" s="45"/>
      <c r="AA134" s="7"/>
    </row>
    <row r="135" spans="1:27" ht="31.2">
      <c r="A135" s="106"/>
      <c r="B135" s="195"/>
      <c r="C135" s="105" t="s">
        <v>4449</v>
      </c>
      <c r="D135" s="105" t="s">
        <v>3938</v>
      </c>
      <c r="E135" s="108" t="s">
        <v>4189</v>
      </c>
      <c r="F135" s="108" t="s">
        <v>4450</v>
      </c>
      <c r="G135" s="181">
        <v>981110039</v>
      </c>
      <c r="H135" s="866" t="s">
        <v>4451</v>
      </c>
      <c r="I135" s="858" t="s">
        <v>4456</v>
      </c>
      <c r="J135" s="115" t="s">
        <v>77</v>
      </c>
      <c r="K135" s="115" t="s">
        <v>157</v>
      </c>
      <c r="L135" s="180" t="s">
        <v>4453</v>
      </c>
      <c r="M135" s="959">
        <v>45819</v>
      </c>
      <c r="N135" s="106">
        <v>262500</v>
      </c>
      <c r="O135" s="106" t="s">
        <v>34</v>
      </c>
      <c r="P135" s="106" t="s">
        <v>47</v>
      </c>
      <c r="Q135" s="109">
        <v>0.8</v>
      </c>
      <c r="R135" s="289"/>
      <c r="S135" s="107"/>
      <c r="T135" s="106"/>
      <c r="U135" s="106"/>
      <c r="V135" s="284">
        <f>Table6268934567910111213[[#This Row],[Offer Value]]-Table6268934567910111213[[#This Row],[PO Value]]</f>
        <v>262500</v>
      </c>
      <c r="W135" s="106"/>
      <c r="X135" s="106"/>
      <c r="Y135" s="217"/>
      <c r="Z135" s="45"/>
      <c r="AA135" s="7"/>
    </row>
    <row r="136" spans="1:27" ht="31.2">
      <c r="A136" s="106">
        <v>64</v>
      </c>
      <c r="B136" s="195">
        <v>45863</v>
      </c>
      <c r="C136" s="105" t="s">
        <v>4091</v>
      </c>
      <c r="D136" s="105" t="s">
        <v>4046</v>
      </c>
      <c r="E136" s="178" t="s">
        <v>4189</v>
      </c>
      <c r="F136" s="859" t="s">
        <v>4457</v>
      </c>
      <c r="G136" s="859">
        <v>7838290257</v>
      </c>
      <c r="H136" s="859" t="s">
        <v>4458</v>
      </c>
      <c r="I136" s="859" t="s">
        <v>4094</v>
      </c>
      <c r="J136" s="115" t="s">
        <v>80</v>
      </c>
      <c r="K136" s="115" t="s">
        <v>157</v>
      </c>
      <c r="L136" s="180" t="s">
        <v>4459</v>
      </c>
      <c r="M136" s="959">
        <v>45819</v>
      </c>
      <c r="N136" s="106">
        <v>7899970</v>
      </c>
      <c r="O136" s="106" t="s">
        <v>34</v>
      </c>
      <c r="P136" s="106" t="s">
        <v>49</v>
      </c>
      <c r="Q136" s="109">
        <v>0.6</v>
      </c>
      <c r="R136" s="289"/>
      <c r="S136" s="107"/>
      <c r="T136" s="106"/>
      <c r="U136" s="106" t="str">
        <f>TEXT(Table6268934567910111213[[#This Row],[PO Date]], "mmmm")</f>
        <v>January</v>
      </c>
      <c r="V136" s="284">
        <f>Table6268934567910111213[[#This Row],[Offer Value]]-Table6268934567910111213[[#This Row],[PO Value]]</f>
        <v>7899970</v>
      </c>
      <c r="W136" s="106"/>
      <c r="X136" s="106"/>
      <c r="Y136" s="217"/>
      <c r="Z136" s="45" t="s">
        <v>157</v>
      </c>
      <c r="AA136" s="7"/>
    </row>
    <row r="137" spans="1:27" ht="15.6">
      <c r="A137" s="106">
        <v>65</v>
      </c>
      <c r="B137" s="1854">
        <v>45863</v>
      </c>
      <c r="C137" s="1010" t="s">
        <v>4000</v>
      </c>
      <c r="D137" s="1010" t="s">
        <v>4001</v>
      </c>
      <c r="E137" s="945" t="s">
        <v>4460</v>
      </c>
      <c r="F137" s="1442" t="s">
        <v>4461</v>
      </c>
      <c r="G137" s="1442">
        <v>9115527868</v>
      </c>
      <c r="H137" s="1442" t="s">
        <v>4462</v>
      </c>
      <c r="I137" s="1442" t="s">
        <v>4463</v>
      </c>
      <c r="J137" s="1007" t="s">
        <v>73</v>
      </c>
      <c r="K137" s="1007" t="s">
        <v>138</v>
      </c>
      <c r="L137" s="978" t="s">
        <v>4464</v>
      </c>
      <c r="M137" s="1579">
        <v>45825</v>
      </c>
      <c r="N137" s="937">
        <v>120000</v>
      </c>
      <c r="O137" s="937" t="s">
        <v>34</v>
      </c>
      <c r="P137" s="937" t="s">
        <v>37</v>
      </c>
      <c r="Q137" s="1321">
        <v>1</v>
      </c>
      <c r="R137" s="1573">
        <v>6100009693</v>
      </c>
      <c r="S137" s="938">
        <v>45849</v>
      </c>
      <c r="T137" s="937">
        <v>120000</v>
      </c>
      <c r="U137" s="937" t="s">
        <v>37</v>
      </c>
      <c r="V137" s="976">
        <f>Table6268934567910111213[[#This Row],[Offer Value]]-Table6268934567910111213[[#This Row],[PO Value]]</f>
        <v>0</v>
      </c>
      <c r="W137" s="937"/>
      <c r="X137" s="937"/>
      <c r="Y137" s="1600"/>
      <c r="Z137" s="45"/>
      <c r="AA137" s="3492"/>
    </row>
    <row r="138" spans="1:27" ht="15.6">
      <c r="A138" s="106"/>
      <c r="B138" s="1854"/>
      <c r="C138" s="1010" t="s">
        <v>4000</v>
      </c>
      <c r="D138" s="1010" t="s">
        <v>4001</v>
      </c>
      <c r="E138" s="945" t="s">
        <v>4460</v>
      </c>
      <c r="F138" s="1442" t="s">
        <v>4461</v>
      </c>
      <c r="G138" s="1442">
        <v>9115527868</v>
      </c>
      <c r="H138" s="1442" t="s">
        <v>4462</v>
      </c>
      <c r="I138" s="1442" t="s">
        <v>4465</v>
      </c>
      <c r="J138" s="1007" t="s">
        <v>73</v>
      </c>
      <c r="K138" s="1007" t="s">
        <v>639</v>
      </c>
      <c r="L138" s="978" t="s">
        <v>4464</v>
      </c>
      <c r="M138" s="1579">
        <v>45825</v>
      </c>
      <c r="N138" s="937">
        <v>120000</v>
      </c>
      <c r="O138" s="937" t="s">
        <v>34</v>
      </c>
      <c r="P138" s="937" t="s">
        <v>37</v>
      </c>
      <c r="Q138" s="1321">
        <v>1</v>
      </c>
      <c r="R138" s="1573">
        <v>6100009693</v>
      </c>
      <c r="S138" s="938">
        <v>45849</v>
      </c>
      <c r="T138" s="937">
        <v>120000</v>
      </c>
      <c r="U138" s="937" t="s">
        <v>37</v>
      </c>
      <c r="V138" s="976">
        <f>Table6268934567910111213[[#This Row],[Offer Value]]-Table6268934567910111213[[#This Row],[PO Value]]</f>
        <v>0</v>
      </c>
      <c r="W138" s="937"/>
      <c r="X138" s="937"/>
      <c r="Y138" s="1601"/>
      <c r="Z138" s="45"/>
      <c r="AA138" s="3492"/>
    </row>
    <row r="139" spans="1:27" ht="15.6">
      <c r="A139" s="106">
        <v>66</v>
      </c>
      <c r="B139" s="1854"/>
      <c r="C139" s="1010" t="s">
        <v>614</v>
      </c>
      <c r="D139" s="1010" t="s">
        <v>4058</v>
      </c>
      <c r="E139" s="945" t="s">
        <v>4189</v>
      </c>
      <c r="F139" s="1442" t="s">
        <v>4466</v>
      </c>
      <c r="G139" s="1442">
        <v>7456876687</v>
      </c>
      <c r="H139" s="2038" t="s">
        <v>4467</v>
      </c>
      <c r="I139" s="1442" t="s">
        <v>4067</v>
      </c>
      <c r="J139" s="1007" t="s">
        <v>75</v>
      </c>
      <c r="K139" s="1007" t="s">
        <v>157</v>
      </c>
      <c r="L139" s="978" t="s">
        <v>4468</v>
      </c>
      <c r="M139" s="1579">
        <v>45861</v>
      </c>
      <c r="N139" s="937">
        <v>265000</v>
      </c>
      <c r="O139" s="937" t="s">
        <v>37</v>
      </c>
      <c r="P139" s="937" t="s">
        <v>39</v>
      </c>
      <c r="Q139" s="1321">
        <v>1</v>
      </c>
      <c r="R139" s="1573">
        <v>4000558229</v>
      </c>
      <c r="S139" s="938">
        <v>45877</v>
      </c>
      <c r="T139" s="937">
        <v>254400</v>
      </c>
      <c r="U139" s="937" t="s">
        <v>39</v>
      </c>
      <c r="V139" s="976">
        <v>0</v>
      </c>
      <c r="W139" s="937"/>
      <c r="X139" s="937"/>
      <c r="Y139" s="1600"/>
      <c r="Z139" s="45"/>
      <c r="AA139" s="3492" t="s">
        <v>157</v>
      </c>
    </row>
    <row r="140" spans="1:27" ht="15.6">
      <c r="A140" s="106">
        <v>67</v>
      </c>
      <c r="B140" s="1854"/>
      <c r="C140" s="1010" t="s">
        <v>4091</v>
      </c>
      <c r="D140" s="1010" t="s">
        <v>4046</v>
      </c>
      <c r="E140" s="1443" t="s">
        <v>4189</v>
      </c>
      <c r="F140" s="1568" t="s">
        <v>4457</v>
      </c>
      <c r="G140" s="1568">
        <v>7838290257</v>
      </c>
      <c r="H140" s="1568" t="s">
        <v>4458</v>
      </c>
      <c r="I140" s="1568" t="s">
        <v>4356</v>
      </c>
      <c r="J140" s="1007" t="s">
        <v>75</v>
      </c>
      <c r="K140" s="1007" t="s">
        <v>157</v>
      </c>
      <c r="L140" s="978" t="s">
        <v>4469</v>
      </c>
      <c r="M140" s="1579">
        <v>45757</v>
      </c>
      <c r="N140" s="937">
        <v>683500</v>
      </c>
      <c r="O140" s="937" t="s">
        <v>28</v>
      </c>
      <c r="P140" s="937" t="s">
        <v>34</v>
      </c>
      <c r="Q140" s="1321">
        <v>1</v>
      </c>
      <c r="R140" s="1573">
        <v>130005692</v>
      </c>
      <c r="S140" s="938">
        <v>45820</v>
      </c>
      <c r="T140" s="937">
        <v>531944</v>
      </c>
      <c r="U140" s="937" t="str">
        <f>TEXT(Table6268934567910111213[[#This Row],[PO Date]], "mmmm")</f>
        <v>June</v>
      </c>
      <c r="V140" s="1790">
        <v>0</v>
      </c>
      <c r="W140" s="937"/>
      <c r="X140" s="937"/>
      <c r="Y140" s="1600"/>
      <c r="Z140" s="45" t="s">
        <v>157</v>
      </c>
      <c r="AA140" s="3492"/>
    </row>
    <row r="141" spans="1:27" ht="15.6">
      <c r="A141" s="106">
        <v>68</v>
      </c>
      <c r="B141" s="938">
        <v>45891</v>
      </c>
      <c r="C141" s="1010" t="s">
        <v>1015</v>
      </c>
      <c r="D141" s="1010" t="s">
        <v>3910</v>
      </c>
      <c r="E141" s="978" t="s">
        <v>4177</v>
      </c>
      <c r="F141" s="1568" t="s">
        <v>4297</v>
      </c>
      <c r="G141" s="1568">
        <v>9818778483</v>
      </c>
      <c r="H141" s="1568" t="s">
        <v>3919</v>
      </c>
      <c r="I141" s="2248" t="s">
        <v>4290</v>
      </c>
      <c r="J141" s="1007" t="s">
        <v>74</v>
      </c>
      <c r="K141" s="1007" t="s">
        <v>138</v>
      </c>
      <c r="L141" s="978" t="s">
        <v>4470</v>
      </c>
      <c r="M141" s="1579">
        <v>45860</v>
      </c>
      <c r="N141" s="937">
        <v>522024</v>
      </c>
      <c r="O141" s="937" t="s">
        <v>37</v>
      </c>
      <c r="P141" s="937" t="s">
        <v>39</v>
      </c>
      <c r="Q141" s="1321">
        <v>1</v>
      </c>
      <c r="R141" s="1573">
        <v>6500022893</v>
      </c>
      <c r="S141" s="938">
        <v>45874</v>
      </c>
      <c r="T141" s="937">
        <v>269176</v>
      </c>
      <c r="U141" s="937" t="s">
        <v>39</v>
      </c>
      <c r="V141" s="976">
        <v>0</v>
      </c>
      <c r="W141" s="937"/>
      <c r="X141" s="937"/>
      <c r="Y141" s="1600"/>
      <c r="Z141" s="45"/>
      <c r="AA141" s="3492"/>
    </row>
    <row r="142" spans="1:27" ht="15.6">
      <c r="A142" s="106">
        <v>69</v>
      </c>
      <c r="B142" s="107">
        <v>45891</v>
      </c>
      <c r="C142" s="105" t="s">
        <v>4176</v>
      </c>
      <c r="D142" s="105" t="s">
        <v>3938</v>
      </c>
      <c r="E142" s="181" t="s">
        <v>4177</v>
      </c>
      <c r="F142" s="858" t="s">
        <v>4471</v>
      </c>
      <c r="G142" s="858">
        <v>9711373396</v>
      </c>
      <c r="H142" s="858" t="s">
        <v>4472</v>
      </c>
      <c r="I142" s="859" t="s">
        <v>4473</v>
      </c>
      <c r="J142" s="115" t="s">
        <v>73</v>
      </c>
      <c r="K142" s="115" t="s">
        <v>138</v>
      </c>
      <c r="L142" s="181" t="s">
        <v>4474</v>
      </c>
      <c r="M142" s="959">
        <v>45867</v>
      </c>
      <c r="N142" s="106">
        <v>74480</v>
      </c>
      <c r="O142" s="106"/>
      <c r="P142" s="106"/>
      <c r="Q142" s="2040"/>
      <c r="R142" s="289"/>
      <c r="S142" s="107"/>
      <c r="T142" s="106"/>
      <c r="U142" s="106"/>
      <c r="V142" s="284">
        <f>Table6268934567910111213[[#This Row],[Offer Value]]-Table6268934567910111213[[#This Row],[PO Value]]</f>
        <v>74480</v>
      </c>
      <c r="W142" s="106"/>
      <c r="X142" s="106"/>
      <c r="Y142" s="217"/>
      <c r="Z142" s="45"/>
      <c r="AA142" s="3492"/>
    </row>
    <row r="143" spans="1:27" ht="15.6">
      <c r="A143" s="106"/>
      <c r="B143" s="107"/>
      <c r="C143" s="105" t="s">
        <v>4176</v>
      </c>
      <c r="D143" s="105" t="s">
        <v>3938</v>
      </c>
      <c r="E143" s="181" t="s">
        <v>4177</v>
      </c>
      <c r="F143" s="858" t="s">
        <v>4471</v>
      </c>
      <c r="G143" s="858">
        <v>9711373396</v>
      </c>
      <c r="H143" s="858" t="s">
        <v>4472</v>
      </c>
      <c r="I143" s="858" t="s">
        <v>4475</v>
      </c>
      <c r="J143" s="115" t="s">
        <v>73</v>
      </c>
      <c r="K143" s="115" t="s">
        <v>138</v>
      </c>
      <c r="L143" s="181" t="s">
        <v>4474</v>
      </c>
      <c r="M143" s="959">
        <v>45867</v>
      </c>
      <c r="N143" s="106">
        <v>74480</v>
      </c>
      <c r="O143" s="106"/>
      <c r="P143" s="106"/>
      <c r="Q143" s="109"/>
      <c r="R143" s="289"/>
      <c r="S143" s="107"/>
      <c r="T143" s="106"/>
      <c r="U143" s="106"/>
      <c r="V143" s="284">
        <f>Table6268934567910111213[[#This Row],[Offer Value]]-Table6268934567910111213[[#This Row],[PO Value]]</f>
        <v>74480</v>
      </c>
      <c r="W143" s="106"/>
      <c r="X143" s="106"/>
      <c r="Y143" s="217"/>
      <c r="Z143" s="45"/>
      <c r="AA143" s="7"/>
    </row>
    <row r="144" spans="1:27" ht="15.6">
      <c r="A144" s="106">
        <v>70</v>
      </c>
      <c r="B144" s="938">
        <v>45891</v>
      </c>
      <c r="C144" s="1010" t="s">
        <v>4091</v>
      </c>
      <c r="D144" s="1010" t="s">
        <v>4046</v>
      </c>
      <c r="E144" s="1586" t="s">
        <v>4168</v>
      </c>
      <c r="F144" s="1442" t="s">
        <v>4354</v>
      </c>
      <c r="G144" s="1442">
        <v>7838367907</v>
      </c>
      <c r="H144" s="1576" t="s">
        <v>4355</v>
      </c>
      <c r="I144" s="1442" t="s">
        <v>4361</v>
      </c>
      <c r="J144" s="1007" t="s">
        <v>75</v>
      </c>
      <c r="K144" s="1007" t="s">
        <v>157</v>
      </c>
      <c r="L144" s="945" t="s">
        <v>4476</v>
      </c>
      <c r="M144" s="1579" t="s">
        <v>4477</v>
      </c>
      <c r="N144" s="937">
        <v>423498</v>
      </c>
      <c r="O144" s="937" t="s">
        <v>37</v>
      </c>
      <c r="P144" s="937" t="s">
        <v>39</v>
      </c>
      <c r="Q144" s="1321">
        <v>1</v>
      </c>
      <c r="R144" s="1573">
        <v>130006286</v>
      </c>
      <c r="S144" s="938">
        <v>45880</v>
      </c>
      <c r="T144" s="937">
        <v>389618</v>
      </c>
      <c r="U144" s="937" t="str">
        <f>TEXT(Table6268934567910111213[[#This Row],[PO Date]], "mmmm")</f>
        <v>August</v>
      </c>
      <c r="V144" s="1790">
        <v>0</v>
      </c>
      <c r="W144" s="937"/>
      <c r="X144" s="937"/>
      <c r="Y144" s="1600"/>
      <c r="Z144" s="45" t="s">
        <v>157</v>
      </c>
      <c r="AA144" s="7" t="s">
        <v>157</v>
      </c>
    </row>
    <row r="145" spans="1:27" ht="15.6">
      <c r="A145" s="106">
        <v>71</v>
      </c>
      <c r="B145" s="107">
        <v>45891</v>
      </c>
      <c r="C145" s="105" t="s">
        <v>4478</v>
      </c>
      <c r="D145" s="105" t="s">
        <v>4479</v>
      </c>
      <c r="E145" s="181" t="s">
        <v>4177</v>
      </c>
      <c r="F145" s="858" t="s">
        <v>4480</v>
      </c>
      <c r="G145" s="858">
        <v>9516504049</v>
      </c>
      <c r="H145" s="858" t="s">
        <v>4481</v>
      </c>
      <c r="I145" s="858" t="s">
        <v>4482</v>
      </c>
      <c r="J145" s="115" t="s">
        <v>73</v>
      </c>
      <c r="K145" s="115" t="s">
        <v>138</v>
      </c>
      <c r="L145" s="181" t="s">
        <v>4483</v>
      </c>
      <c r="M145" s="959">
        <v>45875</v>
      </c>
      <c r="N145" s="106">
        <v>110000</v>
      </c>
      <c r="O145" s="106"/>
      <c r="P145" s="106"/>
      <c r="Q145" s="109"/>
      <c r="R145" s="289"/>
      <c r="S145" s="107"/>
      <c r="T145" s="106"/>
      <c r="U145" s="106"/>
      <c r="V145" s="284">
        <f>Table6268934567910111213[[#This Row],[Offer Value]]-Table6268934567910111213[[#This Row],[PO Value]]</f>
        <v>110000</v>
      </c>
      <c r="W145" s="106"/>
      <c r="X145" s="106"/>
      <c r="Y145" s="217"/>
      <c r="Z145" s="45"/>
      <c r="AA145" s="7"/>
    </row>
    <row r="146" spans="1:27" ht="15.6">
      <c r="A146" s="106"/>
      <c r="B146" s="107"/>
      <c r="C146" s="105" t="s">
        <v>4478</v>
      </c>
      <c r="D146" s="105" t="s">
        <v>4479</v>
      </c>
      <c r="E146" s="181" t="s">
        <v>4177</v>
      </c>
      <c r="F146" s="858" t="s">
        <v>4480</v>
      </c>
      <c r="G146" s="858">
        <v>9516504049</v>
      </c>
      <c r="H146" s="858" t="s">
        <v>4481</v>
      </c>
      <c r="I146" s="858" t="s">
        <v>4484</v>
      </c>
      <c r="J146" s="115" t="s">
        <v>73</v>
      </c>
      <c r="K146" s="115" t="s">
        <v>138</v>
      </c>
      <c r="L146" s="181" t="s">
        <v>4483</v>
      </c>
      <c r="M146" s="959">
        <v>45875</v>
      </c>
      <c r="N146" s="106">
        <v>110000</v>
      </c>
      <c r="O146" s="106"/>
      <c r="P146" s="106"/>
      <c r="Q146" s="109"/>
      <c r="R146" s="289"/>
      <c r="S146" s="107"/>
      <c r="T146" s="106"/>
      <c r="U146" s="106"/>
      <c r="V146" s="284">
        <f>Table6268934567910111213[[#This Row],[Offer Value]]-Table6268934567910111213[[#This Row],[PO Value]]</f>
        <v>110000</v>
      </c>
      <c r="W146" s="106"/>
      <c r="X146" s="106"/>
      <c r="Y146" s="217"/>
      <c r="Z146" s="45"/>
      <c r="AA146" s="7"/>
    </row>
    <row r="147" spans="1:27" ht="15.6">
      <c r="A147" s="106"/>
      <c r="B147" s="107"/>
      <c r="C147" s="105" t="s">
        <v>4478</v>
      </c>
      <c r="D147" s="105" t="s">
        <v>4479</v>
      </c>
      <c r="E147" s="181" t="s">
        <v>4177</v>
      </c>
      <c r="F147" s="858" t="s">
        <v>4480</v>
      </c>
      <c r="G147" s="858">
        <v>9516504049</v>
      </c>
      <c r="H147" s="858" t="s">
        <v>4481</v>
      </c>
      <c r="I147" s="858" t="s">
        <v>4485</v>
      </c>
      <c r="J147" s="115" t="s">
        <v>73</v>
      </c>
      <c r="K147" s="115" t="s">
        <v>138</v>
      </c>
      <c r="L147" s="181" t="s">
        <v>4483</v>
      </c>
      <c r="M147" s="959">
        <v>45875</v>
      </c>
      <c r="N147" s="106">
        <v>110000</v>
      </c>
      <c r="O147" s="106"/>
      <c r="P147" s="106"/>
      <c r="Q147" s="109"/>
      <c r="R147" s="289"/>
      <c r="S147" s="107"/>
      <c r="T147" s="106"/>
      <c r="U147" s="106"/>
      <c r="V147" s="284">
        <f>Table6268934567910111213[[#This Row],[Offer Value]]-Table6268934567910111213[[#This Row],[PO Value]]</f>
        <v>110000</v>
      </c>
      <c r="W147" s="106"/>
      <c r="X147" s="106"/>
      <c r="Y147" s="217"/>
      <c r="Z147" s="45"/>
      <c r="AA147" s="7"/>
    </row>
    <row r="148" spans="1:27" ht="31.2">
      <c r="A148" s="106">
        <v>72</v>
      </c>
      <c r="B148" s="107">
        <v>45891</v>
      </c>
      <c r="C148" s="105" t="s">
        <v>4045</v>
      </c>
      <c r="D148" s="105" t="s">
        <v>4046</v>
      </c>
      <c r="E148" s="181" t="s">
        <v>4177</v>
      </c>
      <c r="F148" s="858" t="s">
        <v>4486</v>
      </c>
      <c r="G148" s="858">
        <v>8285843157</v>
      </c>
      <c r="H148" s="2039" t="s">
        <v>4048</v>
      </c>
      <c r="I148" s="858" t="s">
        <v>4261</v>
      </c>
      <c r="J148" s="115" t="s">
        <v>83</v>
      </c>
      <c r="K148" s="115" t="s">
        <v>157</v>
      </c>
      <c r="L148" s="181" t="s">
        <v>4487</v>
      </c>
      <c r="M148" s="959">
        <v>45882</v>
      </c>
      <c r="N148" s="106">
        <v>380000</v>
      </c>
      <c r="O148" s="106"/>
      <c r="P148" s="106"/>
      <c r="Q148" s="109"/>
      <c r="R148" s="289"/>
      <c r="S148" s="107"/>
      <c r="T148" s="106"/>
      <c r="U148" s="106"/>
      <c r="V148" s="284">
        <f>Table6268934567910111213[[#This Row],[Offer Value]]-Table6268934567910111213[[#This Row],[PO Value]]</f>
        <v>380000</v>
      </c>
      <c r="W148" s="106"/>
      <c r="X148" s="106"/>
      <c r="Y148" s="217"/>
      <c r="Z148" s="45"/>
      <c r="AA148" s="7"/>
    </row>
    <row r="149" spans="1:27" ht="31.2">
      <c r="A149" s="106"/>
      <c r="B149" s="938">
        <v>45891</v>
      </c>
      <c r="C149" s="1010" t="s">
        <v>4045</v>
      </c>
      <c r="D149" s="1010" t="s">
        <v>4046</v>
      </c>
      <c r="E149" s="945" t="s">
        <v>4177</v>
      </c>
      <c r="F149" s="1442" t="s">
        <v>4486</v>
      </c>
      <c r="G149" s="1442">
        <v>8285843157</v>
      </c>
      <c r="H149" s="2312" t="s">
        <v>4048</v>
      </c>
      <c r="I149" s="1442" t="s">
        <v>4262</v>
      </c>
      <c r="J149" s="1007" t="s">
        <v>83</v>
      </c>
      <c r="K149" s="1007" t="s">
        <v>157</v>
      </c>
      <c r="L149" s="945" t="s">
        <v>4487</v>
      </c>
      <c r="M149" s="1579">
        <v>45882</v>
      </c>
      <c r="N149" s="937">
        <v>461801</v>
      </c>
      <c r="O149" s="937" t="s">
        <v>39</v>
      </c>
      <c r="P149" s="948" t="s">
        <v>44</v>
      </c>
      <c r="Q149" s="1321">
        <v>0.6</v>
      </c>
      <c r="R149" s="943">
        <v>4340103433</v>
      </c>
      <c r="S149" s="938">
        <v>45909</v>
      </c>
      <c r="T149" s="937">
        <v>258852</v>
      </c>
      <c r="U149" s="937" t="str">
        <f>TEXT(Table6268934567910111213[[#This Row],[PO Date]], "mmmm")</f>
        <v>September</v>
      </c>
      <c r="V149" s="976">
        <v>0</v>
      </c>
      <c r="W149" s="937"/>
      <c r="X149" s="937"/>
      <c r="Y149" s="1600"/>
      <c r="Z149" s="45" t="s">
        <v>208</v>
      </c>
      <c r="AA149" s="2239" t="s">
        <v>208</v>
      </c>
    </row>
    <row r="150" spans="1:27" ht="30.9" customHeight="1">
      <c r="A150" s="106">
        <v>73</v>
      </c>
      <c r="B150" s="938">
        <v>45891</v>
      </c>
      <c r="C150" s="1010" t="s">
        <v>1015</v>
      </c>
      <c r="D150" s="1010" t="s">
        <v>3910</v>
      </c>
      <c r="E150" s="945" t="s">
        <v>4177</v>
      </c>
      <c r="F150" s="1442" t="s">
        <v>4297</v>
      </c>
      <c r="G150" s="1442">
        <v>9818778483</v>
      </c>
      <c r="H150" s="1442" t="s">
        <v>3919</v>
      </c>
      <c r="I150" s="1442" t="s">
        <v>4288</v>
      </c>
      <c r="J150" s="1007" t="s">
        <v>83</v>
      </c>
      <c r="K150" s="1007" t="s">
        <v>157</v>
      </c>
      <c r="L150" s="945" t="s">
        <v>4488</v>
      </c>
      <c r="M150" s="1579">
        <v>45889</v>
      </c>
      <c r="N150" s="937">
        <v>321250</v>
      </c>
      <c r="O150" s="937" t="s">
        <v>39</v>
      </c>
      <c r="P150" s="937" t="s">
        <v>47</v>
      </c>
      <c r="Q150" s="1321">
        <v>1</v>
      </c>
      <c r="R150" s="1573">
        <v>6500023810</v>
      </c>
      <c r="S150" s="938">
        <v>45946</v>
      </c>
      <c r="T150" s="937">
        <v>214560</v>
      </c>
      <c r="U150" s="937" t="s">
        <v>47</v>
      </c>
      <c r="V150" s="976">
        <v>0</v>
      </c>
      <c r="W150" s="937"/>
      <c r="X150" s="937"/>
      <c r="Y150" s="1601"/>
      <c r="Z150" s="45"/>
      <c r="AA150" s="644"/>
    </row>
    <row r="151" spans="1:27" ht="31.2">
      <c r="A151" s="106"/>
      <c r="B151" s="107"/>
      <c r="C151" s="105" t="s">
        <v>1015</v>
      </c>
      <c r="D151" s="105" t="s">
        <v>3910</v>
      </c>
      <c r="E151" s="181" t="s">
        <v>4177</v>
      </c>
      <c r="F151" s="858" t="s">
        <v>4297</v>
      </c>
      <c r="G151" s="858">
        <v>9818778483</v>
      </c>
      <c r="H151" s="858" t="s">
        <v>3919</v>
      </c>
      <c r="I151" s="858" t="s">
        <v>4291</v>
      </c>
      <c r="J151" s="115" t="s">
        <v>83</v>
      </c>
      <c r="K151" s="115" t="s">
        <v>157</v>
      </c>
      <c r="L151" s="181" t="s">
        <v>4488</v>
      </c>
      <c r="M151" s="959">
        <v>45889</v>
      </c>
      <c r="N151" s="106">
        <v>652689</v>
      </c>
      <c r="O151" s="106"/>
      <c r="P151" s="106"/>
      <c r="Q151" s="109"/>
      <c r="R151" s="289"/>
      <c r="S151" s="107"/>
      <c r="T151" s="106"/>
      <c r="U151" s="106" t="str">
        <f>TEXT(Table6268934567910111213[[#This Row],[PO Date]], "mmmm")</f>
        <v>January</v>
      </c>
      <c r="V151" s="284">
        <f>Table6268934567910111213[[#This Row],[Offer Value]]-Table6268934567910111213[[#This Row],[PO Value]]</f>
        <v>652689</v>
      </c>
      <c r="W151" s="106"/>
      <c r="X151" s="106"/>
      <c r="Y151" s="617"/>
      <c r="Z151" s="45" t="s">
        <v>157</v>
      </c>
      <c r="AA151" s="2239"/>
    </row>
    <row r="152" spans="1:27" ht="31.2">
      <c r="A152" s="106">
        <v>74</v>
      </c>
      <c r="B152" s="938">
        <v>45891</v>
      </c>
      <c r="C152" s="1010" t="s">
        <v>4235</v>
      </c>
      <c r="D152" s="1592" t="s">
        <v>4489</v>
      </c>
      <c r="E152" s="978" t="s">
        <v>4177</v>
      </c>
      <c r="F152" s="1568" t="s">
        <v>4490</v>
      </c>
      <c r="G152" s="1568">
        <v>8840628183</v>
      </c>
      <c r="H152" s="1568" t="s">
        <v>4491</v>
      </c>
      <c r="I152" s="1568" t="s">
        <v>4492</v>
      </c>
      <c r="J152" s="1007" t="s">
        <v>83</v>
      </c>
      <c r="K152" s="1007" t="s">
        <v>157</v>
      </c>
      <c r="L152" s="978" t="s">
        <v>4493</v>
      </c>
      <c r="M152" s="1579">
        <v>45635</v>
      </c>
      <c r="N152" s="978">
        <v>942929</v>
      </c>
      <c r="O152" s="937" t="s">
        <v>7</v>
      </c>
      <c r="P152" s="937" t="s">
        <v>37</v>
      </c>
      <c r="Q152" s="1321">
        <v>0.6</v>
      </c>
      <c r="R152" s="1573">
        <v>1011413500</v>
      </c>
      <c r="S152" s="938">
        <v>45869</v>
      </c>
      <c r="T152" s="937">
        <v>88097</v>
      </c>
      <c r="U152" s="937" t="str">
        <f>TEXT(Table6268934567910111213[[#This Row],[PO Date]], "mmmm")</f>
        <v>July</v>
      </c>
      <c r="V152" s="976">
        <v>0</v>
      </c>
      <c r="W152" s="937"/>
      <c r="X152" s="937"/>
      <c r="Y152" s="1601"/>
      <c r="Z152" s="45" t="s">
        <v>208</v>
      </c>
      <c r="AA152" s="2239" t="s">
        <v>208</v>
      </c>
    </row>
    <row r="153" spans="1:27" ht="18.600000000000001" customHeight="1">
      <c r="A153" s="106">
        <v>75</v>
      </c>
      <c r="B153" s="938">
        <v>45878</v>
      </c>
      <c r="C153" s="1010" t="s">
        <v>614</v>
      </c>
      <c r="D153" s="1592" t="s">
        <v>4494</v>
      </c>
      <c r="E153" s="978" t="s">
        <v>4189</v>
      </c>
      <c r="F153" s="1574" t="s">
        <v>4466</v>
      </c>
      <c r="G153" s="1568">
        <v>7456876687</v>
      </c>
      <c r="H153" s="1907" t="s">
        <v>4467</v>
      </c>
      <c r="I153" s="1568" t="s">
        <v>4061</v>
      </c>
      <c r="J153" s="1010" t="s">
        <v>83</v>
      </c>
      <c r="K153" s="1007" t="s">
        <v>157</v>
      </c>
      <c r="L153" s="978" t="s">
        <v>4495</v>
      </c>
      <c r="M153" s="1579">
        <v>45891</v>
      </c>
      <c r="N153" s="937">
        <v>1250162</v>
      </c>
      <c r="O153" s="937" t="s">
        <v>39</v>
      </c>
      <c r="P153" s="937" t="s">
        <v>49</v>
      </c>
      <c r="Q153" s="1321">
        <v>0.6</v>
      </c>
      <c r="R153" s="1573">
        <v>4000571055</v>
      </c>
      <c r="S153" s="938">
        <v>45954</v>
      </c>
      <c r="T153" s="937">
        <v>390997</v>
      </c>
      <c r="U153" s="937" t="str">
        <f>TEXT(Table6268934567910111213[[#This Row],[PO Date]], "mmmm")</f>
        <v>October</v>
      </c>
      <c r="V153" s="976">
        <v>0</v>
      </c>
      <c r="W153" s="937"/>
      <c r="X153" s="937"/>
      <c r="Y153" s="1601"/>
      <c r="Z153" s="1853" t="s">
        <v>157</v>
      </c>
      <c r="AA153" s="2493" t="s">
        <v>157</v>
      </c>
    </row>
    <row r="154" spans="1:27" ht="18.600000000000001" customHeight="1">
      <c r="A154" s="106">
        <v>76</v>
      </c>
      <c r="B154" s="938">
        <v>45878</v>
      </c>
      <c r="C154" s="1010" t="s">
        <v>2910</v>
      </c>
      <c r="D154" s="1010" t="s">
        <v>4079</v>
      </c>
      <c r="E154" s="945" t="s">
        <v>4177</v>
      </c>
      <c r="F154" s="1564" t="s">
        <v>4496</v>
      </c>
      <c r="G154" s="1442">
        <v>9696145723</v>
      </c>
      <c r="H154" s="1442" t="s">
        <v>4081</v>
      </c>
      <c r="I154" s="1442" t="s">
        <v>4082</v>
      </c>
      <c r="J154" s="1010" t="s">
        <v>83</v>
      </c>
      <c r="K154" s="1007" t="s">
        <v>157</v>
      </c>
      <c r="L154" s="945" t="s">
        <v>4497</v>
      </c>
      <c r="M154" s="1579">
        <v>45894</v>
      </c>
      <c r="N154" s="937">
        <v>1112476</v>
      </c>
      <c r="O154" s="937" t="s">
        <v>39</v>
      </c>
      <c r="P154" s="937" t="s">
        <v>49</v>
      </c>
      <c r="Q154" s="1321">
        <v>0.6</v>
      </c>
      <c r="R154" s="2367" t="s">
        <v>4498</v>
      </c>
      <c r="S154" s="938">
        <v>45965</v>
      </c>
      <c r="T154" s="937">
        <v>463792</v>
      </c>
      <c r="U154" s="937" t="str">
        <f>TEXT(Table6268934567910111213[[#This Row],[PO Date]], "mmmm")</f>
        <v>November</v>
      </c>
      <c r="V154" s="976">
        <v>0</v>
      </c>
      <c r="W154" s="937"/>
      <c r="X154" s="937"/>
      <c r="Y154" s="1601"/>
      <c r="Z154" s="1853" t="s">
        <v>157</v>
      </c>
      <c r="AA154" s="2493" t="s">
        <v>157</v>
      </c>
    </row>
    <row r="155" spans="1:27" ht="15.6">
      <c r="A155" s="106">
        <v>77</v>
      </c>
      <c r="B155" s="107">
        <v>45878</v>
      </c>
      <c r="C155" s="105" t="s">
        <v>4091</v>
      </c>
      <c r="D155" s="105" t="s">
        <v>4046</v>
      </c>
      <c r="E155" s="2249" t="s">
        <v>4168</v>
      </c>
      <c r="F155" s="872" t="s">
        <v>4354</v>
      </c>
      <c r="G155" s="858">
        <v>7838367907</v>
      </c>
      <c r="H155" s="866" t="s">
        <v>4355</v>
      </c>
      <c r="I155" s="858" t="s">
        <v>4361</v>
      </c>
      <c r="J155" s="115" t="s">
        <v>75</v>
      </c>
      <c r="K155" s="115" t="s">
        <v>157</v>
      </c>
      <c r="L155" s="181" t="s">
        <v>4499</v>
      </c>
      <c r="M155" s="959">
        <v>45895</v>
      </c>
      <c r="N155" s="106">
        <v>423626</v>
      </c>
      <c r="O155" s="106" t="s">
        <v>39</v>
      </c>
      <c r="P155" s="106" t="s">
        <v>49</v>
      </c>
      <c r="Q155" s="109">
        <v>0.6</v>
      </c>
      <c r="R155" s="289"/>
      <c r="S155" s="107"/>
      <c r="T155" s="106"/>
      <c r="U155" s="106" t="str">
        <f>TEXT(Table6268934567910111213[[#This Row],[PO Date]], "mmmm")</f>
        <v>January</v>
      </c>
      <c r="V155" s="284">
        <f>Table6268934567910111213[[#This Row],[Offer Value]]-Table6268934567910111213[[#This Row],[PO Value]]</f>
        <v>423626</v>
      </c>
      <c r="W155" s="106"/>
      <c r="X155" s="106"/>
      <c r="Y155" s="217"/>
      <c r="Z155" s="45" t="s">
        <v>157</v>
      </c>
      <c r="AA155" s="7"/>
    </row>
    <row r="156" spans="1:27" ht="31.2">
      <c r="A156" s="106">
        <v>78</v>
      </c>
      <c r="B156" s="107">
        <v>45878</v>
      </c>
      <c r="C156" s="105" t="s">
        <v>4271</v>
      </c>
      <c r="D156" s="105" t="s">
        <v>4272</v>
      </c>
      <c r="E156" s="181" t="s">
        <v>4500</v>
      </c>
      <c r="F156" s="872" t="s">
        <v>4501</v>
      </c>
      <c r="G156" s="858">
        <v>9557098949</v>
      </c>
      <c r="H156" s="858" t="s">
        <v>4502</v>
      </c>
      <c r="I156" s="858" t="s">
        <v>4275</v>
      </c>
      <c r="J156" s="115" t="s">
        <v>83</v>
      </c>
      <c r="K156" s="115" t="s">
        <v>157</v>
      </c>
      <c r="L156" s="181" t="s">
        <v>4503</v>
      </c>
      <c r="M156" s="959">
        <v>45901</v>
      </c>
      <c r="N156" s="106">
        <v>924188</v>
      </c>
      <c r="O156" s="106" t="s">
        <v>44</v>
      </c>
      <c r="P156" s="106" t="s">
        <v>62</v>
      </c>
      <c r="Q156" s="109">
        <v>0.6</v>
      </c>
      <c r="R156" s="256"/>
      <c r="S156" s="107"/>
      <c r="T156" s="106"/>
      <c r="U156" s="106" t="str">
        <f>TEXT(Table6268934567910111213[[#This Row],[PO Date]], "mmmm")</f>
        <v>January</v>
      </c>
      <c r="V156" s="284">
        <f>Table6268934567910111213[[#This Row],[Offer Value]]-Table6268934567910111213[[#This Row],[PO Value]]</f>
        <v>924188</v>
      </c>
      <c r="W156" s="106"/>
      <c r="X156" s="106"/>
      <c r="Y156" s="617"/>
      <c r="Z156" s="45" t="s">
        <v>157</v>
      </c>
      <c r="AA156" s="7"/>
    </row>
    <row r="157" spans="1:27" ht="15.6">
      <c r="A157" s="106">
        <v>79</v>
      </c>
      <c r="B157" s="107">
        <v>45878</v>
      </c>
      <c r="C157" s="105" t="s">
        <v>4091</v>
      </c>
      <c r="D157" s="105" t="s">
        <v>4046</v>
      </c>
      <c r="E157" s="2249" t="s">
        <v>4168</v>
      </c>
      <c r="F157" s="872" t="s">
        <v>4504</v>
      </c>
      <c r="G157" s="858">
        <v>7838883221</v>
      </c>
      <c r="H157" s="866" t="s">
        <v>4505</v>
      </c>
      <c r="I157" s="858" t="s">
        <v>4094</v>
      </c>
      <c r="J157" s="115" t="s">
        <v>75</v>
      </c>
      <c r="K157" s="115" t="s">
        <v>157</v>
      </c>
      <c r="L157" s="181" t="s">
        <v>4506</v>
      </c>
      <c r="M157" s="959">
        <v>45902</v>
      </c>
      <c r="N157" s="106">
        <v>575132</v>
      </c>
      <c r="O157" s="106" t="s">
        <v>44</v>
      </c>
      <c r="P157" s="106" t="s">
        <v>47</v>
      </c>
      <c r="Q157" s="109">
        <v>0.6</v>
      </c>
      <c r="R157" s="289"/>
      <c r="S157" s="107"/>
      <c r="T157" s="106"/>
      <c r="U157" s="106" t="str">
        <f>TEXT(Table6268934567910111213[[#This Row],[PO Date]], "mmmm")</f>
        <v>January</v>
      </c>
      <c r="V157" s="284">
        <f>Table6268934567910111213[[#This Row],[Offer Value]]-Table6268934567910111213[[#This Row],[PO Value]]</f>
        <v>575132</v>
      </c>
      <c r="W157" s="106"/>
      <c r="X157" s="106"/>
      <c r="Y157" s="217"/>
      <c r="Z157" s="45" t="s">
        <v>157</v>
      </c>
      <c r="AA157" s="45"/>
    </row>
    <row r="158" spans="1:27" ht="15.6">
      <c r="A158" s="106">
        <v>80</v>
      </c>
      <c r="B158" s="107">
        <v>45878</v>
      </c>
      <c r="C158" s="105" t="s">
        <v>4271</v>
      </c>
      <c r="D158" s="105" t="s">
        <v>4272</v>
      </c>
      <c r="E158" s="181" t="s">
        <v>4177</v>
      </c>
      <c r="F158" s="872" t="s">
        <v>4507</v>
      </c>
      <c r="G158" s="858">
        <v>8872012192</v>
      </c>
      <c r="H158" s="2250" t="s">
        <v>4508</v>
      </c>
      <c r="I158" s="858" t="s">
        <v>4275</v>
      </c>
      <c r="J158" s="115" t="s">
        <v>73</v>
      </c>
      <c r="K158" s="115" t="s">
        <v>138</v>
      </c>
      <c r="L158" s="181" t="s">
        <v>4509</v>
      </c>
      <c r="M158" s="959">
        <v>45902</v>
      </c>
      <c r="N158" s="106">
        <v>145000</v>
      </c>
      <c r="O158" s="106" t="s">
        <v>44</v>
      </c>
      <c r="P158" s="106" t="s">
        <v>49</v>
      </c>
      <c r="Q158" s="109">
        <v>1</v>
      </c>
      <c r="R158" s="289"/>
      <c r="S158" s="107"/>
      <c r="T158" s="106"/>
      <c r="U158" s="106"/>
      <c r="V158" s="284">
        <f>Table6268934567910111213[[#This Row],[Offer Value]]-Table6268934567910111213[[#This Row],[PO Value]]</f>
        <v>145000</v>
      </c>
      <c r="W158" s="106"/>
      <c r="X158" s="106"/>
      <c r="Y158" s="217"/>
      <c r="Z158" s="45"/>
      <c r="AA158" s="45"/>
    </row>
    <row r="159" spans="1:27" ht="15.6">
      <c r="A159" s="106">
        <v>81</v>
      </c>
      <c r="B159" s="938">
        <v>45878</v>
      </c>
      <c r="C159" s="1010" t="s">
        <v>614</v>
      </c>
      <c r="D159" s="1010" t="s">
        <v>4388</v>
      </c>
      <c r="E159" s="1586" t="s">
        <v>4168</v>
      </c>
      <c r="F159" s="1587" t="s">
        <v>4389</v>
      </c>
      <c r="G159" s="1594">
        <v>946494226</v>
      </c>
      <c r="H159" s="1442" t="s">
        <v>4390</v>
      </c>
      <c r="I159" s="1442" t="s">
        <v>4391</v>
      </c>
      <c r="J159" s="1007" t="s">
        <v>73</v>
      </c>
      <c r="K159" s="1007" t="s">
        <v>138</v>
      </c>
      <c r="L159" s="945" t="s">
        <v>4510</v>
      </c>
      <c r="M159" s="1579">
        <v>45902</v>
      </c>
      <c r="N159" s="937">
        <v>57000</v>
      </c>
      <c r="O159" s="937" t="s">
        <v>44</v>
      </c>
      <c r="P159" s="937" t="s">
        <v>49</v>
      </c>
      <c r="Q159" s="1321">
        <v>1</v>
      </c>
      <c r="R159" s="1573">
        <v>4800073882</v>
      </c>
      <c r="S159" s="938">
        <v>45210</v>
      </c>
      <c r="T159" s="937">
        <v>57000</v>
      </c>
      <c r="U159" s="937" t="s">
        <v>49</v>
      </c>
      <c r="V159" s="976">
        <f>Table6268934567910111213[[#This Row],[Offer Value]]-Table6268934567910111213[[#This Row],[PO Value]]</f>
        <v>0</v>
      </c>
      <c r="W159" s="937"/>
      <c r="X159" s="937"/>
      <c r="Y159" s="1600"/>
      <c r="Z159" s="45"/>
      <c r="AA159" s="7"/>
    </row>
    <row r="160" spans="1:27" ht="15.6">
      <c r="A160" s="106"/>
      <c r="B160" s="938"/>
      <c r="C160" s="1010" t="s">
        <v>614</v>
      </c>
      <c r="D160" s="1010" t="s">
        <v>4388</v>
      </c>
      <c r="E160" s="1586" t="s">
        <v>4168</v>
      </c>
      <c r="F160" s="1587" t="s">
        <v>4389</v>
      </c>
      <c r="G160" s="1594">
        <v>946494226</v>
      </c>
      <c r="H160" s="1442" t="s">
        <v>4390</v>
      </c>
      <c r="I160" s="1442" t="s">
        <v>4393</v>
      </c>
      <c r="J160" s="1007" t="s">
        <v>73</v>
      </c>
      <c r="K160" s="1007" t="s">
        <v>138</v>
      </c>
      <c r="L160" s="945" t="s">
        <v>4510</v>
      </c>
      <c r="M160" s="1579">
        <v>45902</v>
      </c>
      <c r="N160" s="937">
        <v>57000</v>
      </c>
      <c r="O160" s="937" t="s">
        <v>44</v>
      </c>
      <c r="P160" s="937" t="s">
        <v>49</v>
      </c>
      <c r="Q160" s="1321">
        <v>1</v>
      </c>
      <c r="R160" s="1573">
        <v>4800073882</v>
      </c>
      <c r="S160" s="938">
        <v>45210</v>
      </c>
      <c r="T160" s="937">
        <v>57000</v>
      </c>
      <c r="U160" s="937" t="s">
        <v>49</v>
      </c>
      <c r="V160" s="976">
        <f>Table6268934567910111213[[#This Row],[Offer Value]]-Table6268934567910111213[[#This Row],[PO Value]]</f>
        <v>0</v>
      </c>
      <c r="W160" s="937"/>
      <c r="X160" s="937"/>
      <c r="Y160" s="1600"/>
      <c r="Z160" s="45"/>
      <c r="AA160" s="3494"/>
    </row>
    <row r="161" spans="1:27" ht="15.6">
      <c r="A161" s="106"/>
      <c r="B161" s="938"/>
      <c r="C161" s="1010" t="s">
        <v>614</v>
      </c>
      <c r="D161" s="1010" t="s">
        <v>4388</v>
      </c>
      <c r="E161" s="1586" t="s">
        <v>4168</v>
      </c>
      <c r="F161" s="1587" t="s">
        <v>4389</v>
      </c>
      <c r="G161" s="1594">
        <v>946494226</v>
      </c>
      <c r="H161" s="1442" t="s">
        <v>4390</v>
      </c>
      <c r="I161" s="1442" t="s">
        <v>4394</v>
      </c>
      <c r="J161" s="1007" t="s">
        <v>73</v>
      </c>
      <c r="K161" s="1007" t="s">
        <v>138</v>
      </c>
      <c r="L161" s="945" t="s">
        <v>4510</v>
      </c>
      <c r="M161" s="1579">
        <v>45902</v>
      </c>
      <c r="N161" s="937">
        <v>57000</v>
      </c>
      <c r="O161" s="937" t="s">
        <v>44</v>
      </c>
      <c r="P161" s="937" t="s">
        <v>49</v>
      </c>
      <c r="Q161" s="1321">
        <v>1</v>
      </c>
      <c r="R161" s="1573">
        <v>4800073882</v>
      </c>
      <c r="S161" s="938">
        <v>45210</v>
      </c>
      <c r="T161" s="937">
        <v>57000</v>
      </c>
      <c r="U161" s="937" t="s">
        <v>49</v>
      </c>
      <c r="V161" s="976">
        <f>Table6268934567910111213[[#This Row],[Offer Value]]-Table6268934567910111213[[#This Row],[PO Value]]</f>
        <v>0</v>
      </c>
      <c r="W161" s="937"/>
      <c r="X161" s="937"/>
      <c r="Y161" s="1601"/>
      <c r="Z161" s="45"/>
      <c r="AA161" s="3494"/>
    </row>
    <row r="162" spans="1:27" ht="15.6">
      <c r="A162" s="106"/>
      <c r="B162" s="938"/>
      <c r="C162" s="1010" t="s">
        <v>614</v>
      </c>
      <c r="D162" s="1010" t="s">
        <v>4388</v>
      </c>
      <c r="E162" s="1586" t="s">
        <v>4168</v>
      </c>
      <c r="F162" s="1587" t="s">
        <v>4389</v>
      </c>
      <c r="G162" s="1594">
        <v>946494226</v>
      </c>
      <c r="H162" s="1442" t="s">
        <v>4390</v>
      </c>
      <c r="I162" s="1442" t="s">
        <v>4395</v>
      </c>
      <c r="J162" s="1007" t="s">
        <v>73</v>
      </c>
      <c r="K162" s="1007" t="s">
        <v>138</v>
      </c>
      <c r="L162" s="945" t="s">
        <v>4510</v>
      </c>
      <c r="M162" s="1579">
        <v>45902</v>
      </c>
      <c r="N162" s="937">
        <v>57000</v>
      </c>
      <c r="O162" s="937" t="s">
        <v>44</v>
      </c>
      <c r="P162" s="937" t="s">
        <v>49</v>
      </c>
      <c r="Q162" s="1321">
        <v>1</v>
      </c>
      <c r="R162" s="1573">
        <v>4800073882</v>
      </c>
      <c r="S162" s="938">
        <v>45210</v>
      </c>
      <c r="T162" s="937">
        <v>57000</v>
      </c>
      <c r="U162" s="937" t="s">
        <v>49</v>
      </c>
      <c r="V162" s="976">
        <f>Table6268934567910111213[[#This Row],[Offer Value]]-Table6268934567910111213[[#This Row],[PO Value]]</f>
        <v>0</v>
      </c>
      <c r="W162" s="937"/>
      <c r="X162" s="937"/>
      <c r="Y162" s="1600"/>
      <c r="Z162" s="3493"/>
      <c r="AA162" s="3493"/>
    </row>
    <row r="163" spans="1:27" ht="15.6">
      <c r="A163" s="106"/>
      <c r="B163" s="938"/>
      <c r="C163" s="1010" t="s">
        <v>614</v>
      </c>
      <c r="D163" s="1010" t="s">
        <v>4388</v>
      </c>
      <c r="E163" s="1586" t="s">
        <v>4168</v>
      </c>
      <c r="F163" s="1587" t="s">
        <v>4389</v>
      </c>
      <c r="G163" s="1594">
        <v>946494226</v>
      </c>
      <c r="H163" s="1442" t="s">
        <v>4390</v>
      </c>
      <c r="I163" s="1442" t="s">
        <v>4396</v>
      </c>
      <c r="J163" s="1007" t="s">
        <v>73</v>
      </c>
      <c r="K163" s="1007" t="s">
        <v>138</v>
      </c>
      <c r="L163" s="945" t="s">
        <v>4510</v>
      </c>
      <c r="M163" s="1579">
        <v>45902</v>
      </c>
      <c r="N163" s="937">
        <v>57000</v>
      </c>
      <c r="O163" s="937" t="s">
        <v>44</v>
      </c>
      <c r="P163" s="937" t="s">
        <v>49</v>
      </c>
      <c r="Q163" s="1321">
        <v>1</v>
      </c>
      <c r="R163" s="1573">
        <v>4800073882</v>
      </c>
      <c r="S163" s="938">
        <v>45210</v>
      </c>
      <c r="T163" s="937">
        <v>57000</v>
      </c>
      <c r="U163" s="937" t="s">
        <v>49</v>
      </c>
      <c r="V163" s="976">
        <f>Table6268934567910111213[[#This Row],[Offer Value]]-Table6268934567910111213[[#This Row],[PO Value]]</f>
        <v>0</v>
      </c>
      <c r="W163" s="937"/>
      <c r="X163" s="937"/>
      <c r="Y163" s="1600"/>
      <c r="Z163" s="3493"/>
      <c r="AA163" s="3493"/>
    </row>
    <row r="164" spans="1:27" ht="15.6">
      <c r="A164" s="106"/>
      <c r="B164" s="938"/>
      <c r="C164" s="1010" t="s">
        <v>614</v>
      </c>
      <c r="D164" s="1010" t="s">
        <v>4388</v>
      </c>
      <c r="E164" s="1586" t="s">
        <v>4168</v>
      </c>
      <c r="F164" s="1587" t="s">
        <v>4389</v>
      </c>
      <c r="G164" s="1594">
        <v>946494226</v>
      </c>
      <c r="H164" s="1442" t="s">
        <v>4390</v>
      </c>
      <c r="I164" s="1442" t="s">
        <v>4397</v>
      </c>
      <c r="J164" s="1007" t="s">
        <v>73</v>
      </c>
      <c r="K164" s="1007" t="s">
        <v>138</v>
      </c>
      <c r="L164" s="945" t="s">
        <v>4510</v>
      </c>
      <c r="M164" s="1579">
        <v>45902</v>
      </c>
      <c r="N164" s="937">
        <v>57000</v>
      </c>
      <c r="O164" s="937" t="s">
        <v>44</v>
      </c>
      <c r="P164" s="937" t="s">
        <v>49</v>
      </c>
      <c r="Q164" s="1321">
        <v>1</v>
      </c>
      <c r="R164" s="1573">
        <v>4800073882</v>
      </c>
      <c r="S164" s="938">
        <v>45210</v>
      </c>
      <c r="T164" s="937">
        <v>57000</v>
      </c>
      <c r="U164" s="937" t="s">
        <v>49</v>
      </c>
      <c r="V164" s="976">
        <f>Table6268934567910111213[[#This Row],[Offer Value]]-Table6268934567910111213[[#This Row],[PO Value]]</f>
        <v>0</v>
      </c>
      <c r="W164" s="937"/>
      <c r="X164" s="937"/>
      <c r="Y164" s="1600"/>
      <c r="Z164" s="45"/>
      <c r="AA164" s="7"/>
    </row>
    <row r="165" spans="1:27" ht="15.6">
      <c r="A165" s="106"/>
      <c r="B165" s="938"/>
      <c r="C165" s="1010" t="s">
        <v>614</v>
      </c>
      <c r="D165" s="1010" t="s">
        <v>4388</v>
      </c>
      <c r="E165" s="1586" t="s">
        <v>4168</v>
      </c>
      <c r="F165" s="1587" t="s">
        <v>4389</v>
      </c>
      <c r="G165" s="1594">
        <v>946494226</v>
      </c>
      <c r="H165" s="1442" t="s">
        <v>4390</v>
      </c>
      <c r="I165" s="1442" t="s">
        <v>4398</v>
      </c>
      <c r="J165" s="1007" t="s">
        <v>73</v>
      </c>
      <c r="K165" s="1007" t="s">
        <v>138</v>
      </c>
      <c r="L165" s="945" t="s">
        <v>4510</v>
      </c>
      <c r="M165" s="1579">
        <v>45902</v>
      </c>
      <c r="N165" s="937">
        <v>57000</v>
      </c>
      <c r="O165" s="937" t="s">
        <v>44</v>
      </c>
      <c r="P165" s="937" t="s">
        <v>49</v>
      </c>
      <c r="Q165" s="1321">
        <v>1</v>
      </c>
      <c r="R165" s="1573">
        <v>4800073882</v>
      </c>
      <c r="S165" s="938">
        <v>45210</v>
      </c>
      <c r="T165" s="937">
        <v>57000</v>
      </c>
      <c r="U165" s="937" t="s">
        <v>49</v>
      </c>
      <c r="V165" s="976">
        <f>Table6268934567910111213[[#This Row],[Offer Value]]-Table6268934567910111213[[#This Row],[PO Value]]</f>
        <v>0</v>
      </c>
      <c r="W165" s="937"/>
      <c r="X165" s="937"/>
      <c r="Y165" s="1601"/>
      <c r="Z165" s="45"/>
      <c r="AA165" s="7"/>
    </row>
    <row r="166" spans="1:27" ht="15.6">
      <c r="A166" s="106"/>
      <c r="B166" s="938"/>
      <c r="C166" s="1010" t="s">
        <v>614</v>
      </c>
      <c r="D166" s="1010" t="s">
        <v>4388</v>
      </c>
      <c r="E166" s="1586" t="s">
        <v>4168</v>
      </c>
      <c r="F166" s="1587" t="s">
        <v>4389</v>
      </c>
      <c r="G166" s="1594">
        <v>946494226</v>
      </c>
      <c r="H166" s="1442" t="s">
        <v>4390</v>
      </c>
      <c r="I166" s="1442" t="s">
        <v>4399</v>
      </c>
      <c r="J166" s="1007" t="s">
        <v>73</v>
      </c>
      <c r="K166" s="1007" t="s">
        <v>138</v>
      </c>
      <c r="L166" s="945" t="s">
        <v>4510</v>
      </c>
      <c r="M166" s="1579">
        <v>45902</v>
      </c>
      <c r="N166" s="937">
        <v>57000</v>
      </c>
      <c r="O166" s="937" t="s">
        <v>44</v>
      </c>
      <c r="P166" s="937" t="s">
        <v>49</v>
      </c>
      <c r="Q166" s="1321">
        <v>1</v>
      </c>
      <c r="R166" s="1573">
        <v>4800073882</v>
      </c>
      <c r="S166" s="938">
        <v>45210</v>
      </c>
      <c r="T166" s="937">
        <v>57000</v>
      </c>
      <c r="U166" s="937" t="s">
        <v>49</v>
      </c>
      <c r="V166" s="976">
        <f>Table6268934567910111213[[#This Row],[Offer Value]]-Table6268934567910111213[[#This Row],[PO Value]]</f>
        <v>0</v>
      </c>
      <c r="W166" s="937"/>
      <c r="X166" s="937"/>
      <c r="Y166" s="1601"/>
      <c r="Z166" s="45"/>
      <c r="AA166" s="3495"/>
    </row>
    <row r="167" spans="1:27" ht="15.6">
      <c r="A167" s="106"/>
      <c r="B167" s="938"/>
      <c r="C167" s="1010" t="s">
        <v>614</v>
      </c>
      <c r="D167" s="1010" t="s">
        <v>4388</v>
      </c>
      <c r="E167" s="1586" t="s">
        <v>4168</v>
      </c>
      <c r="F167" s="1587" t="s">
        <v>4389</v>
      </c>
      <c r="G167" s="1594">
        <v>946494226</v>
      </c>
      <c r="H167" s="1442" t="s">
        <v>4390</v>
      </c>
      <c r="I167" s="1442" t="s">
        <v>4400</v>
      </c>
      <c r="J167" s="1007" t="s">
        <v>73</v>
      </c>
      <c r="K167" s="1007" t="s">
        <v>138</v>
      </c>
      <c r="L167" s="945" t="s">
        <v>4510</v>
      </c>
      <c r="M167" s="1579">
        <v>45902</v>
      </c>
      <c r="N167" s="937">
        <v>57000</v>
      </c>
      <c r="O167" s="937" t="s">
        <v>44</v>
      </c>
      <c r="P167" s="937" t="s">
        <v>49</v>
      </c>
      <c r="Q167" s="1321">
        <v>1</v>
      </c>
      <c r="R167" s="1573">
        <v>4800073882</v>
      </c>
      <c r="S167" s="938">
        <v>45210</v>
      </c>
      <c r="T167" s="937">
        <v>57000</v>
      </c>
      <c r="U167" s="937" t="s">
        <v>49</v>
      </c>
      <c r="V167" s="976">
        <f>Table6268934567910111213[[#This Row],[Offer Value]]-Table6268934567910111213[[#This Row],[PO Value]]</f>
        <v>0</v>
      </c>
      <c r="W167" s="937"/>
      <c r="X167" s="937"/>
      <c r="Y167" s="1600"/>
      <c r="Z167" s="45"/>
      <c r="AA167" s="3495"/>
    </row>
    <row r="168" spans="1:27" ht="15.6">
      <c r="A168" s="106"/>
      <c r="B168" s="938"/>
      <c r="C168" s="1010" t="s">
        <v>614</v>
      </c>
      <c r="D168" s="1010" t="s">
        <v>4388</v>
      </c>
      <c r="E168" s="1586" t="s">
        <v>4168</v>
      </c>
      <c r="F168" s="1587" t="s">
        <v>4389</v>
      </c>
      <c r="G168" s="1594">
        <v>946494226</v>
      </c>
      <c r="H168" s="1442" t="s">
        <v>4390</v>
      </c>
      <c r="I168" s="1442" t="s">
        <v>4401</v>
      </c>
      <c r="J168" s="1007" t="s">
        <v>73</v>
      </c>
      <c r="K168" s="1007" t="s">
        <v>138</v>
      </c>
      <c r="L168" s="945" t="s">
        <v>4510</v>
      </c>
      <c r="M168" s="1579">
        <v>45902</v>
      </c>
      <c r="N168" s="937">
        <v>57000</v>
      </c>
      <c r="O168" s="937" t="s">
        <v>44</v>
      </c>
      <c r="P168" s="937" t="s">
        <v>49</v>
      </c>
      <c r="Q168" s="1321">
        <v>1</v>
      </c>
      <c r="R168" s="1573">
        <v>4800073882</v>
      </c>
      <c r="S168" s="938">
        <v>45210</v>
      </c>
      <c r="T168" s="937">
        <v>57000</v>
      </c>
      <c r="U168" s="937" t="s">
        <v>49</v>
      </c>
      <c r="V168" s="976">
        <f>Table6268934567910111213[[#This Row],[Offer Value]]-Table6268934567910111213[[#This Row],[PO Value]]</f>
        <v>0</v>
      </c>
      <c r="W168" s="937"/>
      <c r="X168" s="937"/>
      <c r="Y168" s="1600"/>
      <c r="Z168" s="45"/>
      <c r="AA168" s="45"/>
    </row>
    <row r="169" spans="1:27" ht="15.6">
      <c r="A169" s="106"/>
      <c r="B169" s="938"/>
      <c r="C169" s="1010" t="s">
        <v>614</v>
      </c>
      <c r="D169" s="1010" t="s">
        <v>4388</v>
      </c>
      <c r="E169" s="1586" t="s">
        <v>4168</v>
      </c>
      <c r="F169" s="1587" t="s">
        <v>4389</v>
      </c>
      <c r="G169" s="1594">
        <v>946494226</v>
      </c>
      <c r="H169" s="1442" t="s">
        <v>4390</v>
      </c>
      <c r="I169" s="1442" t="s">
        <v>4402</v>
      </c>
      <c r="J169" s="1007" t="s">
        <v>73</v>
      </c>
      <c r="K169" s="1007" t="s">
        <v>138</v>
      </c>
      <c r="L169" s="945" t="s">
        <v>4510</v>
      </c>
      <c r="M169" s="1579">
        <v>45902</v>
      </c>
      <c r="N169" s="937">
        <v>57000</v>
      </c>
      <c r="O169" s="937" t="s">
        <v>44</v>
      </c>
      <c r="P169" s="937" t="s">
        <v>49</v>
      </c>
      <c r="Q169" s="1321">
        <v>1</v>
      </c>
      <c r="R169" s="1573">
        <v>4800073882</v>
      </c>
      <c r="S169" s="938">
        <v>45210</v>
      </c>
      <c r="T169" s="937">
        <v>57000</v>
      </c>
      <c r="U169" s="937" t="s">
        <v>49</v>
      </c>
      <c r="V169" s="976">
        <f>Table6268934567910111213[[#This Row],[Offer Value]]-Table6268934567910111213[[#This Row],[PO Value]]</f>
        <v>0</v>
      </c>
      <c r="W169" s="937"/>
      <c r="X169" s="937"/>
      <c r="Y169" s="1600"/>
      <c r="Z169" s="45"/>
      <c r="AA169" s="7"/>
    </row>
    <row r="170" spans="1:27" ht="15.6">
      <c r="A170" s="106"/>
      <c r="B170" s="938"/>
      <c r="C170" s="1010" t="s">
        <v>614</v>
      </c>
      <c r="D170" s="1010" t="s">
        <v>4388</v>
      </c>
      <c r="E170" s="1586" t="s">
        <v>4168</v>
      </c>
      <c r="F170" s="1587" t="s">
        <v>4389</v>
      </c>
      <c r="G170" s="1594">
        <v>946494226</v>
      </c>
      <c r="H170" s="1442" t="s">
        <v>4390</v>
      </c>
      <c r="I170" s="1442" t="s">
        <v>4403</v>
      </c>
      <c r="J170" s="1007" t="s">
        <v>73</v>
      </c>
      <c r="K170" s="1007" t="s">
        <v>138</v>
      </c>
      <c r="L170" s="945" t="s">
        <v>4510</v>
      </c>
      <c r="M170" s="1579">
        <v>45902</v>
      </c>
      <c r="N170" s="937">
        <v>57000</v>
      </c>
      <c r="O170" s="937" t="s">
        <v>44</v>
      </c>
      <c r="P170" s="937" t="s">
        <v>49</v>
      </c>
      <c r="Q170" s="1321">
        <v>1</v>
      </c>
      <c r="R170" s="1573">
        <v>4800073882</v>
      </c>
      <c r="S170" s="938">
        <v>45210</v>
      </c>
      <c r="T170" s="937">
        <v>57000</v>
      </c>
      <c r="U170" s="937" t="s">
        <v>49</v>
      </c>
      <c r="V170" s="976">
        <f>Table6268934567910111213[[#This Row],[Offer Value]]-Table6268934567910111213[[#This Row],[PO Value]]</f>
        <v>0</v>
      </c>
      <c r="W170" s="937"/>
      <c r="X170" s="937"/>
      <c r="Y170" s="1601"/>
      <c r="Z170" s="45"/>
      <c r="AA170" s="7"/>
    </row>
    <row r="171" spans="1:27" ht="15.6">
      <c r="A171" s="106"/>
      <c r="B171" s="938"/>
      <c r="C171" s="1010" t="s">
        <v>614</v>
      </c>
      <c r="D171" s="1010" t="s">
        <v>4388</v>
      </c>
      <c r="E171" s="1586" t="s">
        <v>4168</v>
      </c>
      <c r="F171" s="1587" t="s">
        <v>4389</v>
      </c>
      <c r="G171" s="1594">
        <v>946494226</v>
      </c>
      <c r="H171" s="1442" t="s">
        <v>4390</v>
      </c>
      <c r="I171" s="1442" t="s">
        <v>4404</v>
      </c>
      <c r="J171" s="1007" t="s">
        <v>73</v>
      </c>
      <c r="K171" s="1007" t="s">
        <v>138</v>
      </c>
      <c r="L171" s="945" t="s">
        <v>4510</v>
      </c>
      <c r="M171" s="1579">
        <v>45902</v>
      </c>
      <c r="N171" s="937">
        <v>57000</v>
      </c>
      <c r="O171" s="937" t="s">
        <v>44</v>
      </c>
      <c r="P171" s="937" t="s">
        <v>49</v>
      </c>
      <c r="Q171" s="1321">
        <v>1</v>
      </c>
      <c r="R171" s="1573">
        <v>4800073882</v>
      </c>
      <c r="S171" s="938">
        <v>45210</v>
      </c>
      <c r="T171" s="937">
        <v>57000</v>
      </c>
      <c r="U171" s="937" t="s">
        <v>49</v>
      </c>
      <c r="V171" s="976">
        <f>Table6268934567910111213[[#This Row],[Offer Value]]-Table6268934567910111213[[#This Row],[PO Value]]</f>
        <v>0</v>
      </c>
      <c r="W171" s="937"/>
      <c r="X171" s="937"/>
      <c r="Y171" s="1600"/>
      <c r="Z171" s="45"/>
      <c r="AA171" s="7"/>
    </row>
    <row r="172" spans="1:27" ht="46.8">
      <c r="A172" s="106">
        <v>82</v>
      </c>
      <c r="B172" s="107">
        <v>45878</v>
      </c>
      <c r="C172" s="115" t="s">
        <v>4511</v>
      </c>
      <c r="D172" s="105" t="s">
        <v>3910</v>
      </c>
      <c r="E172" s="181" t="s">
        <v>4177</v>
      </c>
      <c r="F172" s="872" t="s">
        <v>4316</v>
      </c>
      <c r="G172" s="858">
        <v>8447739242</v>
      </c>
      <c r="H172" s="858" t="s">
        <v>4512</v>
      </c>
      <c r="I172" s="858" t="s">
        <v>4347</v>
      </c>
      <c r="J172" s="115" t="s">
        <v>73</v>
      </c>
      <c r="K172" s="115" t="s">
        <v>138</v>
      </c>
      <c r="L172" s="181" t="s">
        <v>4513</v>
      </c>
      <c r="M172" s="959">
        <v>45902</v>
      </c>
      <c r="N172" s="106">
        <v>90000</v>
      </c>
      <c r="O172" s="106" t="s">
        <v>44</v>
      </c>
      <c r="P172" s="106" t="s">
        <v>49</v>
      </c>
      <c r="Q172" s="109">
        <v>1</v>
      </c>
      <c r="R172" s="256"/>
      <c r="S172" s="107"/>
      <c r="T172" s="106"/>
      <c r="U172" s="106"/>
      <c r="V172" s="284">
        <f>Table6268934567910111213[[#This Row],[Offer Value]]-Table6268934567910111213[[#This Row],[PO Value]]</f>
        <v>90000</v>
      </c>
      <c r="W172" s="106"/>
      <c r="X172" s="106"/>
      <c r="Y172" s="617"/>
      <c r="Z172" s="3493"/>
      <c r="AA172" s="7"/>
    </row>
    <row r="173" spans="1:27" ht="46.8">
      <c r="A173" s="106"/>
      <c r="B173" s="107"/>
      <c r="C173" s="115" t="s">
        <v>4511</v>
      </c>
      <c r="D173" s="105" t="s">
        <v>3910</v>
      </c>
      <c r="E173" s="181" t="s">
        <v>4177</v>
      </c>
      <c r="F173" s="872" t="s">
        <v>4316</v>
      </c>
      <c r="G173" s="858">
        <v>8447739242</v>
      </c>
      <c r="H173" s="858" t="s">
        <v>4512</v>
      </c>
      <c r="I173" s="858" t="s">
        <v>4318</v>
      </c>
      <c r="J173" s="115" t="s">
        <v>73</v>
      </c>
      <c r="K173" s="115" t="s">
        <v>138</v>
      </c>
      <c r="L173" s="181" t="s">
        <v>4513</v>
      </c>
      <c r="M173" s="959">
        <v>45902</v>
      </c>
      <c r="N173" s="106">
        <v>90000</v>
      </c>
      <c r="O173" s="106" t="s">
        <v>44</v>
      </c>
      <c r="P173" s="106" t="s">
        <v>49</v>
      </c>
      <c r="Q173" s="109">
        <v>1</v>
      </c>
      <c r="R173" s="289"/>
      <c r="S173" s="107"/>
      <c r="T173" s="106"/>
      <c r="U173" s="106"/>
      <c r="V173" s="284">
        <f>Table6268934567910111213[[#This Row],[Offer Value]]-Table6268934567910111213[[#This Row],[PO Value]]</f>
        <v>90000</v>
      </c>
      <c r="W173" s="110"/>
      <c r="X173" s="110"/>
      <c r="Y173" s="217"/>
      <c r="Z173" s="3493"/>
      <c r="AA173" s="7"/>
    </row>
    <row r="174" spans="1:27" ht="15.6">
      <c r="A174" s="106">
        <v>83</v>
      </c>
      <c r="B174" s="107">
        <v>45878</v>
      </c>
      <c r="C174" s="105" t="s">
        <v>4235</v>
      </c>
      <c r="D174" s="105" t="s">
        <v>4236</v>
      </c>
      <c r="E174" s="181" t="s">
        <v>4177</v>
      </c>
      <c r="F174" s="872" t="s">
        <v>4238</v>
      </c>
      <c r="G174" s="858">
        <v>9936294447</v>
      </c>
      <c r="H174" s="858" t="s">
        <v>4239</v>
      </c>
      <c r="I174" s="858" t="s">
        <v>4240</v>
      </c>
      <c r="J174" s="115" t="s">
        <v>73</v>
      </c>
      <c r="K174" s="115" t="s">
        <v>138</v>
      </c>
      <c r="L174" s="181" t="s">
        <v>4514</v>
      </c>
      <c r="M174" s="959">
        <v>45902</v>
      </c>
      <c r="N174" s="106">
        <v>95000</v>
      </c>
      <c r="O174" s="106" t="s">
        <v>44</v>
      </c>
      <c r="P174" s="106" t="s">
        <v>62</v>
      </c>
      <c r="Q174" s="109">
        <v>1</v>
      </c>
      <c r="R174" s="289"/>
      <c r="S174" s="107"/>
      <c r="T174" s="106"/>
      <c r="U174" s="106"/>
      <c r="V174" s="284">
        <f>Table6268934567910111213[[#This Row],[Offer Value]]-Table6268934567910111213[[#This Row],[PO Value]]</f>
        <v>95000</v>
      </c>
      <c r="W174" s="106"/>
      <c r="X174" s="106"/>
      <c r="Y174" s="217"/>
      <c r="Z174" s="3493"/>
      <c r="AA174" s="7"/>
    </row>
    <row r="175" spans="1:27" ht="15.6">
      <c r="A175" s="106">
        <v>84</v>
      </c>
      <c r="B175" s="938">
        <v>45878</v>
      </c>
      <c r="C175" s="1010" t="s">
        <v>1015</v>
      </c>
      <c r="D175" s="1010" t="s">
        <v>3910</v>
      </c>
      <c r="E175" s="945" t="s">
        <v>4177</v>
      </c>
      <c r="F175" s="1564" t="s">
        <v>4515</v>
      </c>
      <c r="G175" s="1442">
        <v>8130333753</v>
      </c>
      <c r="H175" s="1442" t="s">
        <v>3951</v>
      </c>
      <c r="I175" s="1442" t="s">
        <v>3952</v>
      </c>
      <c r="J175" s="1007" t="s">
        <v>73</v>
      </c>
      <c r="K175" s="1007" t="s">
        <v>138</v>
      </c>
      <c r="L175" s="945" t="s">
        <v>4516</v>
      </c>
      <c r="M175" s="1579">
        <v>45902</v>
      </c>
      <c r="N175" s="937">
        <v>75000</v>
      </c>
      <c r="O175" s="937" t="s">
        <v>44</v>
      </c>
      <c r="P175" s="937" t="s">
        <v>49</v>
      </c>
      <c r="Q175" s="1321">
        <v>1</v>
      </c>
      <c r="R175" s="1573">
        <v>1100035324</v>
      </c>
      <c r="S175" s="938">
        <v>45938</v>
      </c>
      <c r="T175" s="937">
        <v>71250</v>
      </c>
      <c r="U175" s="937" t="s">
        <v>47</v>
      </c>
      <c r="V175" s="976">
        <v>0</v>
      </c>
      <c r="W175" s="937"/>
      <c r="X175" s="937"/>
      <c r="Y175" s="1600"/>
      <c r="Z175" s="45"/>
      <c r="AA175" s="45"/>
    </row>
    <row r="176" spans="1:27" ht="15.6">
      <c r="A176" s="106"/>
      <c r="B176" s="938"/>
      <c r="C176" s="1010" t="s">
        <v>1015</v>
      </c>
      <c r="D176" s="1010" t="s">
        <v>3910</v>
      </c>
      <c r="E176" s="945" t="s">
        <v>4177</v>
      </c>
      <c r="F176" s="1564" t="s">
        <v>4515</v>
      </c>
      <c r="G176" s="1442">
        <v>8130333753</v>
      </c>
      <c r="H176" s="1442" t="s">
        <v>3951</v>
      </c>
      <c r="I176" s="1442" t="s">
        <v>3957</v>
      </c>
      <c r="J176" s="1007" t="s">
        <v>73</v>
      </c>
      <c r="K176" s="1007" t="s">
        <v>138</v>
      </c>
      <c r="L176" s="945" t="s">
        <v>4516</v>
      </c>
      <c r="M176" s="1579">
        <v>45902</v>
      </c>
      <c r="N176" s="937">
        <v>75000</v>
      </c>
      <c r="O176" s="937" t="s">
        <v>44</v>
      </c>
      <c r="P176" s="937" t="s">
        <v>49</v>
      </c>
      <c r="Q176" s="1321">
        <v>1</v>
      </c>
      <c r="R176" s="1573">
        <v>1100035324</v>
      </c>
      <c r="S176" s="938">
        <v>45938</v>
      </c>
      <c r="T176" s="937">
        <v>71250</v>
      </c>
      <c r="U176" s="937" t="s">
        <v>47</v>
      </c>
      <c r="V176" s="976">
        <v>0</v>
      </c>
      <c r="W176" s="937"/>
      <c r="X176" s="937"/>
      <c r="Y176" s="1601"/>
      <c r="Z176" s="45"/>
      <c r="AA176" s="7"/>
    </row>
    <row r="177" spans="1:27" ht="57.6">
      <c r="A177" s="867" t="s">
        <v>4487</v>
      </c>
      <c r="B177" s="107">
        <v>45923</v>
      </c>
      <c r="C177" s="105" t="s">
        <v>614</v>
      </c>
      <c r="D177" s="105" t="s">
        <v>4517</v>
      </c>
      <c r="E177" s="180" t="s">
        <v>4177</v>
      </c>
      <c r="F177" s="871" t="s">
        <v>4292</v>
      </c>
      <c r="G177" s="859">
        <v>9718737555</v>
      </c>
      <c r="H177" s="2343" t="s">
        <v>3924</v>
      </c>
      <c r="I177" s="180" t="s">
        <v>4518</v>
      </c>
      <c r="J177" s="115" t="s">
        <v>83</v>
      </c>
      <c r="K177" s="115" t="s">
        <v>157</v>
      </c>
      <c r="L177" s="180" t="s">
        <v>4519</v>
      </c>
      <c r="M177" s="959">
        <v>45910</v>
      </c>
      <c r="N177" s="106">
        <v>577118</v>
      </c>
      <c r="O177" s="106" t="s">
        <v>44</v>
      </c>
      <c r="P177" s="106" t="s">
        <v>49</v>
      </c>
      <c r="Q177" s="109">
        <v>0.6</v>
      </c>
      <c r="R177" s="289"/>
      <c r="S177" s="107"/>
      <c r="T177" s="106"/>
      <c r="U177" s="106" t="str">
        <f>TEXT(Table6268934567910111213[[#This Row],[PO Date]], "mmmm")</f>
        <v>January</v>
      </c>
      <c r="V177" s="284">
        <f>Table6268934567910111213[[#This Row],[Offer Value]]-Table6268934567910111213[[#This Row],[PO Value]]</f>
        <v>577118</v>
      </c>
      <c r="W177" s="106"/>
      <c r="X177" s="106"/>
      <c r="Y177" s="217"/>
      <c r="Z177" s="45" t="s">
        <v>157</v>
      </c>
      <c r="AA177" s="7"/>
    </row>
    <row r="178" spans="1:27" ht="31.2">
      <c r="A178" s="106"/>
      <c r="B178" s="107"/>
      <c r="C178" s="105" t="s">
        <v>614</v>
      </c>
      <c r="D178" s="105" t="s">
        <v>3922</v>
      </c>
      <c r="E178" s="181" t="s">
        <v>4177</v>
      </c>
      <c r="F178" s="872" t="s">
        <v>4292</v>
      </c>
      <c r="G178" s="858">
        <v>9718737555</v>
      </c>
      <c r="H178" s="2344" t="s">
        <v>3924</v>
      </c>
      <c r="I178" s="181">
        <v>305000057</v>
      </c>
      <c r="J178" s="115" t="s">
        <v>83</v>
      </c>
      <c r="K178" s="115" t="s">
        <v>157</v>
      </c>
      <c r="L178" s="181" t="s">
        <v>4519</v>
      </c>
      <c r="M178" s="959">
        <v>45910</v>
      </c>
      <c r="N178" s="106">
        <v>766150</v>
      </c>
      <c r="O178" s="106" t="s">
        <v>44</v>
      </c>
      <c r="P178" s="106" t="s">
        <v>49</v>
      </c>
      <c r="Q178" s="109">
        <v>0.6</v>
      </c>
      <c r="R178" s="289"/>
      <c r="S178" s="107"/>
      <c r="T178" s="106"/>
      <c r="U178" s="106" t="str">
        <f>TEXT(Table6268934567910111213[[#This Row],[PO Date]], "mmmm")</f>
        <v>January</v>
      </c>
      <c r="V178" s="284">
        <f>Table6268934567910111213[[#This Row],[Offer Value]]-Table6268934567910111213[[#This Row],[PO Value]]</f>
        <v>766150</v>
      </c>
      <c r="W178" s="106"/>
      <c r="X178" s="106"/>
      <c r="Y178" s="217"/>
      <c r="Z178" s="45" t="s">
        <v>157</v>
      </c>
      <c r="AA178" s="7"/>
    </row>
    <row r="179" spans="1:27" ht="46.8">
      <c r="A179" s="937">
        <v>86</v>
      </c>
      <c r="B179" s="938">
        <v>45923</v>
      </c>
      <c r="C179" s="1007" t="s">
        <v>4511</v>
      </c>
      <c r="D179" s="1010" t="s">
        <v>4520</v>
      </c>
      <c r="E179" s="945" t="s">
        <v>4177</v>
      </c>
      <c r="F179" s="1564" t="s">
        <v>4521</v>
      </c>
      <c r="G179" s="1442">
        <v>7838575608</v>
      </c>
      <c r="H179" s="2494" t="s">
        <v>4522</v>
      </c>
      <c r="I179" s="945" t="s">
        <v>4347</v>
      </c>
      <c r="J179" s="1007" t="s">
        <v>83</v>
      </c>
      <c r="K179" s="1007" t="s">
        <v>157</v>
      </c>
      <c r="L179" s="945" t="s">
        <v>4523</v>
      </c>
      <c r="M179" s="1579">
        <v>45912</v>
      </c>
      <c r="N179" s="937">
        <v>429089</v>
      </c>
      <c r="O179" s="937" t="s">
        <v>44</v>
      </c>
      <c r="P179" s="937" t="s">
        <v>49</v>
      </c>
      <c r="Q179" s="1321">
        <v>0.6</v>
      </c>
      <c r="R179" s="1573" t="s">
        <v>4524</v>
      </c>
      <c r="S179" s="938">
        <v>45936</v>
      </c>
      <c r="T179" s="937">
        <v>386928</v>
      </c>
      <c r="U179" s="937" t="str">
        <f>TEXT(Table6268934567910111213[[#This Row],[PO Date]], "mmmm")</f>
        <v>October</v>
      </c>
      <c r="V179" s="976">
        <v>0</v>
      </c>
      <c r="W179" s="937"/>
      <c r="X179" s="937"/>
      <c r="Y179" s="1600"/>
      <c r="Z179" s="45" t="s">
        <v>157</v>
      </c>
      <c r="AA179" s="7" t="s">
        <v>157</v>
      </c>
    </row>
    <row r="180" spans="1:27" ht="31.2">
      <c r="A180" s="106">
        <v>87</v>
      </c>
      <c r="B180" s="938">
        <v>45923</v>
      </c>
      <c r="C180" s="1007" t="s">
        <v>4478</v>
      </c>
      <c r="D180" s="1010" t="s">
        <v>4479</v>
      </c>
      <c r="E180" s="945" t="s">
        <v>4480</v>
      </c>
      <c r="F180" s="1564" t="s">
        <v>4177</v>
      </c>
      <c r="G180" s="1442">
        <v>9516504049</v>
      </c>
      <c r="H180" s="2595" t="s">
        <v>4481</v>
      </c>
      <c r="I180" s="2596" t="s">
        <v>4482</v>
      </c>
      <c r="J180" s="1007" t="s">
        <v>83</v>
      </c>
      <c r="K180" s="1007" t="s">
        <v>157</v>
      </c>
      <c r="L180" s="945" t="s">
        <v>4525</v>
      </c>
      <c r="M180" s="1579">
        <v>45916</v>
      </c>
      <c r="N180" s="937">
        <v>235000</v>
      </c>
      <c r="O180" s="937" t="s">
        <v>44</v>
      </c>
      <c r="P180" s="937" t="s">
        <v>49</v>
      </c>
      <c r="Q180" s="1321">
        <v>0.6</v>
      </c>
      <c r="R180" s="2639">
        <v>410000186</v>
      </c>
      <c r="S180" s="938">
        <v>45947</v>
      </c>
      <c r="T180" s="937">
        <v>255416</v>
      </c>
      <c r="U180" s="937" t="str">
        <f>TEXT(Table6268934567910111213[[#This Row],[PO Date]], "mmmm")</f>
        <v>October</v>
      </c>
      <c r="V180" s="976">
        <v>0</v>
      </c>
      <c r="W180" s="937"/>
      <c r="X180" s="937"/>
      <c r="Y180" s="1600"/>
      <c r="Z180" s="1544"/>
      <c r="AA180" s="1544"/>
    </row>
    <row r="181" spans="1:27" ht="31.2">
      <c r="A181" s="106"/>
      <c r="B181" s="107"/>
      <c r="C181" s="115" t="s">
        <v>4478</v>
      </c>
      <c r="D181" s="105" t="s">
        <v>4479</v>
      </c>
      <c r="E181" s="181" t="s">
        <v>4480</v>
      </c>
      <c r="F181" s="872" t="s">
        <v>4177</v>
      </c>
      <c r="G181" s="858">
        <v>9516504049</v>
      </c>
      <c r="H181" s="2345" t="s">
        <v>4481</v>
      </c>
      <c r="I181" s="2346" t="s">
        <v>4485</v>
      </c>
      <c r="J181" s="115" t="s">
        <v>83</v>
      </c>
      <c r="K181" s="115" t="s">
        <v>157</v>
      </c>
      <c r="L181" s="181" t="s">
        <v>4525</v>
      </c>
      <c r="M181" s="959">
        <v>45916</v>
      </c>
      <c r="N181" s="106">
        <v>221158</v>
      </c>
      <c r="O181" s="106" t="s">
        <v>44</v>
      </c>
      <c r="P181" s="106" t="s">
        <v>49</v>
      </c>
      <c r="Q181" s="109">
        <v>0.6</v>
      </c>
      <c r="R181" s="256"/>
      <c r="S181" s="107"/>
      <c r="T181" s="106"/>
      <c r="U181" s="106"/>
      <c r="V181" s="284">
        <f>Table6268934567910111213[[#This Row],[Offer Value]]-Table6268934567910111213[[#This Row],[PO Value]]</f>
        <v>221158</v>
      </c>
      <c r="W181" s="106"/>
      <c r="X181" s="106"/>
      <c r="Y181" s="617"/>
      <c r="Z181" s="7"/>
      <c r="AA181" s="7"/>
    </row>
    <row r="182" spans="1:27" ht="31.2">
      <c r="A182" s="106"/>
      <c r="B182" s="107"/>
      <c r="C182" s="115" t="s">
        <v>4478</v>
      </c>
      <c r="D182" s="105" t="s">
        <v>4479</v>
      </c>
      <c r="E182" s="181" t="s">
        <v>4480</v>
      </c>
      <c r="F182" s="872" t="s">
        <v>4177</v>
      </c>
      <c r="G182" s="858">
        <v>9516504049</v>
      </c>
      <c r="H182" s="2345" t="s">
        <v>4481</v>
      </c>
      <c r="I182" s="2347" t="s">
        <v>4484</v>
      </c>
      <c r="J182" s="115" t="s">
        <v>83</v>
      </c>
      <c r="K182" s="115" t="s">
        <v>157</v>
      </c>
      <c r="L182" s="181" t="s">
        <v>4525</v>
      </c>
      <c r="M182" s="959">
        <v>45916</v>
      </c>
      <c r="N182" s="106">
        <v>323483</v>
      </c>
      <c r="O182" s="106" t="s">
        <v>44</v>
      </c>
      <c r="P182" s="106" t="s">
        <v>49</v>
      </c>
      <c r="Q182" s="109">
        <v>0.6</v>
      </c>
      <c r="R182" s="256"/>
      <c r="S182" s="107"/>
      <c r="T182" s="106"/>
      <c r="U182" s="106"/>
      <c r="V182" s="284">
        <f>Table6268934567910111213[[#This Row],[Offer Value]]-Table6268934567910111213[[#This Row],[PO Value]]</f>
        <v>323483</v>
      </c>
      <c r="W182" s="106"/>
      <c r="X182" s="106"/>
      <c r="Y182" s="217"/>
      <c r="Z182" s="7"/>
      <c r="AA182" s="7"/>
    </row>
    <row r="183" spans="1:27" ht="28.8">
      <c r="A183" s="106">
        <v>88</v>
      </c>
      <c r="B183" s="107">
        <v>45923</v>
      </c>
      <c r="C183" s="105" t="s">
        <v>1743</v>
      </c>
      <c r="D183" s="105" t="s">
        <v>4016</v>
      </c>
      <c r="E183" s="181" t="s">
        <v>4177</v>
      </c>
      <c r="F183" s="872" t="s">
        <v>4371</v>
      </c>
      <c r="G183" s="858">
        <v>8449955577</v>
      </c>
      <c r="H183" s="872" t="s">
        <v>4018</v>
      </c>
      <c r="I183" s="858" t="s">
        <v>4373</v>
      </c>
      <c r="J183" s="115" t="s">
        <v>75</v>
      </c>
      <c r="K183" s="115" t="s">
        <v>157</v>
      </c>
      <c r="L183" s="181" t="s">
        <v>4526</v>
      </c>
      <c r="M183" s="959">
        <v>45923</v>
      </c>
      <c r="N183" s="106">
        <v>435104</v>
      </c>
      <c r="O183" s="106" t="s">
        <v>44</v>
      </c>
      <c r="P183" s="106" t="s">
        <v>49</v>
      </c>
      <c r="Q183" s="109">
        <v>0.6</v>
      </c>
      <c r="R183" s="256"/>
      <c r="S183" s="107"/>
      <c r="T183" s="106"/>
      <c r="U183" s="106" t="str">
        <f>TEXT(Table6268934567910111213[[#This Row],[PO Date]], "mmmm")</f>
        <v>January</v>
      </c>
      <c r="V183" s="284">
        <f>Table6268934567910111213[[#This Row],[Offer Value]]-Table6268934567910111213[[#This Row],[PO Value]]</f>
        <v>435104</v>
      </c>
      <c r="W183" s="106"/>
      <c r="X183" s="106"/>
      <c r="Y183" s="217"/>
      <c r="Z183" s="7" t="s">
        <v>157</v>
      </c>
      <c r="AA183" s="7"/>
    </row>
    <row r="184" spans="1:27" ht="28.8">
      <c r="A184" s="106">
        <v>89</v>
      </c>
      <c r="B184" s="107">
        <v>45923</v>
      </c>
      <c r="C184" s="105" t="s">
        <v>614</v>
      </c>
      <c r="D184" s="105" t="s">
        <v>4388</v>
      </c>
      <c r="E184" s="2249" t="s">
        <v>4168</v>
      </c>
      <c r="F184" s="2348" t="s">
        <v>4389</v>
      </c>
      <c r="G184" s="2349">
        <v>946494226</v>
      </c>
      <c r="H184" s="872" t="s">
        <v>4390</v>
      </c>
      <c r="I184" s="858" t="s">
        <v>4401</v>
      </c>
      <c r="J184" s="115" t="s">
        <v>75</v>
      </c>
      <c r="K184" s="115" t="s">
        <v>157</v>
      </c>
      <c r="L184" s="181" t="s">
        <v>4527</v>
      </c>
      <c r="M184" s="959">
        <v>45923</v>
      </c>
      <c r="N184" s="106">
        <v>281774</v>
      </c>
      <c r="O184" s="106" t="s">
        <v>44</v>
      </c>
      <c r="P184" s="106" t="s">
        <v>49</v>
      </c>
      <c r="Q184" s="109">
        <v>0.6</v>
      </c>
      <c r="R184" s="256"/>
      <c r="S184" s="107"/>
      <c r="T184" s="106"/>
      <c r="U184" s="106"/>
      <c r="V184" s="284">
        <f>Table6268934567910111213[[#This Row],[Offer Value]]-Table6268934567910111213[[#This Row],[PO Value]]</f>
        <v>281774</v>
      </c>
      <c r="W184" s="106"/>
      <c r="X184" s="106"/>
      <c r="Y184" s="617"/>
      <c r="Z184" s="7"/>
      <c r="AA184" s="7"/>
    </row>
    <row r="185" spans="1:27" ht="31.2">
      <c r="A185" s="106">
        <v>90</v>
      </c>
      <c r="B185" s="107">
        <v>45944</v>
      </c>
      <c r="C185" s="108" t="s">
        <v>3958</v>
      </c>
      <c r="D185" s="108" t="s">
        <v>3959</v>
      </c>
      <c r="E185" s="180" t="s">
        <v>4189</v>
      </c>
      <c r="F185" s="859" t="s">
        <v>4528</v>
      </c>
      <c r="G185" s="183">
        <v>8010130387</v>
      </c>
      <c r="H185" s="867" t="s">
        <v>4529</v>
      </c>
      <c r="I185" s="871" t="s">
        <v>4014</v>
      </c>
      <c r="J185" s="115" t="s">
        <v>75</v>
      </c>
      <c r="K185" s="115" t="s">
        <v>157</v>
      </c>
      <c r="L185" s="867" t="s">
        <v>4530</v>
      </c>
      <c r="M185" s="959">
        <v>45925</v>
      </c>
      <c r="N185" s="106">
        <v>59768</v>
      </c>
      <c r="O185" s="110" t="s">
        <v>44</v>
      </c>
      <c r="P185" s="106" t="s">
        <v>47</v>
      </c>
      <c r="Q185" s="109">
        <v>0.6</v>
      </c>
      <c r="R185" s="256"/>
      <c r="S185" s="107"/>
      <c r="T185" s="106"/>
      <c r="U185" s="106"/>
      <c r="V185" s="284">
        <f>Table6268934567910111213[[#This Row],[Offer Value]]-Table6268934567910111213[[#This Row],[PO Value]]</f>
        <v>59768</v>
      </c>
      <c r="W185" s="106"/>
      <c r="X185" s="106"/>
      <c r="Y185" s="617"/>
      <c r="Z185" s="7"/>
      <c r="AA185" s="7"/>
    </row>
    <row r="186" spans="1:27" ht="31.2">
      <c r="A186" s="106"/>
      <c r="B186" s="938">
        <v>45944</v>
      </c>
      <c r="C186" s="944" t="s">
        <v>614</v>
      </c>
      <c r="D186" s="944" t="s">
        <v>3922</v>
      </c>
      <c r="E186" s="1586" t="s">
        <v>4168</v>
      </c>
      <c r="F186" s="1587" t="s">
        <v>4292</v>
      </c>
      <c r="G186" s="1568">
        <v>9718737555</v>
      </c>
      <c r="H186" s="1564" t="s">
        <v>3924</v>
      </c>
      <c r="I186" s="2495" t="s">
        <v>4531</v>
      </c>
      <c r="J186" s="1007" t="s">
        <v>73</v>
      </c>
      <c r="K186" s="1007" t="s">
        <v>138</v>
      </c>
      <c r="L186" s="1570" t="s">
        <v>4532</v>
      </c>
      <c r="M186" s="1579">
        <v>45912</v>
      </c>
      <c r="N186" s="937">
        <v>58000</v>
      </c>
      <c r="O186" s="948" t="s">
        <v>44</v>
      </c>
      <c r="P186" s="948" t="s">
        <v>44</v>
      </c>
      <c r="Q186" s="1321">
        <v>1</v>
      </c>
      <c r="R186" s="2496" t="s">
        <v>4533</v>
      </c>
      <c r="S186" s="938">
        <v>45912</v>
      </c>
      <c r="T186" s="937">
        <v>56259</v>
      </c>
      <c r="U186" s="937" t="s">
        <v>44</v>
      </c>
      <c r="V186" s="976">
        <v>0</v>
      </c>
      <c r="W186" s="937"/>
      <c r="X186" s="937"/>
      <c r="Y186" s="1600"/>
      <c r="Z186" s="7"/>
      <c r="AA186" s="7"/>
    </row>
    <row r="187" spans="1:27" ht="31.2">
      <c r="A187" s="106">
        <v>92</v>
      </c>
      <c r="B187" s="938"/>
      <c r="C187" s="944" t="s">
        <v>614</v>
      </c>
      <c r="D187" s="944" t="s">
        <v>3922</v>
      </c>
      <c r="E187" s="1586" t="s">
        <v>4168</v>
      </c>
      <c r="F187" s="1587" t="s">
        <v>4292</v>
      </c>
      <c r="G187" s="1442">
        <v>9718737555</v>
      </c>
      <c r="H187" s="1564" t="s">
        <v>3924</v>
      </c>
      <c r="I187" s="2495" t="s">
        <v>4534</v>
      </c>
      <c r="J187" s="1007" t="s">
        <v>73</v>
      </c>
      <c r="K187" s="1007" t="s">
        <v>138</v>
      </c>
      <c r="L187" s="1570" t="s">
        <v>4532</v>
      </c>
      <c r="M187" s="1579">
        <v>45912</v>
      </c>
      <c r="N187" s="937">
        <v>58000</v>
      </c>
      <c r="O187" s="948" t="s">
        <v>44</v>
      </c>
      <c r="P187" s="948" t="s">
        <v>44</v>
      </c>
      <c r="Q187" s="1321">
        <v>1</v>
      </c>
      <c r="R187" s="2497" t="s">
        <v>4533</v>
      </c>
      <c r="S187" s="938">
        <v>45912</v>
      </c>
      <c r="T187" s="937">
        <v>56259</v>
      </c>
      <c r="U187" s="937" t="s">
        <v>44</v>
      </c>
      <c r="V187" s="976">
        <v>0</v>
      </c>
      <c r="W187" s="937"/>
      <c r="X187" s="937"/>
      <c r="Y187" s="1601"/>
      <c r="Z187" s="7"/>
      <c r="AA187" s="7"/>
    </row>
    <row r="188" spans="1:27" ht="18.600000000000001" customHeight="1">
      <c r="A188" s="106">
        <v>93</v>
      </c>
      <c r="B188" s="938"/>
      <c r="C188" s="944" t="s">
        <v>614</v>
      </c>
      <c r="D188" s="944" t="s">
        <v>3922</v>
      </c>
      <c r="E188" s="1586" t="s">
        <v>4168</v>
      </c>
      <c r="F188" s="1587" t="s">
        <v>4292</v>
      </c>
      <c r="G188" s="1442">
        <v>9718737555</v>
      </c>
      <c r="H188" s="1564" t="s">
        <v>3924</v>
      </c>
      <c r="I188" s="2495" t="s">
        <v>4535</v>
      </c>
      <c r="J188" s="1007" t="s">
        <v>73</v>
      </c>
      <c r="K188" s="1007" t="s">
        <v>138</v>
      </c>
      <c r="L188" s="1570" t="s">
        <v>4532</v>
      </c>
      <c r="M188" s="1579">
        <v>45912</v>
      </c>
      <c r="N188" s="937">
        <v>58000</v>
      </c>
      <c r="O188" s="948" t="s">
        <v>44</v>
      </c>
      <c r="P188" s="948" t="s">
        <v>44</v>
      </c>
      <c r="Q188" s="1321">
        <v>1</v>
      </c>
      <c r="R188" s="2497" t="s">
        <v>4533</v>
      </c>
      <c r="S188" s="938">
        <v>45912</v>
      </c>
      <c r="T188" s="937">
        <v>56259</v>
      </c>
      <c r="U188" s="937" t="s">
        <v>44</v>
      </c>
      <c r="V188" s="976">
        <v>0</v>
      </c>
      <c r="W188" s="937"/>
      <c r="X188" s="937"/>
      <c r="Y188" s="1601"/>
      <c r="Z188" s="7"/>
      <c r="AA188" s="7"/>
    </row>
    <row r="189" spans="1:27" ht="18.600000000000001" customHeight="1">
      <c r="A189" s="106"/>
      <c r="B189" s="938"/>
      <c r="C189" s="944" t="s">
        <v>614</v>
      </c>
      <c r="D189" s="944" t="s">
        <v>3922</v>
      </c>
      <c r="E189" s="1586" t="s">
        <v>4168</v>
      </c>
      <c r="F189" s="1587" t="s">
        <v>4292</v>
      </c>
      <c r="G189" s="1442">
        <v>9718737555</v>
      </c>
      <c r="H189" s="1564" t="s">
        <v>3924</v>
      </c>
      <c r="I189" s="2495" t="s">
        <v>4536</v>
      </c>
      <c r="J189" s="1007" t="s">
        <v>73</v>
      </c>
      <c r="K189" s="1007" t="s">
        <v>138</v>
      </c>
      <c r="L189" s="1570" t="s">
        <v>4532</v>
      </c>
      <c r="M189" s="1579">
        <v>45912</v>
      </c>
      <c r="N189" s="937">
        <v>58000</v>
      </c>
      <c r="O189" s="948" t="s">
        <v>44</v>
      </c>
      <c r="P189" s="948" t="s">
        <v>44</v>
      </c>
      <c r="Q189" s="1321">
        <v>1</v>
      </c>
      <c r="R189" s="2497" t="s">
        <v>4533</v>
      </c>
      <c r="S189" s="938">
        <v>45912</v>
      </c>
      <c r="T189" s="937">
        <v>56259</v>
      </c>
      <c r="U189" s="937" t="s">
        <v>44</v>
      </c>
      <c r="V189" s="976">
        <v>0</v>
      </c>
      <c r="W189" s="937"/>
      <c r="X189" s="937"/>
      <c r="Y189" s="1601"/>
      <c r="Z189" s="7"/>
      <c r="AA189" s="7"/>
    </row>
    <row r="190" spans="1:27" ht="18.600000000000001" customHeight="1">
      <c r="A190" s="106">
        <v>94</v>
      </c>
      <c r="B190" s="938"/>
      <c r="C190" s="944" t="s">
        <v>614</v>
      </c>
      <c r="D190" s="944" t="s">
        <v>3922</v>
      </c>
      <c r="E190" s="1586" t="s">
        <v>4168</v>
      </c>
      <c r="F190" s="1587" t="s">
        <v>4292</v>
      </c>
      <c r="G190" s="1442">
        <v>9718737555</v>
      </c>
      <c r="H190" s="1564" t="s">
        <v>3924</v>
      </c>
      <c r="I190" s="2495" t="s">
        <v>3925</v>
      </c>
      <c r="J190" s="1007" t="s">
        <v>73</v>
      </c>
      <c r="K190" s="1007" t="s">
        <v>138</v>
      </c>
      <c r="L190" s="1570" t="s">
        <v>4532</v>
      </c>
      <c r="M190" s="1579">
        <v>45912</v>
      </c>
      <c r="N190" s="937">
        <v>58000</v>
      </c>
      <c r="O190" s="948" t="s">
        <v>44</v>
      </c>
      <c r="P190" s="948" t="s">
        <v>44</v>
      </c>
      <c r="Q190" s="1321">
        <v>1</v>
      </c>
      <c r="R190" s="2497" t="s">
        <v>4533</v>
      </c>
      <c r="S190" s="938">
        <v>45912</v>
      </c>
      <c r="T190" s="937">
        <v>56259</v>
      </c>
      <c r="U190" s="937" t="s">
        <v>44</v>
      </c>
      <c r="V190" s="976">
        <v>0</v>
      </c>
      <c r="W190" s="937"/>
      <c r="X190" s="937"/>
      <c r="Y190" s="1600"/>
      <c r="Z190" s="7"/>
      <c r="AA190" s="7"/>
    </row>
    <row r="191" spans="1:27" ht="18.600000000000001" customHeight="1">
      <c r="A191" s="106"/>
      <c r="B191" s="938"/>
      <c r="C191" s="944" t="s">
        <v>614</v>
      </c>
      <c r="D191" s="944" t="s">
        <v>3922</v>
      </c>
      <c r="E191" s="1586" t="s">
        <v>4168</v>
      </c>
      <c r="F191" s="1587" t="s">
        <v>4292</v>
      </c>
      <c r="G191" s="1442">
        <v>9718737555</v>
      </c>
      <c r="H191" s="1564" t="s">
        <v>3924</v>
      </c>
      <c r="I191" s="2495">
        <v>305000053</v>
      </c>
      <c r="J191" s="1007" t="s">
        <v>73</v>
      </c>
      <c r="K191" s="1007" t="s">
        <v>138</v>
      </c>
      <c r="L191" s="1570" t="s">
        <v>4532</v>
      </c>
      <c r="M191" s="1579">
        <v>45912</v>
      </c>
      <c r="N191" s="937">
        <v>58000</v>
      </c>
      <c r="O191" s="948" t="s">
        <v>44</v>
      </c>
      <c r="P191" s="948" t="s">
        <v>44</v>
      </c>
      <c r="Q191" s="1321">
        <v>1</v>
      </c>
      <c r="R191" s="2497" t="s">
        <v>4533</v>
      </c>
      <c r="S191" s="938">
        <v>45912</v>
      </c>
      <c r="T191" s="937">
        <v>56259</v>
      </c>
      <c r="U191" s="937" t="s">
        <v>44</v>
      </c>
      <c r="V191" s="976">
        <v>0</v>
      </c>
      <c r="W191" s="937"/>
      <c r="X191" s="937"/>
      <c r="Y191" s="1600"/>
      <c r="Z191" s="7"/>
      <c r="AA191" s="7"/>
    </row>
    <row r="192" spans="1:27" ht="18.600000000000001" customHeight="1">
      <c r="A192" s="106">
        <v>95</v>
      </c>
      <c r="B192" s="938"/>
      <c r="C192" s="944" t="s">
        <v>614</v>
      </c>
      <c r="D192" s="944" t="s">
        <v>3922</v>
      </c>
      <c r="E192" s="1586" t="s">
        <v>4168</v>
      </c>
      <c r="F192" s="1587" t="s">
        <v>4292</v>
      </c>
      <c r="G192" s="1442">
        <v>9718737555</v>
      </c>
      <c r="H192" s="1564" t="s">
        <v>3924</v>
      </c>
      <c r="I192" s="2495">
        <v>305000055</v>
      </c>
      <c r="J192" s="1007" t="s">
        <v>73</v>
      </c>
      <c r="K192" s="1007" t="s">
        <v>138</v>
      </c>
      <c r="L192" s="1570" t="s">
        <v>4532</v>
      </c>
      <c r="M192" s="1579">
        <v>45912</v>
      </c>
      <c r="N192" s="937">
        <v>58000</v>
      </c>
      <c r="O192" s="948" t="s">
        <v>44</v>
      </c>
      <c r="P192" s="948" t="s">
        <v>44</v>
      </c>
      <c r="Q192" s="1321">
        <v>1</v>
      </c>
      <c r="R192" s="2497" t="s">
        <v>4533</v>
      </c>
      <c r="S192" s="938">
        <v>45912</v>
      </c>
      <c r="T192" s="937">
        <v>56259</v>
      </c>
      <c r="U192" s="937" t="s">
        <v>44</v>
      </c>
      <c r="V192" s="976">
        <v>0</v>
      </c>
      <c r="W192" s="937"/>
      <c r="X192" s="937"/>
      <c r="Y192" s="1600"/>
      <c r="Z192" s="7"/>
      <c r="AA192" s="7"/>
    </row>
    <row r="193" spans="1:27" ht="18.600000000000001" customHeight="1">
      <c r="A193" s="106">
        <v>96</v>
      </c>
      <c r="B193" s="938"/>
      <c r="C193" s="944" t="s">
        <v>614</v>
      </c>
      <c r="D193" s="944" t="s">
        <v>3922</v>
      </c>
      <c r="E193" s="1586" t="s">
        <v>4168</v>
      </c>
      <c r="F193" s="1587" t="s">
        <v>4292</v>
      </c>
      <c r="G193" s="1442">
        <v>9718737555</v>
      </c>
      <c r="H193" s="1564" t="s">
        <v>3924</v>
      </c>
      <c r="I193" s="2495">
        <v>305000056</v>
      </c>
      <c r="J193" s="1007" t="s">
        <v>73</v>
      </c>
      <c r="K193" s="1007" t="s">
        <v>138</v>
      </c>
      <c r="L193" s="1570" t="s">
        <v>4532</v>
      </c>
      <c r="M193" s="1579">
        <v>45912</v>
      </c>
      <c r="N193" s="937">
        <v>58000</v>
      </c>
      <c r="O193" s="948" t="s">
        <v>44</v>
      </c>
      <c r="P193" s="948" t="s">
        <v>44</v>
      </c>
      <c r="Q193" s="1321">
        <v>1</v>
      </c>
      <c r="R193" s="2497" t="s">
        <v>4533</v>
      </c>
      <c r="S193" s="938">
        <v>45912</v>
      </c>
      <c r="T193" s="937">
        <v>56259</v>
      </c>
      <c r="U193" s="937" t="s">
        <v>44</v>
      </c>
      <c r="V193" s="976">
        <v>0</v>
      </c>
      <c r="W193" s="937"/>
      <c r="X193" s="937"/>
      <c r="Y193" s="1600"/>
      <c r="Z193" s="7"/>
      <c r="AA193" s="7"/>
    </row>
    <row r="194" spans="1:27" ht="18.600000000000001" customHeight="1">
      <c r="A194" s="106"/>
      <c r="B194" s="938"/>
      <c r="C194" s="944" t="s">
        <v>614</v>
      </c>
      <c r="D194" s="944" t="s">
        <v>3922</v>
      </c>
      <c r="E194" s="1586" t="s">
        <v>4168</v>
      </c>
      <c r="F194" s="1587" t="s">
        <v>4292</v>
      </c>
      <c r="G194" s="1442">
        <v>9718737555</v>
      </c>
      <c r="H194" s="1564" t="s">
        <v>3924</v>
      </c>
      <c r="I194" s="2495">
        <v>305000057</v>
      </c>
      <c r="J194" s="1007" t="s">
        <v>73</v>
      </c>
      <c r="K194" s="1007" t="s">
        <v>138</v>
      </c>
      <c r="L194" s="1570" t="s">
        <v>4532</v>
      </c>
      <c r="M194" s="1579">
        <v>45912</v>
      </c>
      <c r="N194" s="937">
        <v>58000</v>
      </c>
      <c r="O194" s="948" t="s">
        <v>44</v>
      </c>
      <c r="P194" s="948" t="s">
        <v>44</v>
      </c>
      <c r="Q194" s="1321">
        <v>1</v>
      </c>
      <c r="R194" s="2497" t="s">
        <v>4533</v>
      </c>
      <c r="S194" s="938">
        <v>45912</v>
      </c>
      <c r="T194" s="937">
        <v>56259</v>
      </c>
      <c r="U194" s="937" t="s">
        <v>44</v>
      </c>
      <c r="V194" s="976">
        <v>0</v>
      </c>
      <c r="W194" s="937"/>
      <c r="X194" s="937"/>
      <c r="Y194" s="1600"/>
      <c r="Z194" s="7"/>
      <c r="AA194" s="7"/>
    </row>
    <row r="195" spans="1:27" ht="31.2">
      <c r="A195" s="106"/>
      <c r="B195" s="938">
        <v>45944</v>
      </c>
      <c r="C195" s="944" t="s">
        <v>3958</v>
      </c>
      <c r="D195" s="944" t="s">
        <v>3959</v>
      </c>
      <c r="E195" s="945" t="s">
        <v>4189</v>
      </c>
      <c r="F195" s="1442" t="s">
        <v>4537</v>
      </c>
      <c r="G195" s="1442" t="s">
        <v>4538</v>
      </c>
      <c r="H195" s="1564" t="s">
        <v>4539</v>
      </c>
      <c r="I195" s="2498" t="s">
        <v>4014</v>
      </c>
      <c r="J195" s="1007" t="s">
        <v>75</v>
      </c>
      <c r="K195" s="1007" t="s">
        <v>157</v>
      </c>
      <c r="L195" s="1570" t="s">
        <v>4540</v>
      </c>
      <c r="M195" s="1579">
        <v>45929</v>
      </c>
      <c r="N195" s="937">
        <v>240439</v>
      </c>
      <c r="O195" s="948" t="s">
        <v>44</v>
      </c>
      <c r="P195" s="937" t="s">
        <v>47</v>
      </c>
      <c r="Q195" s="1321">
        <v>1</v>
      </c>
      <c r="R195" s="1570">
        <v>901974694</v>
      </c>
      <c r="S195" s="938">
        <v>45943</v>
      </c>
      <c r="T195" s="937">
        <v>143962</v>
      </c>
      <c r="U195" s="937" t="s">
        <v>44</v>
      </c>
      <c r="V195" s="976">
        <v>0</v>
      </c>
      <c r="W195" s="937"/>
      <c r="X195" s="937"/>
      <c r="Y195" s="1601"/>
      <c r="Z195" s="7"/>
      <c r="AA195" s="7"/>
    </row>
    <row r="196" spans="1:27" ht="31.2">
      <c r="A196" s="106">
        <v>97</v>
      </c>
      <c r="B196" s="938">
        <v>45955</v>
      </c>
      <c r="C196" s="944" t="s">
        <v>4541</v>
      </c>
      <c r="D196" s="944" t="s">
        <v>4542</v>
      </c>
      <c r="E196" s="978" t="s">
        <v>4177</v>
      </c>
      <c r="F196" s="1574" t="s">
        <v>4543</v>
      </c>
      <c r="G196" s="1568">
        <v>8878629605</v>
      </c>
      <c r="H196" s="2714" t="s">
        <v>4544</v>
      </c>
      <c r="I196" s="1568" t="s">
        <v>4545</v>
      </c>
      <c r="J196" s="1007" t="s">
        <v>83</v>
      </c>
      <c r="K196" s="1007" t="s">
        <v>157</v>
      </c>
      <c r="L196" s="978" t="s">
        <v>4546</v>
      </c>
      <c r="M196" s="1579">
        <v>45945</v>
      </c>
      <c r="N196" s="937">
        <v>670200</v>
      </c>
      <c r="O196" s="937" t="s">
        <v>47</v>
      </c>
      <c r="P196" s="948" t="s">
        <v>49</v>
      </c>
      <c r="Q196" s="1321">
        <v>0.8</v>
      </c>
      <c r="R196" s="1573">
        <v>4511270855</v>
      </c>
      <c r="S196" s="938">
        <v>45976</v>
      </c>
      <c r="T196" s="937">
        <v>656796</v>
      </c>
      <c r="U196" s="937" t="str">
        <f>TEXT(Table6268934567910111213[[#This Row],[PO Date]], "mmmm")</f>
        <v>November</v>
      </c>
      <c r="V196" s="976">
        <v>0</v>
      </c>
      <c r="W196" s="937"/>
      <c r="X196" s="937"/>
      <c r="Y196" s="1601"/>
      <c r="Z196" s="1544" t="s">
        <v>157</v>
      </c>
      <c r="AA196" s="1544" t="s">
        <v>157</v>
      </c>
    </row>
    <row r="197" spans="1:27" ht="31.2">
      <c r="A197" s="106">
        <v>98</v>
      </c>
      <c r="B197" s="938"/>
      <c r="C197" s="944" t="s">
        <v>4541</v>
      </c>
      <c r="D197" s="944" t="s">
        <v>4542</v>
      </c>
      <c r="E197" s="945" t="s">
        <v>4177</v>
      </c>
      <c r="F197" s="1564" t="s">
        <v>4543</v>
      </c>
      <c r="G197" s="1442">
        <v>8878629605</v>
      </c>
      <c r="H197" s="1581" t="s">
        <v>4544</v>
      </c>
      <c r="I197" s="3116" t="s">
        <v>4547</v>
      </c>
      <c r="J197" s="1007" t="s">
        <v>83</v>
      </c>
      <c r="K197" s="1007" t="s">
        <v>157</v>
      </c>
      <c r="L197" s="945" t="s">
        <v>4546</v>
      </c>
      <c r="M197" s="1579">
        <v>45945</v>
      </c>
      <c r="N197" s="937">
        <v>737123</v>
      </c>
      <c r="O197" s="937" t="s">
        <v>47</v>
      </c>
      <c r="P197" s="948" t="s">
        <v>49</v>
      </c>
      <c r="Q197" s="1321">
        <v>0.8</v>
      </c>
      <c r="R197" s="1570">
        <v>4511270855</v>
      </c>
      <c r="S197" s="938">
        <v>45976</v>
      </c>
      <c r="T197" s="937">
        <v>722381</v>
      </c>
      <c r="U197" s="937" t="str">
        <f>TEXT(Table6268934567910111213[[#This Row],[PO Date]], "mmmm")</f>
        <v>November</v>
      </c>
      <c r="V197" s="2599">
        <f>Table62689345679[[#This Row],[PO Value]]-Table62689345679[[#This Row],[Offer Value]]</f>
        <v>-57500</v>
      </c>
      <c r="W197" s="937"/>
      <c r="X197" s="937"/>
      <c r="Y197" s="1600"/>
      <c r="Z197" s="1544"/>
      <c r="AA197" s="1544"/>
    </row>
    <row r="198" spans="1:27" ht="15.6">
      <c r="A198" s="106">
        <v>99</v>
      </c>
      <c r="B198" s="938">
        <v>45955</v>
      </c>
      <c r="C198" s="944" t="s">
        <v>1064</v>
      </c>
      <c r="D198" s="1007" t="s">
        <v>3949</v>
      </c>
      <c r="E198" s="945" t="s">
        <v>4177</v>
      </c>
      <c r="F198" s="1564" t="s">
        <v>4278</v>
      </c>
      <c r="G198" s="1442">
        <v>9871005820</v>
      </c>
      <c r="H198" s="1564" t="s">
        <v>4076</v>
      </c>
      <c r="I198" s="1442" t="s">
        <v>4280</v>
      </c>
      <c r="J198" s="1007" t="s">
        <v>75</v>
      </c>
      <c r="K198" s="1007" t="s">
        <v>157</v>
      </c>
      <c r="L198" s="945" t="s">
        <v>4548</v>
      </c>
      <c r="M198" s="1579">
        <v>45945</v>
      </c>
      <c r="N198" s="937">
        <v>269297</v>
      </c>
      <c r="O198" s="937" t="s">
        <v>47</v>
      </c>
      <c r="P198" s="948" t="s">
        <v>49</v>
      </c>
      <c r="Q198" s="1321">
        <v>0.8</v>
      </c>
      <c r="R198" s="1573">
        <v>1250038083</v>
      </c>
      <c r="S198" s="938">
        <v>45947</v>
      </c>
      <c r="T198" s="937">
        <v>43037</v>
      </c>
      <c r="U198" s="937" t="s">
        <v>47</v>
      </c>
      <c r="V198" s="2599">
        <f>Table62689345679[[#This Row],[PO Value]]-Table62689345679[[#This Row],[Offer Value]]</f>
        <v>-57500</v>
      </c>
      <c r="W198" s="937"/>
      <c r="X198" s="937"/>
      <c r="Y198" s="1600"/>
      <c r="Z198" s="1544"/>
      <c r="AA198" s="1544"/>
    </row>
    <row r="199" spans="1:27" ht="31.2">
      <c r="A199" s="106"/>
      <c r="B199" s="107">
        <v>45955</v>
      </c>
      <c r="C199" s="108" t="s">
        <v>3958</v>
      </c>
      <c r="D199" s="105" t="s">
        <v>3959</v>
      </c>
      <c r="E199" s="181" t="s">
        <v>4177</v>
      </c>
      <c r="F199" s="872" t="s">
        <v>4376</v>
      </c>
      <c r="G199" s="858">
        <v>9871553546</v>
      </c>
      <c r="H199" s="872" t="s">
        <v>4549</v>
      </c>
      <c r="I199" s="858" t="s">
        <v>4014</v>
      </c>
      <c r="J199" s="115" t="s">
        <v>83</v>
      </c>
      <c r="K199" s="115" t="s">
        <v>157</v>
      </c>
      <c r="L199" s="181" t="s">
        <v>4550</v>
      </c>
      <c r="M199" s="959">
        <v>45946</v>
      </c>
      <c r="N199" s="106">
        <v>628330</v>
      </c>
      <c r="O199" s="106" t="s">
        <v>47</v>
      </c>
      <c r="P199" s="110" t="s">
        <v>49</v>
      </c>
      <c r="Q199" s="109">
        <v>0.8</v>
      </c>
      <c r="R199" s="256"/>
      <c r="S199" s="107"/>
      <c r="T199" s="106"/>
      <c r="U199" s="106" t="str">
        <f>TEXT(Table6268934567910111213[[#This Row],[PO Date]], "mmmm")</f>
        <v>January</v>
      </c>
      <c r="V199" s="127">
        <f>Table62689345679[[#This Row],[PO Value]]-Table62689345679[[#This Row],[Offer Value]]</f>
        <v>0</v>
      </c>
      <c r="W199" s="106"/>
      <c r="X199" s="106"/>
      <c r="Y199" s="617"/>
      <c r="Z199" s="7"/>
      <c r="AA199" s="7"/>
    </row>
    <row r="200" spans="1:27" ht="31.2">
      <c r="A200" s="106"/>
      <c r="B200" s="107"/>
      <c r="C200" s="108" t="s">
        <v>3958</v>
      </c>
      <c r="D200" s="105" t="s">
        <v>3959</v>
      </c>
      <c r="E200" s="181" t="s">
        <v>4177</v>
      </c>
      <c r="F200" s="872" t="s">
        <v>4376</v>
      </c>
      <c r="G200" s="858">
        <v>9871553546</v>
      </c>
      <c r="H200" s="872" t="s">
        <v>4549</v>
      </c>
      <c r="I200" s="858" t="s">
        <v>3962</v>
      </c>
      <c r="J200" s="115" t="s">
        <v>83</v>
      </c>
      <c r="K200" s="115" t="s">
        <v>157</v>
      </c>
      <c r="L200" s="181" t="s">
        <v>4550</v>
      </c>
      <c r="M200" s="959">
        <v>45946</v>
      </c>
      <c r="N200" s="106">
        <v>629138</v>
      </c>
      <c r="O200" s="106" t="s">
        <v>47</v>
      </c>
      <c r="P200" s="110" t="s">
        <v>49</v>
      </c>
      <c r="Q200" s="109">
        <v>0.8</v>
      </c>
      <c r="R200" s="289"/>
      <c r="S200" s="107"/>
      <c r="T200" s="106"/>
      <c r="U200" s="106" t="str">
        <f>TEXT(Table6268934567910111213[[#This Row],[PO Date]], "mmmm")</f>
        <v>January</v>
      </c>
      <c r="V200" s="127">
        <f>Table62689345679[[#This Row],[PO Value]]-Table62689345679[[#This Row],[Offer Value]]</f>
        <v>-58000</v>
      </c>
      <c r="W200" s="106"/>
      <c r="X200" s="106"/>
      <c r="Y200" s="217"/>
      <c r="Z200" s="7"/>
      <c r="AA200" s="7"/>
    </row>
    <row r="201" spans="1:27" ht="28.8">
      <c r="A201" s="106"/>
      <c r="B201" s="107">
        <v>45955</v>
      </c>
      <c r="C201" s="108" t="s">
        <v>4045</v>
      </c>
      <c r="D201" s="105" t="s">
        <v>4046</v>
      </c>
      <c r="E201" s="181" t="s">
        <v>4177</v>
      </c>
      <c r="F201" s="872" t="s">
        <v>4256</v>
      </c>
      <c r="G201" s="858">
        <v>9911876413</v>
      </c>
      <c r="H201" s="870" t="s">
        <v>4257</v>
      </c>
      <c r="I201" s="858" t="s">
        <v>4258</v>
      </c>
      <c r="J201" s="115" t="s">
        <v>73</v>
      </c>
      <c r="K201" s="115" t="s">
        <v>138</v>
      </c>
      <c r="L201" s="181" t="s">
        <v>4551</v>
      </c>
      <c r="M201" s="959">
        <v>45947</v>
      </c>
      <c r="N201" s="106">
        <v>95000</v>
      </c>
      <c r="O201" s="106" t="s">
        <v>47</v>
      </c>
      <c r="P201" s="106" t="s">
        <v>62</v>
      </c>
      <c r="Q201" s="109">
        <v>1</v>
      </c>
      <c r="R201" s="289"/>
      <c r="S201" s="107"/>
      <c r="T201" s="106"/>
      <c r="U201" s="106"/>
      <c r="V201" s="127">
        <f>Table62689345679[[#This Row],[PO Value]]-Table62689345679[[#This Row],[Offer Value]]</f>
        <v>-58000</v>
      </c>
      <c r="W201" s="106"/>
      <c r="X201" s="106"/>
      <c r="Y201" s="217"/>
      <c r="Z201" s="7"/>
      <c r="AA201" s="7"/>
    </row>
    <row r="202" spans="1:27" ht="28.8">
      <c r="A202" s="106"/>
      <c r="B202" s="107"/>
      <c r="C202" s="108" t="s">
        <v>4045</v>
      </c>
      <c r="D202" s="105" t="s">
        <v>4046</v>
      </c>
      <c r="E202" s="181" t="s">
        <v>4177</v>
      </c>
      <c r="F202" s="872" t="s">
        <v>4256</v>
      </c>
      <c r="G202" s="858">
        <v>9911876413</v>
      </c>
      <c r="H202" s="870" t="s">
        <v>4257</v>
      </c>
      <c r="I202" s="858" t="s">
        <v>4261</v>
      </c>
      <c r="J202" s="115" t="s">
        <v>73</v>
      </c>
      <c r="K202" s="115" t="s">
        <v>138</v>
      </c>
      <c r="L202" s="181" t="s">
        <v>4551</v>
      </c>
      <c r="M202" s="959">
        <v>45947</v>
      </c>
      <c r="N202" s="106">
        <v>95000</v>
      </c>
      <c r="O202" s="106" t="s">
        <v>47</v>
      </c>
      <c r="P202" s="106" t="s">
        <v>62</v>
      </c>
      <c r="Q202" s="109">
        <v>1</v>
      </c>
      <c r="R202" s="289"/>
      <c r="S202" s="107"/>
      <c r="T202" s="106"/>
      <c r="U202" s="106"/>
      <c r="V202" s="127">
        <f>Table62689345679[[#This Row],[PO Value]]-Table62689345679[[#This Row],[Offer Value]]</f>
        <v>-58000</v>
      </c>
      <c r="W202" s="106"/>
      <c r="X202" s="106"/>
      <c r="Y202" s="217"/>
      <c r="Z202" s="7"/>
      <c r="AA202" s="7"/>
    </row>
    <row r="203" spans="1:27" ht="28.8">
      <c r="A203" s="106"/>
      <c r="B203" s="107"/>
      <c r="C203" s="108" t="s">
        <v>4045</v>
      </c>
      <c r="D203" s="105" t="s">
        <v>4046</v>
      </c>
      <c r="E203" s="181" t="s">
        <v>4177</v>
      </c>
      <c r="F203" s="872" t="s">
        <v>4256</v>
      </c>
      <c r="G203" s="858">
        <v>9911876413</v>
      </c>
      <c r="H203" s="870" t="s">
        <v>4257</v>
      </c>
      <c r="I203" s="858" t="s">
        <v>4262</v>
      </c>
      <c r="J203" s="115" t="s">
        <v>73</v>
      </c>
      <c r="K203" s="115" t="s">
        <v>138</v>
      </c>
      <c r="L203" s="181" t="s">
        <v>4551</v>
      </c>
      <c r="M203" s="959">
        <v>45947</v>
      </c>
      <c r="N203" s="106">
        <v>95000</v>
      </c>
      <c r="O203" s="106" t="s">
        <v>47</v>
      </c>
      <c r="P203" s="106" t="s">
        <v>62</v>
      </c>
      <c r="Q203" s="109">
        <v>1</v>
      </c>
      <c r="R203" s="289"/>
      <c r="S203" s="107"/>
      <c r="T203" s="106"/>
      <c r="U203" s="106"/>
      <c r="V203" s="127">
        <f>Table62689345679[[#This Row],[PO Value]]-Table62689345679[[#This Row],[Offer Value]]</f>
        <v>-60000</v>
      </c>
      <c r="W203" s="106"/>
      <c r="X203" s="106"/>
      <c r="Y203" s="217"/>
      <c r="Z203" s="7"/>
      <c r="AA203" s="7"/>
    </row>
    <row r="204" spans="1:27" ht="28.8">
      <c r="A204" s="106"/>
      <c r="B204" s="107"/>
      <c r="C204" s="108" t="s">
        <v>4045</v>
      </c>
      <c r="D204" s="105" t="s">
        <v>4046</v>
      </c>
      <c r="E204" s="181" t="s">
        <v>4177</v>
      </c>
      <c r="F204" s="872" t="s">
        <v>4256</v>
      </c>
      <c r="G204" s="858">
        <v>9911876413</v>
      </c>
      <c r="H204" s="870" t="s">
        <v>4257</v>
      </c>
      <c r="I204" s="858" t="s">
        <v>4263</v>
      </c>
      <c r="J204" s="115" t="s">
        <v>73</v>
      </c>
      <c r="K204" s="115" t="s">
        <v>138</v>
      </c>
      <c r="L204" s="181" t="s">
        <v>4551</v>
      </c>
      <c r="M204" s="959">
        <v>45947</v>
      </c>
      <c r="N204" s="106">
        <v>95000</v>
      </c>
      <c r="O204" s="106" t="s">
        <v>47</v>
      </c>
      <c r="P204" s="106" t="s">
        <v>62</v>
      </c>
      <c r="Q204" s="109">
        <v>1</v>
      </c>
      <c r="R204" s="256"/>
      <c r="S204" s="107"/>
      <c r="T204" s="106"/>
      <c r="U204" s="106"/>
      <c r="V204" s="127">
        <f>Table62689345679[[#This Row],[PO Value]]-Table62689345679[[#This Row],[Offer Value]]</f>
        <v>-175600</v>
      </c>
      <c r="W204" s="106"/>
      <c r="X204" s="106"/>
      <c r="Y204" s="617"/>
      <c r="Z204" s="7"/>
      <c r="AA204" s="7"/>
    </row>
    <row r="205" spans="1:27" ht="28.8">
      <c r="A205" s="106"/>
      <c r="B205" s="107"/>
      <c r="C205" s="108" t="s">
        <v>4045</v>
      </c>
      <c r="D205" s="105" t="s">
        <v>4046</v>
      </c>
      <c r="E205" s="181" t="s">
        <v>4177</v>
      </c>
      <c r="F205" s="872" t="s">
        <v>4256</v>
      </c>
      <c r="G205" s="858">
        <v>9911876413</v>
      </c>
      <c r="H205" s="870" t="s">
        <v>4257</v>
      </c>
      <c r="I205" s="858" t="s">
        <v>4264</v>
      </c>
      <c r="J205" s="115" t="s">
        <v>73</v>
      </c>
      <c r="K205" s="115" t="s">
        <v>138</v>
      </c>
      <c r="L205" s="181" t="s">
        <v>4551</v>
      </c>
      <c r="M205" s="959">
        <v>45947</v>
      </c>
      <c r="N205" s="106">
        <v>95000</v>
      </c>
      <c r="O205" s="106" t="s">
        <v>47</v>
      </c>
      <c r="P205" s="106" t="s">
        <v>62</v>
      </c>
      <c r="Q205" s="109">
        <v>1</v>
      </c>
      <c r="R205" s="289"/>
      <c r="S205" s="107"/>
      <c r="T205" s="106"/>
      <c r="U205" s="106"/>
      <c r="V205" s="127">
        <f>Table62689345679[[#This Row],[PO Value]]-Table62689345679[[#This Row],[Offer Value]]</f>
        <v>0</v>
      </c>
      <c r="W205" s="106"/>
      <c r="X205" s="106"/>
      <c r="Y205" s="217"/>
      <c r="Z205" s="7"/>
      <c r="AA205" s="7"/>
    </row>
    <row r="206" spans="1:27" ht="28.8">
      <c r="A206" s="106"/>
      <c r="B206" s="107"/>
      <c r="C206" s="108" t="s">
        <v>4045</v>
      </c>
      <c r="D206" s="105" t="s">
        <v>4046</v>
      </c>
      <c r="E206" s="181" t="s">
        <v>4177</v>
      </c>
      <c r="F206" s="872" t="s">
        <v>4256</v>
      </c>
      <c r="G206" s="858">
        <v>9911876413</v>
      </c>
      <c r="H206" s="870" t="s">
        <v>4257</v>
      </c>
      <c r="I206" s="858" t="s">
        <v>4265</v>
      </c>
      <c r="J206" s="115" t="s">
        <v>73</v>
      </c>
      <c r="K206" s="115" t="s">
        <v>138</v>
      </c>
      <c r="L206" s="181" t="s">
        <v>4551</v>
      </c>
      <c r="M206" s="959">
        <v>45947</v>
      </c>
      <c r="N206" s="106">
        <v>95000</v>
      </c>
      <c r="O206" s="106" t="s">
        <v>47</v>
      </c>
      <c r="P206" s="106" t="s">
        <v>62</v>
      </c>
      <c r="Q206" s="109">
        <v>1</v>
      </c>
      <c r="R206" s="256"/>
      <c r="S206" s="107"/>
      <c r="T206" s="106"/>
      <c r="U206" s="106"/>
      <c r="V206" s="127">
        <f>Table62689345679[[#This Row],[PO Value]]-Table62689345679[[#This Row],[Offer Value]]</f>
        <v>0</v>
      </c>
      <c r="W206" s="106"/>
      <c r="X206" s="106"/>
      <c r="Y206" s="617"/>
      <c r="Z206" s="7"/>
      <c r="AA206" s="7"/>
    </row>
    <row r="207" spans="1:27" ht="28.8">
      <c r="A207" s="106"/>
      <c r="B207" s="107"/>
      <c r="C207" s="108" t="s">
        <v>4045</v>
      </c>
      <c r="D207" s="105" t="s">
        <v>4046</v>
      </c>
      <c r="E207" s="181" t="s">
        <v>4177</v>
      </c>
      <c r="F207" s="872" t="s">
        <v>4256</v>
      </c>
      <c r="G207" s="858">
        <v>9911876413</v>
      </c>
      <c r="H207" s="870" t="s">
        <v>4257</v>
      </c>
      <c r="I207" s="858" t="s">
        <v>4266</v>
      </c>
      <c r="J207" s="115" t="s">
        <v>73</v>
      </c>
      <c r="K207" s="115" t="s">
        <v>138</v>
      </c>
      <c r="L207" s="181" t="s">
        <v>4551</v>
      </c>
      <c r="M207" s="959">
        <v>45947</v>
      </c>
      <c r="N207" s="106">
        <v>95000</v>
      </c>
      <c r="O207" s="106" t="s">
        <v>47</v>
      </c>
      <c r="P207" s="106" t="s">
        <v>62</v>
      </c>
      <c r="Q207" s="109">
        <v>1</v>
      </c>
      <c r="R207" s="256"/>
      <c r="S207" s="107"/>
      <c r="T207" s="106"/>
      <c r="U207" s="106"/>
      <c r="V207" s="127">
        <f>Table62689345679[[#This Row],[PO Value]]-Table62689345679[[#This Row],[Offer Value]]</f>
        <v>0</v>
      </c>
      <c r="W207" s="106"/>
      <c r="X207" s="106"/>
      <c r="Y207" s="617"/>
      <c r="Z207" s="7"/>
      <c r="AA207" s="7"/>
    </row>
    <row r="208" spans="1:27" ht="28.8">
      <c r="A208" s="106">
        <v>100</v>
      </c>
      <c r="B208" s="107"/>
      <c r="C208" s="108" t="s">
        <v>4045</v>
      </c>
      <c r="D208" s="105" t="s">
        <v>4046</v>
      </c>
      <c r="E208" s="181" t="s">
        <v>4177</v>
      </c>
      <c r="F208" s="872" t="s">
        <v>4256</v>
      </c>
      <c r="G208" s="858">
        <v>9911876413</v>
      </c>
      <c r="H208" s="870" t="s">
        <v>4257</v>
      </c>
      <c r="I208" s="858" t="s">
        <v>4267</v>
      </c>
      <c r="J208" s="115" t="s">
        <v>73</v>
      </c>
      <c r="K208" s="115" t="s">
        <v>138</v>
      </c>
      <c r="L208" s="181" t="s">
        <v>4551</v>
      </c>
      <c r="M208" s="959">
        <v>45947</v>
      </c>
      <c r="N208" s="106">
        <v>95000</v>
      </c>
      <c r="O208" s="106" t="s">
        <v>47</v>
      </c>
      <c r="P208" s="106" t="s">
        <v>62</v>
      </c>
      <c r="Q208" s="109">
        <v>1</v>
      </c>
      <c r="R208" s="289"/>
      <c r="S208" s="107"/>
      <c r="T208" s="106"/>
      <c r="U208" s="106"/>
      <c r="V208" s="127">
        <f>Table62689345679[[#This Row],[PO Value]]-Table62689345679[[#This Row],[Offer Value]]</f>
        <v>0</v>
      </c>
      <c r="W208" s="106"/>
      <c r="X208" s="106"/>
      <c r="Y208" s="217"/>
      <c r="Z208" s="7"/>
      <c r="AA208" s="7"/>
    </row>
    <row r="209" spans="1:27" ht="15.6">
      <c r="A209" s="106">
        <v>101</v>
      </c>
      <c r="B209" s="107">
        <v>45955</v>
      </c>
      <c r="C209" s="105" t="s">
        <v>1064</v>
      </c>
      <c r="D209" s="105" t="s">
        <v>3949</v>
      </c>
      <c r="E209" s="181" t="s">
        <v>4177</v>
      </c>
      <c r="F209" s="872" t="s">
        <v>4278</v>
      </c>
      <c r="G209" s="2178">
        <v>9871005820</v>
      </c>
      <c r="H209" s="872" t="s">
        <v>4076</v>
      </c>
      <c r="I209" s="858" t="s">
        <v>4077</v>
      </c>
      <c r="J209" s="115" t="s">
        <v>73</v>
      </c>
      <c r="K209" s="115" t="s">
        <v>138</v>
      </c>
      <c r="L209" s="181" t="s">
        <v>4552</v>
      </c>
      <c r="M209" s="959">
        <v>45947</v>
      </c>
      <c r="N209" s="106">
        <v>140000</v>
      </c>
      <c r="O209" s="106" t="s">
        <v>47</v>
      </c>
      <c r="P209" s="106" t="s">
        <v>62</v>
      </c>
      <c r="Q209" s="109">
        <v>1</v>
      </c>
      <c r="R209" s="289"/>
      <c r="S209" s="107"/>
      <c r="T209" s="106"/>
      <c r="U209" s="106"/>
      <c r="V209" s="127">
        <f>Table62689345679[[#This Row],[PO Value]]-Table62689345679[[#This Row],[Offer Value]]</f>
        <v>0</v>
      </c>
      <c r="W209" s="106"/>
      <c r="X209" s="106"/>
      <c r="Y209" s="217"/>
      <c r="Z209" s="7"/>
      <c r="AA209" s="7"/>
    </row>
    <row r="210" spans="1:27" ht="15.6">
      <c r="A210" s="106"/>
      <c r="B210" s="107"/>
      <c r="C210" s="105" t="s">
        <v>1064</v>
      </c>
      <c r="D210" s="105" t="s">
        <v>3949</v>
      </c>
      <c r="E210" s="181" t="s">
        <v>4177</v>
      </c>
      <c r="F210" s="872" t="s">
        <v>4278</v>
      </c>
      <c r="G210" s="2178">
        <v>9871005820</v>
      </c>
      <c r="H210" s="872" t="s">
        <v>4076</v>
      </c>
      <c r="I210" s="858" t="s">
        <v>4280</v>
      </c>
      <c r="J210" s="115" t="s">
        <v>73</v>
      </c>
      <c r="K210" s="115" t="s">
        <v>138</v>
      </c>
      <c r="L210" s="181" t="s">
        <v>4552</v>
      </c>
      <c r="M210" s="959">
        <v>45947</v>
      </c>
      <c r="N210" s="106">
        <v>140000</v>
      </c>
      <c r="O210" s="106" t="s">
        <v>47</v>
      </c>
      <c r="P210" s="106" t="s">
        <v>62</v>
      </c>
      <c r="Q210" s="109">
        <v>1</v>
      </c>
      <c r="R210" s="256"/>
      <c r="S210" s="107"/>
      <c r="T210" s="106"/>
      <c r="U210" s="106"/>
      <c r="V210" s="127">
        <f>Table62689345679[[#This Row],[PO Value]]-Table62689345679[[#This Row],[Offer Value]]</f>
        <v>0</v>
      </c>
      <c r="W210" s="106"/>
      <c r="X210" s="106"/>
      <c r="Y210" s="617"/>
      <c r="Z210" s="7"/>
      <c r="AA210" s="7"/>
    </row>
    <row r="211" spans="1:27" ht="31.2">
      <c r="A211" s="106">
        <v>102</v>
      </c>
      <c r="B211" s="107">
        <v>45955</v>
      </c>
      <c r="C211" s="105" t="s">
        <v>4230</v>
      </c>
      <c r="D211" s="115" t="s">
        <v>4001</v>
      </c>
      <c r="E211" s="181" t="s">
        <v>4177</v>
      </c>
      <c r="F211" s="872" t="s">
        <v>4553</v>
      </c>
      <c r="G211" s="858">
        <v>9041456306</v>
      </c>
      <c r="H211" s="2597" t="s">
        <v>4554</v>
      </c>
      <c r="I211" s="858" t="s">
        <v>4233</v>
      </c>
      <c r="J211" s="115" t="s">
        <v>73</v>
      </c>
      <c r="K211" s="115" t="s">
        <v>138</v>
      </c>
      <c r="L211" s="181" t="s">
        <v>4555</v>
      </c>
      <c r="M211" s="959">
        <v>45947</v>
      </c>
      <c r="N211" s="106">
        <v>133750</v>
      </c>
      <c r="O211" s="106" t="s">
        <v>47</v>
      </c>
      <c r="P211" s="106" t="s">
        <v>62</v>
      </c>
      <c r="Q211" s="109">
        <v>0.6</v>
      </c>
      <c r="R211" s="256"/>
      <c r="S211" s="107"/>
      <c r="T211" s="106"/>
      <c r="U211" s="106"/>
      <c r="V211" s="127">
        <f>Table62689345679[[#This Row],[PO Value]]-Table62689345679[[#This Row],[Offer Value]]</f>
        <v>0</v>
      </c>
      <c r="W211" s="106"/>
      <c r="X211" s="106"/>
      <c r="Y211" s="617"/>
      <c r="Z211" s="7"/>
      <c r="AA211" s="7"/>
    </row>
    <row r="212" spans="1:27" ht="15.6">
      <c r="A212" s="106">
        <v>103</v>
      </c>
      <c r="B212" s="107">
        <v>45955</v>
      </c>
      <c r="C212" s="105" t="s">
        <v>4006</v>
      </c>
      <c r="D212" s="105" t="s">
        <v>3959</v>
      </c>
      <c r="E212" s="181" t="s">
        <v>4189</v>
      </c>
      <c r="F212" s="872" t="s">
        <v>4268</v>
      </c>
      <c r="G212" s="858">
        <v>9899010018</v>
      </c>
      <c r="H212" s="872" t="s">
        <v>4269</v>
      </c>
      <c r="I212" s="858" t="s">
        <v>4010</v>
      </c>
      <c r="J212" s="115" t="s">
        <v>73</v>
      </c>
      <c r="K212" s="115" t="s">
        <v>138</v>
      </c>
      <c r="L212" s="181" t="s">
        <v>4556</v>
      </c>
      <c r="M212" s="959">
        <v>45947</v>
      </c>
      <c r="N212" s="106">
        <v>130000</v>
      </c>
      <c r="O212" s="106" t="s">
        <v>47</v>
      </c>
      <c r="P212" s="106" t="s">
        <v>62</v>
      </c>
      <c r="Q212" s="109">
        <v>1</v>
      </c>
      <c r="R212" s="289"/>
      <c r="S212" s="107"/>
      <c r="T212" s="106"/>
      <c r="U212" s="106"/>
      <c r="V212" s="127">
        <f>Table62689345679[[#This Row],[PO Value]]-Table62689345679[[#This Row],[Offer Value]]</f>
        <v>0</v>
      </c>
      <c r="W212" s="106"/>
      <c r="X212" s="106"/>
      <c r="Y212" s="217"/>
      <c r="Z212" s="7"/>
      <c r="AA212" s="7"/>
    </row>
    <row r="213" spans="1:27" ht="28.8">
      <c r="A213" s="106">
        <v>104</v>
      </c>
      <c r="B213" s="107">
        <v>45955</v>
      </c>
      <c r="C213" s="105" t="s">
        <v>4235</v>
      </c>
      <c r="D213" s="105" t="s">
        <v>4236</v>
      </c>
      <c r="E213" s="181" t="s">
        <v>4177</v>
      </c>
      <c r="F213" s="872" t="s">
        <v>4557</v>
      </c>
      <c r="G213" s="2178">
        <v>9935326262</v>
      </c>
      <c r="H213" s="2597" t="s">
        <v>4558</v>
      </c>
      <c r="I213" s="858" t="s">
        <v>4492</v>
      </c>
      <c r="J213" s="115" t="s">
        <v>73</v>
      </c>
      <c r="K213" s="115" t="s">
        <v>138</v>
      </c>
      <c r="L213" s="181" t="s">
        <v>4559</v>
      </c>
      <c r="M213" s="959">
        <v>45947</v>
      </c>
      <c r="N213" s="106">
        <v>80000</v>
      </c>
      <c r="O213" s="106" t="s">
        <v>47</v>
      </c>
      <c r="P213" s="106" t="s">
        <v>62</v>
      </c>
      <c r="Q213" s="109">
        <v>1</v>
      </c>
      <c r="R213" s="289"/>
      <c r="S213" s="107"/>
      <c r="T213" s="106"/>
      <c r="U213" s="106"/>
      <c r="V213" s="127">
        <f>Table62689345679[[#This Row],[PO Value]]-Table62689345679[[#This Row],[Offer Value]]</f>
        <v>0</v>
      </c>
      <c r="W213" s="106"/>
      <c r="X213" s="106"/>
      <c r="Y213" s="217"/>
      <c r="Z213" s="7"/>
      <c r="AA213" s="7"/>
    </row>
    <row r="214" spans="1:27" ht="31.2">
      <c r="A214" s="106">
        <v>105</v>
      </c>
      <c r="B214" s="107">
        <v>45955</v>
      </c>
      <c r="C214" s="2598" t="s">
        <v>4091</v>
      </c>
      <c r="D214" s="117" t="s">
        <v>4046</v>
      </c>
      <c r="E214" s="2249" t="s">
        <v>4168</v>
      </c>
      <c r="F214" s="872" t="s">
        <v>4504</v>
      </c>
      <c r="G214" s="858">
        <v>7838883221</v>
      </c>
      <c r="H214" s="870" t="s">
        <v>4505</v>
      </c>
      <c r="I214" s="858" t="s">
        <v>4560</v>
      </c>
      <c r="J214" s="115" t="s">
        <v>73</v>
      </c>
      <c r="K214" s="115" t="s">
        <v>138</v>
      </c>
      <c r="L214" s="181" t="s">
        <v>4561</v>
      </c>
      <c r="M214" s="959">
        <v>45947</v>
      </c>
      <c r="N214" s="106">
        <v>185000</v>
      </c>
      <c r="O214" s="106" t="s">
        <v>47</v>
      </c>
      <c r="P214" s="106" t="s">
        <v>62</v>
      </c>
      <c r="Q214" s="109">
        <v>1</v>
      </c>
      <c r="R214" s="289"/>
      <c r="S214" s="107"/>
      <c r="T214" s="106"/>
      <c r="U214" s="106"/>
      <c r="V214" s="127">
        <f>Table62689345679[[#This Row],[PO Value]]-Table62689345679[[#This Row],[Offer Value]]</f>
        <v>0</v>
      </c>
      <c r="W214" s="106"/>
      <c r="X214" s="106"/>
      <c r="Y214" s="217"/>
      <c r="Z214" s="7"/>
      <c r="AA214" s="7"/>
    </row>
    <row r="215" spans="1:27" ht="28.8">
      <c r="A215" s="106">
        <v>106</v>
      </c>
      <c r="B215" s="107">
        <v>45955</v>
      </c>
      <c r="C215" s="105" t="s">
        <v>3958</v>
      </c>
      <c r="D215" s="105" t="s">
        <v>3959</v>
      </c>
      <c r="E215" s="181" t="s">
        <v>4177</v>
      </c>
      <c r="F215" s="872" t="s">
        <v>4528</v>
      </c>
      <c r="G215" s="183">
        <v>8010130387</v>
      </c>
      <c r="H215" s="868" t="s">
        <v>4529</v>
      </c>
      <c r="I215" s="858" t="s">
        <v>3980</v>
      </c>
      <c r="J215" s="115" t="s">
        <v>73</v>
      </c>
      <c r="K215" s="115" t="s">
        <v>138</v>
      </c>
      <c r="L215" s="181" t="s">
        <v>4562</v>
      </c>
      <c r="M215" s="959">
        <v>45947</v>
      </c>
      <c r="N215" s="106">
        <v>148000</v>
      </c>
      <c r="O215" s="106" t="s">
        <v>47</v>
      </c>
      <c r="P215" s="106" t="s">
        <v>62</v>
      </c>
      <c r="Q215" s="109">
        <v>1</v>
      </c>
      <c r="R215" s="289"/>
      <c r="S215" s="107"/>
      <c r="T215" s="106"/>
      <c r="U215" s="106"/>
      <c r="V215" s="127">
        <f>Table62689345679[[#This Row],[PO Value]]-Table62689345679[[#This Row],[Offer Value]]</f>
        <v>0</v>
      </c>
      <c r="W215" s="106"/>
      <c r="X215" s="106"/>
      <c r="Y215" s="217"/>
      <c r="Z215" s="7"/>
      <c r="AA215" s="7"/>
    </row>
    <row r="216" spans="1:27" ht="31.2">
      <c r="A216" s="106">
        <v>107</v>
      </c>
      <c r="B216" s="107">
        <v>45955</v>
      </c>
      <c r="C216" s="115" t="s">
        <v>4541</v>
      </c>
      <c r="D216" s="105" t="s">
        <v>4542</v>
      </c>
      <c r="E216" s="181" t="s">
        <v>4177</v>
      </c>
      <c r="F216" s="872" t="s">
        <v>4563</v>
      </c>
      <c r="G216" s="859">
        <v>9754310142</v>
      </c>
      <c r="H216" s="2597" t="s">
        <v>4564</v>
      </c>
      <c r="I216" s="858" t="s">
        <v>4545</v>
      </c>
      <c r="J216" s="115" t="s">
        <v>73</v>
      </c>
      <c r="K216" s="115" t="s">
        <v>138</v>
      </c>
      <c r="L216" s="181" t="s">
        <v>4565</v>
      </c>
      <c r="M216" s="959">
        <v>45947</v>
      </c>
      <c r="N216" s="106">
        <v>190000</v>
      </c>
      <c r="O216" s="106" t="s">
        <v>47</v>
      </c>
      <c r="P216" s="106" t="s">
        <v>62</v>
      </c>
      <c r="Q216" s="109">
        <v>1</v>
      </c>
      <c r="R216" s="289"/>
      <c r="S216" s="107"/>
      <c r="T216" s="106"/>
      <c r="U216" s="106"/>
      <c r="V216" s="127">
        <f>Table62689345679[[#This Row],[PO Value]]-Table62689345679[[#This Row],[Offer Value]]</f>
        <v>0</v>
      </c>
      <c r="W216" s="106"/>
      <c r="X216" s="106"/>
      <c r="Y216" s="217"/>
      <c r="Z216" s="7"/>
      <c r="AA216" s="7"/>
    </row>
    <row r="217" spans="1:27" ht="31.2">
      <c r="A217" s="106"/>
      <c r="B217" s="107">
        <v>45955</v>
      </c>
      <c r="C217" s="115" t="s">
        <v>4541</v>
      </c>
      <c r="D217" s="105" t="s">
        <v>4542</v>
      </c>
      <c r="E217" s="181" t="s">
        <v>4177</v>
      </c>
      <c r="F217" s="872" t="s">
        <v>4563</v>
      </c>
      <c r="G217" s="858">
        <v>9754310142</v>
      </c>
      <c r="H217" s="2597" t="s">
        <v>4564</v>
      </c>
      <c r="I217" s="858" t="s">
        <v>4547</v>
      </c>
      <c r="J217" s="115" t="s">
        <v>73</v>
      </c>
      <c r="K217" s="115" t="s">
        <v>138</v>
      </c>
      <c r="L217" s="181" t="s">
        <v>4565</v>
      </c>
      <c r="M217" s="959">
        <v>45947</v>
      </c>
      <c r="N217" s="106">
        <v>190000</v>
      </c>
      <c r="O217" s="106" t="s">
        <v>47</v>
      </c>
      <c r="P217" s="106" t="s">
        <v>62</v>
      </c>
      <c r="Q217" s="109">
        <v>1</v>
      </c>
      <c r="R217" s="289"/>
      <c r="S217" s="107"/>
      <c r="T217" s="106"/>
      <c r="U217" s="106"/>
      <c r="V217" s="127">
        <f>Table62689345679[[#This Row],[PO Value]]-Table62689345679[[#This Row],[Offer Value]]</f>
        <v>0</v>
      </c>
      <c r="W217" s="106"/>
      <c r="X217" s="106"/>
      <c r="Y217" s="217"/>
      <c r="Z217" s="7"/>
      <c r="AA217" s="7"/>
    </row>
    <row r="218" spans="1:27" ht="31.2">
      <c r="A218" s="106">
        <v>108</v>
      </c>
      <c r="B218" s="938">
        <v>45955</v>
      </c>
      <c r="C218" s="1007" t="s">
        <v>4541</v>
      </c>
      <c r="D218" s="1010" t="s">
        <v>4542</v>
      </c>
      <c r="E218" s="945" t="s">
        <v>4177</v>
      </c>
      <c r="F218" s="1564" t="s">
        <v>4563</v>
      </c>
      <c r="G218" s="1442">
        <v>9754310142</v>
      </c>
      <c r="H218" s="1581" t="s">
        <v>4564</v>
      </c>
      <c r="I218" s="1442" t="s">
        <v>4545</v>
      </c>
      <c r="J218" s="1007" t="s">
        <v>83</v>
      </c>
      <c r="K218" s="1007" t="s">
        <v>685</v>
      </c>
      <c r="L218" s="945" t="s">
        <v>4566</v>
      </c>
      <c r="M218" s="1579">
        <v>45947</v>
      </c>
      <c r="N218" s="937">
        <v>728056</v>
      </c>
      <c r="O218" s="937" t="s">
        <v>47</v>
      </c>
      <c r="P218" s="948" t="s">
        <v>49</v>
      </c>
      <c r="Q218" s="1321">
        <v>0.6</v>
      </c>
      <c r="R218" s="1573">
        <v>4511270855</v>
      </c>
      <c r="S218" s="938">
        <v>45976</v>
      </c>
      <c r="T218" s="937">
        <v>713494</v>
      </c>
      <c r="U218" s="937" t="str">
        <f>TEXT(Table6268934567910111213[[#This Row],[PO Date]], "mmmm")</f>
        <v>November</v>
      </c>
      <c r="V218" s="2599">
        <f>Table62689345679[[#This Row],[PO Value]]-Table62689345679[[#This Row],[Offer Value]]</f>
        <v>0</v>
      </c>
      <c r="W218" s="937"/>
      <c r="X218" s="937"/>
      <c r="Y218" s="1600"/>
      <c r="Z218" s="1544"/>
      <c r="AA218" s="1544"/>
    </row>
    <row r="219" spans="1:27" ht="31.2">
      <c r="A219" s="106">
        <v>109</v>
      </c>
      <c r="B219" s="107">
        <v>45955</v>
      </c>
      <c r="C219" s="115" t="s">
        <v>4541</v>
      </c>
      <c r="D219" s="105" t="s">
        <v>4542</v>
      </c>
      <c r="E219" s="181" t="s">
        <v>4177</v>
      </c>
      <c r="F219" s="872" t="s">
        <v>4567</v>
      </c>
      <c r="G219" s="858">
        <v>7694092240</v>
      </c>
      <c r="H219" s="2597" t="s">
        <v>4568</v>
      </c>
      <c r="I219" s="858" t="s">
        <v>4545</v>
      </c>
      <c r="J219" s="108" t="s">
        <v>77</v>
      </c>
      <c r="K219" s="108" t="s">
        <v>138</v>
      </c>
      <c r="L219" s="181" t="s">
        <v>4569</v>
      </c>
      <c r="M219" s="959">
        <v>45952</v>
      </c>
      <c r="N219" s="106">
        <v>430000</v>
      </c>
      <c r="O219" s="106" t="s">
        <v>47</v>
      </c>
      <c r="P219" s="110" t="s">
        <v>49</v>
      </c>
      <c r="Q219" s="109">
        <v>0.6</v>
      </c>
      <c r="R219" s="289"/>
      <c r="S219" s="107"/>
      <c r="T219" s="106"/>
      <c r="U219" s="106"/>
      <c r="V219" s="127">
        <f>Table62689345679[[#This Row],[PO Value]]-Table62689345679[[#This Row],[Offer Value]]</f>
        <v>0</v>
      </c>
      <c r="W219" s="106"/>
      <c r="X219" s="106"/>
      <c r="Y219" s="217"/>
      <c r="Z219" s="7"/>
      <c r="AA219" s="7"/>
    </row>
    <row r="220" spans="1:27" ht="31.2">
      <c r="A220" s="106"/>
      <c r="B220" s="107"/>
      <c r="C220" s="115" t="s">
        <v>4541</v>
      </c>
      <c r="D220" s="105" t="s">
        <v>4542</v>
      </c>
      <c r="E220" s="181" t="s">
        <v>4177</v>
      </c>
      <c r="F220" s="872" t="s">
        <v>4567</v>
      </c>
      <c r="G220" s="858">
        <v>7694092240</v>
      </c>
      <c r="H220" s="2597" t="s">
        <v>4568</v>
      </c>
      <c r="I220" s="858" t="s">
        <v>4547</v>
      </c>
      <c r="J220" s="108" t="s">
        <v>77</v>
      </c>
      <c r="K220" s="108" t="s">
        <v>138</v>
      </c>
      <c r="L220" s="181" t="s">
        <v>4569</v>
      </c>
      <c r="M220" s="959">
        <v>45952</v>
      </c>
      <c r="N220" s="106">
        <v>430000</v>
      </c>
      <c r="O220" s="106" t="s">
        <v>47</v>
      </c>
      <c r="P220" s="110" t="s">
        <v>49</v>
      </c>
      <c r="Q220" s="109">
        <v>0.6</v>
      </c>
      <c r="R220" s="289"/>
      <c r="S220" s="107"/>
      <c r="T220" s="106"/>
      <c r="U220" s="106"/>
      <c r="V220" s="127">
        <f>Table62689345679[[#This Row],[PO Value]]-Table62689345679[[#This Row],[Offer Value]]</f>
        <v>0</v>
      </c>
      <c r="W220" s="106"/>
      <c r="X220" s="106"/>
      <c r="Y220" s="217"/>
      <c r="Z220" s="7"/>
      <c r="AA220" s="7"/>
    </row>
    <row r="221" spans="1:27" ht="15.6">
      <c r="A221" s="106">
        <v>110</v>
      </c>
      <c r="B221" s="107">
        <v>45977</v>
      </c>
      <c r="C221" s="115" t="s">
        <v>3958</v>
      </c>
      <c r="D221" s="105" t="s">
        <v>3959</v>
      </c>
      <c r="E221" s="180" t="s">
        <v>4189</v>
      </c>
      <c r="F221" s="859" t="s">
        <v>4528</v>
      </c>
      <c r="G221" s="183">
        <v>8010130387</v>
      </c>
      <c r="H221" s="180" t="s">
        <v>4529</v>
      </c>
      <c r="I221" s="859" t="s">
        <v>4014</v>
      </c>
      <c r="J221" s="115" t="s">
        <v>75</v>
      </c>
      <c r="K221" s="115" t="s">
        <v>157</v>
      </c>
      <c r="L221" s="180" t="s">
        <v>4570</v>
      </c>
      <c r="M221" s="959">
        <v>45954</v>
      </c>
      <c r="N221" s="106">
        <v>233046</v>
      </c>
      <c r="O221" s="106" t="s">
        <v>47</v>
      </c>
      <c r="P221" s="110" t="s">
        <v>49</v>
      </c>
      <c r="Q221" s="109">
        <v>0.6</v>
      </c>
      <c r="R221" s="289"/>
      <c r="S221" s="107"/>
      <c r="T221" s="106"/>
      <c r="U221" s="106"/>
      <c r="V221" s="127">
        <f>Table62689345679[[#This Row],[PO Value]]-Table62689345679[[#This Row],[Offer Value]]</f>
        <v>0</v>
      </c>
      <c r="W221" s="106"/>
      <c r="X221" s="106"/>
      <c r="Y221" s="217"/>
      <c r="Z221" s="7"/>
      <c r="AA221" s="7"/>
    </row>
    <row r="222" spans="1:27" ht="15.6">
      <c r="A222" s="106">
        <v>111</v>
      </c>
      <c r="B222" s="107">
        <v>45977</v>
      </c>
      <c r="C222" s="105" t="s">
        <v>4235</v>
      </c>
      <c r="D222" s="105" t="s">
        <v>4236</v>
      </c>
      <c r="E222" s="181" t="s">
        <v>4177</v>
      </c>
      <c r="F222" s="858" t="s">
        <v>4490</v>
      </c>
      <c r="G222" s="2984">
        <v>8840628183</v>
      </c>
      <c r="H222" s="858" t="s">
        <v>4491</v>
      </c>
      <c r="I222" s="858" t="s">
        <v>4492</v>
      </c>
      <c r="J222" s="115" t="s">
        <v>73</v>
      </c>
      <c r="K222" s="115" t="s">
        <v>138</v>
      </c>
      <c r="L222" s="181" t="s">
        <v>4571</v>
      </c>
      <c r="M222" s="959">
        <v>45960</v>
      </c>
      <c r="N222" s="106">
        <v>75000</v>
      </c>
      <c r="O222" s="106" t="s">
        <v>47</v>
      </c>
      <c r="P222" s="110" t="s">
        <v>62</v>
      </c>
      <c r="Q222" s="109">
        <v>1</v>
      </c>
      <c r="R222" s="289"/>
      <c r="S222" s="107"/>
      <c r="T222" s="106"/>
      <c r="U222" s="106"/>
      <c r="V222" s="127">
        <f>Table62689345679[[#This Row],[PO Value]]-Table62689345679[[#This Row],[Offer Value]]</f>
        <v>0</v>
      </c>
      <c r="W222" s="106"/>
      <c r="X222" s="106"/>
      <c r="Y222" s="217"/>
      <c r="Z222" s="7"/>
      <c r="AA222" s="7"/>
    </row>
    <row r="223" spans="1:27" ht="15.6">
      <c r="A223" s="106">
        <v>112</v>
      </c>
      <c r="B223" s="938">
        <v>45977</v>
      </c>
      <c r="C223" s="1010" t="s">
        <v>1015</v>
      </c>
      <c r="D223" s="1010" t="s">
        <v>3910</v>
      </c>
      <c r="E223" s="945" t="s">
        <v>4189</v>
      </c>
      <c r="F223" s="1442" t="s">
        <v>4572</v>
      </c>
      <c r="G223" s="1442">
        <v>8800311552</v>
      </c>
      <c r="H223" s="2038" t="s">
        <v>4306</v>
      </c>
      <c r="I223" s="1442" t="s">
        <v>4290</v>
      </c>
      <c r="J223" s="1007" t="s">
        <v>75</v>
      </c>
      <c r="K223" s="1007" t="s">
        <v>157</v>
      </c>
      <c r="L223" s="945" t="s">
        <v>4573</v>
      </c>
      <c r="M223" s="1579">
        <v>45961</v>
      </c>
      <c r="N223" s="937">
        <v>283344</v>
      </c>
      <c r="O223" s="937" t="s">
        <v>47</v>
      </c>
      <c r="P223" s="948" t="s">
        <v>49</v>
      </c>
      <c r="Q223" s="1321">
        <v>0.6</v>
      </c>
      <c r="R223" s="1573">
        <v>6500024063</v>
      </c>
      <c r="S223" s="938">
        <v>45968</v>
      </c>
      <c r="T223" s="937">
        <v>269176</v>
      </c>
      <c r="U223" s="937" t="s">
        <v>49</v>
      </c>
      <c r="V223" s="2599">
        <f>Table62689345679[[#This Row],[PO Value]]-Table62689345679[[#This Row],[Offer Value]]</f>
        <v>0</v>
      </c>
      <c r="W223" s="937"/>
      <c r="X223" s="937"/>
      <c r="Y223" s="1600"/>
      <c r="Z223" s="1544"/>
      <c r="AA223" s="1544"/>
    </row>
    <row r="224" spans="1:27" ht="15.6">
      <c r="A224" s="106">
        <v>113</v>
      </c>
      <c r="B224" s="107">
        <v>45977</v>
      </c>
      <c r="C224" s="105" t="s">
        <v>614</v>
      </c>
      <c r="D224" s="105" t="s">
        <v>3922</v>
      </c>
      <c r="E224" s="181" t="s">
        <v>4207</v>
      </c>
      <c r="F224" s="858" t="s">
        <v>4382</v>
      </c>
      <c r="G224" s="858">
        <v>9721856460</v>
      </c>
      <c r="H224" s="866" t="s">
        <v>4383</v>
      </c>
      <c r="I224" s="2715" t="s">
        <v>4574</v>
      </c>
      <c r="J224" s="115" t="s">
        <v>73</v>
      </c>
      <c r="K224" s="115" t="s">
        <v>138</v>
      </c>
      <c r="L224" s="181" t="s">
        <v>4575</v>
      </c>
      <c r="M224" s="959">
        <v>45961</v>
      </c>
      <c r="N224" s="106">
        <v>58000</v>
      </c>
      <c r="O224" s="106" t="s">
        <v>47</v>
      </c>
      <c r="P224" s="110" t="s">
        <v>62</v>
      </c>
      <c r="Q224" s="109">
        <v>1</v>
      </c>
      <c r="R224" s="256"/>
      <c r="S224" s="107"/>
      <c r="T224" s="106"/>
      <c r="U224" s="106"/>
      <c r="V224" s="127">
        <f>Table62689345679[[#This Row],[PO Value]]-Table62689345679[[#This Row],[Offer Value]]</f>
        <v>0</v>
      </c>
      <c r="W224" s="106"/>
      <c r="X224" s="106"/>
      <c r="Y224" s="617"/>
      <c r="Z224" s="7"/>
      <c r="AA224" s="7"/>
    </row>
    <row r="225" spans="1:27" ht="15.6">
      <c r="A225" s="106"/>
      <c r="B225" s="107"/>
      <c r="C225" s="105" t="s">
        <v>614</v>
      </c>
      <c r="D225" s="105" t="s">
        <v>3922</v>
      </c>
      <c r="E225" s="181" t="s">
        <v>4207</v>
      </c>
      <c r="F225" s="858" t="s">
        <v>4382</v>
      </c>
      <c r="G225" s="858">
        <v>9721856460</v>
      </c>
      <c r="H225" s="866" t="s">
        <v>4383</v>
      </c>
      <c r="I225" s="2715" t="s">
        <v>4036</v>
      </c>
      <c r="J225" s="115" t="s">
        <v>73</v>
      </c>
      <c r="K225" s="115" t="s">
        <v>138</v>
      </c>
      <c r="L225" s="181" t="s">
        <v>4575</v>
      </c>
      <c r="M225" s="959">
        <v>45961</v>
      </c>
      <c r="N225" s="106">
        <v>58000</v>
      </c>
      <c r="O225" s="106" t="s">
        <v>47</v>
      </c>
      <c r="P225" s="110" t="s">
        <v>62</v>
      </c>
      <c r="Q225" s="109">
        <v>1</v>
      </c>
      <c r="R225" s="289"/>
      <c r="S225" s="107"/>
      <c r="T225" s="106"/>
      <c r="U225" s="106"/>
      <c r="V225" s="127">
        <f>Table62689345679[[#This Row],[PO Value]]-Table62689345679[[#This Row],[Offer Value]]</f>
        <v>0</v>
      </c>
      <c r="W225" s="106"/>
      <c r="X225" s="106"/>
      <c r="Y225" s="217"/>
      <c r="Z225" s="7"/>
      <c r="AA225" s="7"/>
    </row>
    <row r="226" spans="1:27" ht="15.6">
      <c r="A226" s="106"/>
      <c r="B226" s="107"/>
      <c r="C226" s="105" t="s">
        <v>614</v>
      </c>
      <c r="D226" s="105" t="s">
        <v>3922</v>
      </c>
      <c r="E226" s="181" t="s">
        <v>4207</v>
      </c>
      <c r="F226" s="858" t="s">
        <v>4382</v>
      </c>
      <c r="G226" s="858">
        <v>9721856460</v>
      </c>
      <c r="H226" s="866" t="s">
        <v>4383</v>
      </c>
      <c r="I226" s="2715" t="s">
        <v>4387</v>
      </c>
      <c r="J226" s="115" t="s">
        <v>73</v>
      </c>
      <c r="K226" s="115" t="s">
        <v>138</v>
      </c>
      <c r="L226" s="181" t="s">
        <v>4575</v>
      </c>
      <c r="M226" s="959">
        <v>45961</v>
      </c>
      <c r="N226" s="106">
        <v>58000</v>
      </c>
      <c r="O226" s="106" t="s">
        <v>47</v>
      </c>
      <c r="P226" s="110" t="s">
        <v>62</v>
      </c>
      <c r="Q226" s="109">
        <v>1</v>
      </c>
      <c r="R226" s="289"/>
      <c r="S226" s="107"/>
      <c r="T226" s="106"/>
      <c r="U226" s="106"/>
      <c r="V226" s="127">
        <f>Table62689345679[[#This Row],[PO Value]]-Table62689345679[[#This Row],[Offer Value]]</f>
        <v>0</v>
      </c>
      <c r="W226" s="106"/>
      <c r="X226" s="106"/>
      <c r="Y226" s="217"/>
      <c r="Z226" s="7"/>
      <c r="AA226" s="7"/>
    </row>
    <row r="227" spans="1:27" ht="15.6">
      <c r="A227" s="106"/>
      <c r="B227" s="107"/>
      <c r="C227" s="105" t="s">
        <v>614</v>
      </c>
      <c r="D227" s="105" t="s">
        <v>3922</v>
      </c>
      <c r="E227" s="181" t="s">
        <v>4207</v>
      </c>
      <c r="F227" s="858" t="s">
        <v>4382</v>
      </c>
      <c r="G227" s="858">
        <v>9721856460</v>
      </c>
      <c r="H227" s="866" t="s">
        <v>4383</v>
      </c>
      <c r="I227" s="2715" t="s">
        <v>4576</v>
      </c>
      <c r="J227" s="115" t="s">
        <v>73</v>
      </c>
      <c r="K227" s="115" t="s">
        <v>138</v>
      </c>
      <c r="L227" s="181" t="s">
        <v>4575</v>
      </c>
      <c r="M227" s="959">
        <v>45961</v>
      </c>
      <c r="N227" s="106">
        <v>58000</v>
      </c>
      <c r="O227" s="106" t="s">
        <v>47</v>
      </c>
      <c r="P227" s="110" t="s">
        <v>62</v>
      </c>
      <c r="Q227" s="109">
        <v>1</v>
      </c>
      <c r="R227" s="289"/>
      <c r="S227" s="107"/>
      <c r="T227" s="106"/>
      <c r="U227" s="106"/>
      <c r="V227" s="127">
        <f>Table62689345679[[#This Row],[PO Value]]-Table62689345679[[#This Row],[Offer Value]]</f>
        <v>0</v>
      </c>
      <c r="W227" s="106"/>
      <c r="X227" s="106"/>
      <c r="Y227" s="217"/>
      <c r="Z227" s="7"/>
      <c r="AA227" s="7"/>
    </row>
    <row r="228" spans="1:27" ht="15.6">
      <c r="A228" s="106"/>
      <c r="B228" s="107"/>
      <c r="C228" s="105" t="s">
        <v>614</v>
      </c>
      <c r="D228" s="105" t="s">
        <v>3922</v>
      </c>
      <c r="E228" s="181" t="s">
        <v>4207</v>
      </c>
      <c r="F228" s="858" t="s">
        <v>4382</v>
      </c>
      <c r="G228" s="858">
        <v>9721856460</v>
      </c>
      <c r="H228" s="866" t="s">
        <v>4383</v>
      </c>
      <c r="I228" s="2715" t="s">
        <v>4384</v>
      </c>
      <c r="J228" s="115" t="s">
        <v>73</v>
      </c>
      <c r="K228" s="115" t="s">
        <v>138</v>
      </c>
      <c r="L228" s="181" t="s">
        <v>4575</v>
      </c>
      <c r="M228" s="959">
        <v>45961</v>
      </c>
      <c r="N228" s="106">
        <v>58000</v>
      </c>
      <c r="O228" s="106" t="s">
        <v>47</v>
      </c>
      <c r="P228" s="110" t="s">
        <v>62</v>
      </c>
      <c r="Q228" s="109">
        <v>1</v>
      </c>
      <c r="R228" s="289"/>
      <c r="S228" s="107"/>
      <c r="T228" s="106"/>
      <c r="U228" s="106"/>
      <c r="V228" s="127">
        <f>Table62689345679[[#This Row],[PO Value]]-Table62689345679[[#This Row],[Offer Value]]</f>
        <v>0</v>
      </c>
      <c r="W228" s="106"/>
      <c r="X228" s="106"/>
      <c r="Y228" s="217"/>
      <c r="Z228" s="7"/>
      <c r="AA228" s="7"/>
    </row>
    <row r="229" spans="1:27" ht="15.6">
      <c r="A229" s="106">
        <v>114</v>
      </c>
      <c r="B229" s="107">
        <v>45977</v>
      </c>
      <c r="C229" s="105" t="s">
        <v>4000</v>
      </c>
      <c r="D229" s="105" t="s">
        <v>4001</v>
      </c>
      <c r="E229" s="181" t="s">
        <v>4460</v>
      </c>
      <c r="F229" s="858" t="s">
        <v>4577</v>
      </c>
      <c r="G229" s="858">
        <v>8196900974</v>
      </c>
      <c r="H229" s="866" t="s">
        <v>4578</v>
      </c>
      <c r="I229" s="858" t="s">
        <v>4579</v>
      </c>
      <c r="J229" s="115" t="s">
        <v>73</v>
      </c>
      <c r="K229" s="115" t="s">
        <v>138</v>
      </c>
      <c r="L229" s="181" t="s">
        <v>4580</v>
      </c>
      <c r="M229" s="959">
        <v>45961</v>
      </c>
      <c r="N229" s="106">
        <v>120000</v>
      </c>
      <c r="O229" s="106" t="s">
        <v>47</v>
      </c>
      <c r="P229" s="110" t="s">
        <v>62</v>
      </c>
      <c r="Q229" s="109">
        <v>1</v>
      </c>
      <c r="R229" s="256"/>
      <c r="S229" s="107"/>
      <c r="T229" s="106"/>
      <c r="U229" s="106"/>
      <c r="V229" s="127">
        <f>Table62689345679[[#This Row],[PO Value]]-Table62689345679[[#This Row],[Offer Value]]</f>
        <v>0</v>
      </c>
      <c r="W229" s="106"/>
      <c r="X229" s="106"/>
      <c r="Y229" s="617"/>
      <c r="Z229" s="7"/>
      <c r="AA229" s="7"/>
    </row>
    <row r="230" spans="1:27" ht="15.6">
      <c r="A230" s="106">
        <v>115</v>
      </c>
      <c r="B230" s="107">
        <v>45977</v>
      </c>
      <c r="C230" s="105" t="s">
        <v>3958</v>
      </c>
      <c r="D230" s="105" t="s">
        <v>3959</v>
      </c>
      <c r="E230" s="181" t="s">
        <v>4189</v>
      </c>
      <c r="F230" s="858" t="s">
        <v>4572</v>
      </c>
      <c r="G230" s="183">
        <v>8800882736</v>
      </c>
      <c r="H230" s="2716" t="s">
        <v>3971</v>
      </c>
      <c r="I230" s="858" t="s">
        <v>3972</v>
      </c>
      <c r="J230" s="115" t="s">
        <v>73</v>
      </c>
      <c r="K230" s="115" t="s">
        <v>138</v>
      </c>
      <c r="L230" s="181" t="s">
        <v>4581</v>
      </c>
      <c r="M230" s="959">
        <v>45965</v>
      </c>
      <c r="N230" s="106">
        <v>508088</v>
      </c>
      <c r="O230" s="106" t="s">
        <v>49</v>
      </c>
      <c r="P230" s="110" t="s">
        <v>62</v>
      </c>
      <c r="Q230" s="109">
        <v>1</v>
      </c>
      <c r="R230" s="289"/>
      <c r="S230" s="107"/>
      <c r="T230" s="106"/>
      <c r="U230" s="106"/>
      <c r="V230" s="127">
        <f>Table62689345679[[#This Row],[PO Value]]-Table62689345679[[#This Row],[Offer Value]]</f>
        <v>0</v>
      </c>
      <c r="W230" s="106"/>
      <c r="X230" s="106"/>
      <c r="Y230" s="217"/>
      <c r="Z230" s="7"/>
      <c r="AA230" s="7"/>
    </row>
    <row r="231" spans="1:27" ht="15.6">
      <c r="A231" s="106">
        <v>116</v>
      </c>
      <c r="B231" s="107">
        <v>45977</v>
      </c>
      <c r="C231" s="105" t="s">
        <v>4000</v>
      </c>
      <c r="D231" s="105" t="s">
        <v>4001</v>
      </c>
      <c r="E231" s="181" t="s">
        <v>4582</v>
      </c>
      <c r="F231" s="858" t="s">
        <v>4583</v>
      </c>
      <c r="G231" s="859" t="s">
        <v>1166</v>
      </c>
      <c r="H231" s="866" t="s">
        <v>4584</v>
      </c>
      <c r="I231" s="2715" t="s">
        <v>4585</v>
      </c>
      <c r="J231" s="115" t="s">
        <v>73</v>
      </c>
      <c r="K231" s="115" t="s">
        <v>138</v>
      </c>
      <c r="L231" s="181" t="s">
        <v>4586</v>
      </c>
      <c r="M231" s="959">
        <v>45968</v>
      </c>
      <c r="N231" s="106">
        <v>112000</v>
      </c>
      <c r="O231" s="106" t="s">
        <v>49</v>
      </c>
      <c r="P231" s="110" t="s">
        <v>62</v>
      </c>
      <c r="Q231" s="109">
        <v>1</v>
      </c>
      <c r="R231" s="289"/>
      <c r="S231" s="107"/>
      <c r="T231" s="106"/>
      <c r="U231" s="106"/>
      <c r="V231" s="127">
        <f>Table62689345679[[#This Row],[PO Value]]-Table62689345679[[#This Row],[Offer Value]]</f>
        <v>0</v>
      </c>
      <c r="W231" s="106"/>
      <c r="X231" s="106"/>
      <c r="Y231" s="217"/>
      <c r="Z231" s="7"/>
      <c r="AA231" s="7"/>
    </row>
    <row r="232" spans="1:27" ht="15.6">
      <c r="A232" s="106"/>
      <c r="B232" s="107"/>
      <c r="C232" s="105" t="s">
        <v>4000</v>
      </c>
      <c r="D232" s="105" t="s">
        <v>4001</v>
      </c>
      <c r="E232" s="181" t="s">
        <v>4582</v>
      </c>
      <c r="F232" s="858" t="s">
        <v>4583</v>
      </c>
      <c r="G232" s="858" t="s">
        <v>1166</v>
      </c>
      <c r="H232" s="866" t="s">
        <v>4584</v>
      </c>
      <c r="I232" s="2715" t="s">
        <v>4587</v>
      </c>
      <c r="J232" s="115" t="s">
        <v>73</v>
      </c>
      <c r="K232" s="115" t="s">
        <v>138</v>
      </c>
      <c r="L232" s="181" t="s">
        <v>4586</v>
      </c>
      <c r="M232" s="959">
        <v>45968</v>
      </c>
      <c r="N232" s="106">
        <v>112000</v>
      </c>
      <c r="O232" s="106" t="s">
        <v>49</v>
      </c>
      <c r="P232" s="110" t="s">
        <v>62</v>
      </c>
      <c r="Q232" s="109">
        <v>1</v>
      </c>
      <c r="R232" s="289"/>
      <c r="S232" s="107"/>
      <c r="T232" s="106"/>
      <c r="U232" s="106"/>
      <c r="V232" s="127">
        <f>Table62689345679[[#This Row],[PO Value]]-Table62689345679[[#This Row],[Offer Value]]</f>
        <v>0</v>
      </c>
      <c r="W232" s="106"/>
      <c r="X232" s="106"/>
      <c r="Y232" s="217"/>
      <c r="Z232" s="7"/>
      <c r="AA232" s="7"/>
    </row>
    <row r="233" spans="1:27" ht="15.6">
      <c r="A233" s="106"/>
      <c r="B233" s="107"/>
      <c r="C233" s="105" t="s">
        <v>4000</v>
      </c>
      <c r="D233" s="105" t="s">
        <v>4001</v>
      </c>
      <c r="E233" s="181" t="s">
        <v>4582</v>
      </c>
      <c r="F233" s="858" t="s">
        <v>4583</v>
      </c>
      <c r="G233" s="858" t="s">
        <v>1166</v>
      </c>
      <c r="H233" s="866" t="s">
        <v>4584</v>
      </c>
      <c r="I233" s="2715" t="s">
        <v>4588</v>
      </c>
      <c r="J233" s="115" t="s">
        <v>73</v>
      </c>
      <c r="K233" s="115" t="s">
        <v>138</v>
      </c>
      <c r="L233" s="181" t="s">
        <v>4586</v>
      </c>
      <c r="M233" s="959">
        <v>45968</v>
      </c>
      <c r="N233" s="106">
        <v>112000</v>
      </c>
      <c r="O233" s="106" t="s">
        <v>49</v>
      </c>
      <c r="P233" s="110" t="s">
        <v>62</v>
      </c>
      <c r="Q233" s="109">
        <v>1</v>
      </c>
      <c r="R233" s="289"/>
      <c r="S233" s="107"/>
      <c r="T233" s="106"/>
      <c r="U233" s="106"/>
      <c r="V233" s="127">
        <f>Table62689345679[[#This Row],[PO Value]]-Table62689345679[[#This Row],[Offer Value]]</f>
        <v>0</v>
      </c>
      <c r="W233" s="106"/>
      <c r="X233" s="106"/>
      <c r="Y233" s="217"/>
      <c r="Z233" s="7"/>
      <c r="AA233" s="7"/>
    </row>
    <row r="234" spans="1:27" ht="15.6">
      <c r="A234" s="106"/>
      <c r="B234" s="107"/>
      <c r="C234" s="105" t="s">
        <v>4000</v>
      </c>
      <c r="D234" s="105" t="s">
        <v>4001</v>
      </c>
      <c r="E234" s="181" t="s">
        <v>4177</v>
      </c>
      <c r="F234" s="858" t="s">
        <v>4421</v>
      </c>
      <c r="G234" s="858" t="s">
        <v>1166</v>
      </c>
      <c r="H234" s="866" t="s">
        <v>4589</v>
      </c>
      <c r="I234" s="2715" t="s">
        <v>4004</v>
      </c>
      <c r="J234" s="115" t="s">
        <v>73</v>
      </c>
      <c r="K234" s="115" t="s">
        <v>138</v>
      </c>
      <c r="L234" s="181" t="s">
        <v>4586</v>
      </c>
      <c r="M234" s="959">
        <v>45968</v>
      </c>
      <c r="N234" s="106">
        <v>112000</v>
      </c>
      <c r="O234" s="106" t="s">
        <v>49</v>
      </c>
      <c r="P234" s="110" t="s">
        <v>62</v>
      </c>
      <c r="Q234" s="109">
        <v>1</v>
      </c>
      <c r="R234" s="289"/>
      <c r="S234" s="107"/>
      <c r="T234" s="106"/>
      <c r="U234" s="106"/>
      <c r="V234" s="127">
        <f>Table62689345679[[#This Row],[PO Value]]-Table62689345679[[#This Row],[Offer Value]]</f>
        <v>0</v>
      </c>
      <c r="W234" s="106"/>
      <c r="X234" s="106"/>
      <c r="Y234" s="217"/>
      <c r="Z234" s="7"/>
      <c r="AA234" s="7"/>
    </row>
    <row r="235" spans="1:27" ht="15.6">
      <c r="A235" s="106"/>
      <c r="B235" s="107"/>
      <c r="C235" s="105" t="s">
        <v>4000</v>
      </c>
      <c r="D235" s="105" t="s">
        <v>4001</v>
      </c>
      <c r="E235" s="181" t="s">
        <v>4177</v>
      </c>
      <c r="F235" s="858" t="s">
        <v>4421</v>
      </c>
      <c r="G235" s="858" t="s">
        <v>1166</v>
      </c>
      <c r="H235" s="866" t="s">
        <v>4589</v>
      </c>
      <c r="I235" s="2715" t="s">
        <v>4590</v>
      </c>
      <c r="J235" s="115" t="s">
        <v>73</v>
      </c>
      <c r="K235" s="115" t="s">
        <v>138</v>
      </c>
      <c r="L235" s="181" t="s">
        <v>4586</v>
      </c>
      <c r="M235" s="959">
        <v>45968</v>
      </c>
      <c r="N235" s="106">
        <v>112000</v>
      </c>
      <c r="O235" s="106" t="s">
        <v>49</v>
      </c>
      <c r="P235" s="110" t="s">
        <v>62</v>
      </c>
      <c r="Q235" s="109">
        <v>1</v>
      </c>
      <c r="R235" s="256"/>
      <c r="S235" s="107"/>
      <c r="T235" s="106"/>
      <c r="U235" s="106"/>
      <c r="V235" s="127">
        <f>Table62689345679[[#This Row],[PO Value]]-Table62689345679[[#This Row],[Offer Value]]</f>
        <v>0</v>
      </c>
      <c r="W235" s="106"/>
      <c r="X235" s="106"/>
      <c r="Y235" s="617"/>
      <c r="Z235" s="7"/>
      <c r="AA235" s="7"/>
    </row>
    <row r="236" spans="1:27" ht="15.6">
      <c r="A236" s="106"/>
      <c r="B236" s="107"/>
      <c r="C236" s="105" t="s">
        <v>4000</v>
      </c>
      <c r="D236" s="105" t="s">
        <v>4001</v>
      </c>
      <c r="E236" s="181" t="s">
        <v>4177</v>
      </c>
      <c r="F236" s="858" t="s">
        <v>4421</v>
      </c>
      <c r="G236" s="858" t="s">
        <v>1166</v>
      </c>
      <c r="H236" s="866" t="s">
        <v>4589</v>
      </c>
      <c r="I236" s="2715" t="s">
        <v>4591</v>
      </c>
      <c r="J236" s="115" t="s">
        <v>73</v>
      </c>
      <c r="K236" s="115" t="s">
        <v>138</v>
      </c>
      <c r="L236" s="181" t="s">
        <v>4586</v>
      </c>
      <c r="M236" s="959">
        <v>45968</v>
      </c>
      <c r="N236" s="106">
        <v>112000</v>
      </c>
      <c r="O236" s="106" t="s">
        <v>49</v>
      </c>
      <c r="P236" s="110" t="s">
        <v>62</v>
      </c>
      <c r="Q236" s="109">
        <v>1</v>
      </c>
      <c r="R236" s="289"/>
      <c r="S236" s="107"/>
      <c r="T236" s="106"/>
      <c r="U236" s="106"/>
      <c r="V236" s="127">
        <f>Table62689345679[[#This Row],[PO Value]]-Table62689345679[[#This Row],[Offer Value]]</f>
        <v>0</v>
      </c>
      <c r="W236" s="106"/>
      <c r="X236" s="106"/>
      <c r="Y236" s="217"/>
      <c r="Z236" s="7"/>
      <c r="AA236" s="7"/>
    </row>
    <row r="237" spans="1:27" ht="15.6">
      <c r="A237" s="106"/>
      <c r="B237" s="107"/>
      <c r="C237" s="105" t="s">
        <v>4000</v>
      </c>
      <c r="D237" s="105" t="s">
        <v>4001</v>
      </c>
      <c r="E237" s="181" t="s">
        <v>4177</v>
      </c>
      <c r="F237" s="858" t="s">
        <v>4421</v>
      </c>
      <c r="G237" s="858" t="s">
        <v>1166</v>
      </c>
      <c r="H237" s="866" t="s">
        <v>4589</v>
      </c>
      <c r="I237" s="2715" t="s">
        <v>4592</v>
      </c>
      <c r="J237" s="115" t="s">
        <v>73</v>
      </c>
      <c r="K237" s="115" t="s">
        <v>138</v>
      </c>
      <c r="L237" s="181" t="s">
        <v>4586</v>
      </c>
      <c r="M237" s="959">
        <v>45968</v>
      </c>
      <c r="N237" s="106">
        <v>112000</v>
      </c>
      <c r="O237" s="106" t="s">
        <v>49</v>
      </c>
      <c r="P237" s="110" t="s">
        <v>62</v>
      </c>
      <c r="Q237" s="109">
        <v>1</v>
      </c>
      <c r="R237" s="289"/>
      <c r="S237" s="107"/>
      <c r="T237" s="106"/>
      <c r="U237" s="106"/>
      <c r="V237" s="127">
        <f>Table62689345679[[#This Row],[PO Value]]-Table62689345679[[#This Row],[Offer Value]]</f>
        <v>0</v>
      </c>
      <c r="W237" s="106"/>
      <c r="X237" s="106"/>
      <c r="Y237" s="217"/>
      <c r="Z237" s="7"/>
      <c r="AA237" s="7"/>
    </row>
    <row r="238" spans="1:27" ht="15.6">
      <c r="A238" s="106">
        <v>117</v>
      </c>
      <c r="B238" s="107">
        <v>45977</v>
      </c>
      <c r="C238" s="105" t="s">
        <v>1743</v>
      </c>
      <c r="D238" s="105" t="s">
        <v>4016</v>
      </c>
      <c r="E238" s="181" t="s">
        <v>4177</v>
      </c>
      <c r="F238" s="858" t="s">
        <v>4371</v>
      </c>
      <c r="G238" s="858">
        <v>8449955577</v>
      </c>
      <c r="H238" s="858" t="s">
        <v>4018</v>
      </c>
      <c r="I238" s="858" t="s">
        <v>4019</v>
      </c>
      <c r="J238" s="115" t="s">
        <v>75</v>
      </c>
      <c r="K238" s="115" t="s">
        <v>157</v>
      </c>
      <c r="L238" s="181" t="s">
        <v>4593</v>
      </c>
      <c r="M238" s="959">
        <v>45972</v>
      </c>
      <c r="N238" s="106">
        <v>240000</v>
      </c>
      <c r="O238" s="106" t="s">
        <v>49</v>
      </c>
      <c r="P238" s="110" t="s">
        <v>62</v>
      </c>
      <c r="Q238" s="109">
        <v>0.8</v>
      </c>
      <c r="R238" s="256"/>
      <c r="S238" s="107"/>
      <c r="T238" s="106"/>
      <c r="U238" s="106"/>
      <c r="V238" s="127">
        <f>Table62689345679[[#This Row],[PO Value]]-Table62689345679[[#This Row],[Offer Value]]</f>
        <v>0</v>
      </c>
      <c r="W238" s="106"/>
      <c r="X238" s="106"/>
      <c r="Y238" s="617"/>
      <c r="Z238" s="7"/>
      <c r="AA238" s="7"/>
    </row>
    <row r="239" spans="1:27" ht="15.6">
      <c r="A239" s="106">
        <v>118</v>
      </c>
      <c r="B239" s="107"/>
      <c r="C239" s="105" t="s">
        <v>1743</v>
      </c>
      <c r="D239" s="105" t="s">
        <v>4016</v>
      </c>
      <c r="E239" s="180" t="s">
        <v>4177</v>
      </c>
      <c r="F239" s="859" t="s">
        <v>4594</v>
      </c>
      <c r="G239" s="859">
        <v>9045609879</v>
      </c>
      <c r="H239" s="1338" t="s">
        <v>4595</v>
      </c>
      <c r="I239" s="2974" t="s">
        <v>4019</v>
      </c>
      <c r="J239" s="115" t="s">
        <v>75</v>
      </c>
      <c r="K239" s="115" t="s">
        <v>157</v>
      </c>
      <c r="L239" s="180" t="s">
        <v>4596</v>
      </c>
      <c r="M239" s="959">
        <v>45980</v>
      </c>
      <c r="N239" s="106">
        <v>23068</v>
      </c>
      <c r="O239" s="106" t="s">
        <v>49</v>
      </c>
      <c r="P239" s="106" t="s">
        <v>62</v>
      </c>
      <c r="Q239" s="109">
        <v>0.6</v>
      </c>
      <c r="R239" s="256"/>
      <c r="S239" s="107"/>
      <c r="T239" s="106"/>
      <c r="U239" s="106"/>
      <c r="V239" s="127">
        <f>Table62689345679[[#This Row],[PO Value]]-Table62689345679[[#This Row],[Offer Value]]</f>
        <v>0</v>
      </c>
      <c r="W239" s="106"/>
      <c r="X239" s="106"/>
      <c r="Y239" s="617"/>
      <c r="Z239" s="7"/>
      <c r="AA239" s="7"/>
    </row>
    <row r="240" spans="1:27" ht="15" customHeight="1">
      <c r="A240" s="106">
        <v>119</v>
      </c>
      <c r="B240" s="107">
        <v>45985</v>
      </c>
      <c r="C240" s="105" t="s">
        <v>4091</v>
      </c>
      <c r="D240" s="105" t="s">
        <v>4046</v>
      </c>
      <c r="E240" s="2249" t="s">
        <v>4168</v>
      </c>
      <c r="F240" s="858" t="s">
        <v>4354</v>
      </c>
      <c r="G240" s="858">
        <v>7838367907</v>
      </c>
      <c r="H240" s="865" t="s">
        <v>4355</v>
      </c>
      <c r="I240" s="859" t="s">
        <v>4361</v>
      </c>
      <c r="J240" s="115" t="s">
        <v>74</v>
      </c>
      <c r="K240" s="115" t="s">
        <v>138</v>
      </c>
      <c r="L240" s="181" t="s">
        <v>4597</v>
      </c>
      <c r="M240" s="959">
        <v>45980</v>
      </c>
      <c r="N240" s="106">
        <v>89805</v>
      </c>
      <c r="O240" s="106" t="s">
        <v>49</v>
      </c>
      <c r="P240" s="106" t="s">
        <v>62</v>
      </c>
      <c r="Q240" s="109">
        <v>1</v>
      </c>
      <c r="R240" s="289"/>
      <c r="S240" s="107"/>
      <c r="T240" s="106"/>
      <c r="U240" s="106"/>
      <c r="V240" s="127">
        <f>Table62689345679[[#This Row],[PO Value]]-Table62689345679[[#This Row],[Offer Value]]</f>
        <v>0</v>
      </c>
      <c r="W240" s="106"/>
      <c r="X240" s="106"/>
      <c r="Y240" s="217"/>
      <c r="Z240" s="7"/>
      <c r="AA240" s="7"/>
    </row>
    <row r="241" spans="1:27" ht="15" customHeight="1">
      <c r="A241" s="106"/>
      <c r="B241" s="107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959"/>
      <c r="N241" s="106"/>
      <c r="O241" s="106"/>
      <c r="P241" s="106"/>
      <c r="Q241" s="109"/>
      <c r="R241" s="256"/>
      <c r="S241" s="107"/>
      <c r="T241" s="106"/>
      <c r="U241" s="106"/>
      <c r="V241" s="127">
        <f>Table62689345679[[#This Row],[PO Value]]-Table62689345679[[#This Row],[Offer Value]]</f>
        <v>0</v>
      </c>
      <c r="W241" s="106"/>
      <c r="X241" s="106"/>
      <c r="Y241" s="617"/>
      <c r="Z241" s="7"/>
      <c r="AA241" s="7"/>
    </row>
    <row r="242" spans="1:27" ht="15" customHeight="1">
      <c r="A242" s="106"/>
      <c r="B242" s="106"/>
      <c r="C242" s="105"/>
      <c r="D242" s="105"/>
      <c r="E242" s="105"/>
      <c r="F242" s="105"/>
      <c r="G242" s="105"/>
      <c r="H242" s="105"/>
      <c r="I242" s="105"/>
      <c r="J242" s="108"/>
      <c r="K242" s="108"/>
      <c r="L242" s="105"/>
      <c r="M242" s="959"/>
      <c r="N242" s="106"/>
      <c r="O242" s="106"/>
      <c r="P242" s="106"/>
      <c r="Q242" s="109"/>
      <c r="R242" s="289"/>
      <c r="S242" s="107"/>
      <c r="T242" s="106"/>
      <c r="U242" s="106"/>
      <c r="V242" s="127">
        <f>Table62689345679[[#This Row],[PO Value]]-Table62689345679[[#This Row],[Offer Value]]</f>
        <v>0</v>
      </c>
      <c r="W242" s="106"/>
      <c r="X242" s="106"/>
      <c r="Y242" s="217"/>
      <c r="Z242" s="7"/>
      <c r="AA242" s="7"/>
    </row>
    <row r="243" spans="1:27" ht="15" customHeight="1">
      <c r="A243" s="106"/>
      <c r="B243" s="106"/>
      <c r="C243" s="105"/>
      <c r="D243" s="105"/>
      <c r="E243" s="105"/>
      <c r="F243" s="105"/>
      <c r="G243" s="105"/>
      <c r="H243" s="105"/>
      <c r="I243" s="105"/>
      <c r="J243" s="108"/>
      <c r="K243" s="108"/>
      <c r="L243" s="105"/>
      <c r="M243" s="959"/>
      <c r="N243" s="106"/>
      <c r="O243" s="106"/>
      <c r="P243" s="106"/>
      <c r="Q243" s="109"/>
      <c r="R243" s="289"/>
      <c r="S243" s="107"/>
      <c r="T243" s="106"/>
      <c r="U243" s="106"/>
      <c r="V243" s="127">
        <f>Table62689345679[[#This Row],[PO Value]]-Table62689345679[[#This Row],[Offer Value]]</f>
        <v>0</v>
      </c>
      <c r="W243" s="106"/>
      <c r="X243" s="106"/>
      <c r="Y243" s="217"/>
      <c r="Z243" s="7"/>
      <c r="AA243" s="7"/>
    </row>
    <row r="244" spans="1:27" ht="15" customHeight="1">
      <c r="A244" s="106"/>
      <c r="B244" s="106"/>
      <c r="C244" s="105"/>
      <c r="D244" s="105"/>
      <c r="E244" s="105"/>
      <c r="F244" s="105"/>
      <c r="G244" s="105"/>
      <c r="H244" s="105"/>
      <c r="I244" s="105"/>
      <c r="J244" s="108"/>
      <c r="K244" s="108"/>
      <c r="L244" s="105"/>
      <c r="M244" s="959"/>
      <c r="N244" s="106"/>
      <c r="O244" s="106"/>
      <c r="P244" s="106"/>
      <c r="Q244" s="109"/>
      <c r="R244" s="289"/>
      <c r="S244" s="107"/>
      <c r="T244" s="106"/>
      <c r="U244" s="106"/>
      <c r="V244" s="127">
        <f>Table62689345679[[#This Row],[PO Value]]-Table62689345679[[#This Row],[Offer Value]]</f>
        <v>0</v>
      </c>
      <c r="W244" s="106"/>
      <c r="X244" s="106"/>
      <c r="Y244" s="217"/>
      <c r="Z244" s="7"/>
      <c r="AA244" s="7"/>
    </row>
    <row r="245" spans="1:27" ht="15" customHeight="1">
      <c r="A245" s="106"/>
      <c r="B245" s="106"/>
      <c r="C245" s="105"/>
      <c r="D245" s="105"/>
      <c r="E245" s="105"/>
      <c r="F245" s="105"/>
      <c r="G245" s="105"/>
      <c r="H245" s="105"/>
      <c r="I245" s="105"/>
      <c r="J245" s="108"/>
      <c r="K245" s="108"/>
      <c r="L245" s="105"/>
      <c r="M245" s="959"/>
      <c r="N245" s="106"/>
      <c r="O245" s="106"/>
      <c r="P245" s="106"/>
      <c r="Q245" s="109"/>
      <c r="R245" s="289"/>
      <c r="S245" s="107"/>
      <c r="T245" s="106"/>
      <c r="U245" s="106"/>
      <c r="V245" s="127">
        <f>Table62689345679[[#This Row],[PO Value]]-Table62689345679[[#This Row],[Offer Value]]</f>
        <v>0</v>
      </c>
      <c r="W245" s="106"/>
      <c r="X245" s="106"/>
      <c r="Y245" s="217"/>
      <c r="Z245" s="7"/>
      <c r="AA245" s="7"/>
    </row>
    <row r="246" spans="1:27" ht="15" customHeight="1">
      <c r="A246" s="106"/>
      <c r="B246" s="106"/>
      <c r="C246" s="105"/>
      <c r="D246" s="105"/>
      <c r="E246" s="105"/>
      <c r="F246" s="105"/>
      <c r="G246" s="105"/>
      <c r="H246" s="105"/>
      <c r="I246" s="105"/>
      <c r="J246" s="108"/>
      <c r="K246" s="108"/>
      <c r="L246" s="105"/>
      <c r="M246" s="959"/>
      <c r="N246" s="106"/>
      <c r="O246" s="106"/>
      <c r="P246" s="106"/>
      <c r="Q246" s="109"/>
      <c r="R246" s="289"/>
      <c r="S246" s="107"/>
      <c r="T246" s="106"/>
      <c r="U246" s="106"/>
      <c r="V246" s="127">
        <f>Table62689345679[[#This Row],[PO Value]]-Table62689345679[[#This Row],[Offer Value]]</f>
        <v>0</v>
      </c>
      <c r="W246" s="106"/>
      <c r="X246" s="106"/>
      <c r="Y246" s="217"/>
      <c r="Z246" s="7"/>
      <c r="AA246" s="7"/>
    </row>
    <row r="247" spans="1:27" ht="15" customHeight="1">
      <c r="A247" s="106"/>
      <c r="B247" s="106"/>
      <c r="C247" s="113"/>
      <c r="D247" s="113"/>
      <c r="E247" s="113"/>
      <c r="F247" s="113"/>
      <c r="G247" s="113"/>
      <c r="H247" s="113"/>
      <c r="I247" s="113"/>
      <c r="J247" s="108"/>
      <c r="K247" s="108"/>
      <c r="L247" s="105"/>
      <c r="M247" s="959"/>
      <c r="N247" s="106"/>
      <c r="O247" s="106"/>
      <c r="P247" s="106"/>
      <c r="Q247" s="109"/>
      <c r="R247" s="289"/>
      <c r="S247" s="107"/>
      <c r="T247" s="106"/>
      <c r="U247" s="106"/>
      <c r="V247" s="127">
        <f>Table62689345679[[#This Row],[PO Value]]-Table62689345679[[#This Row],[Offer Value]]</f>
        <v>0</v>
      </c>
      <c r="W247" s="106"/>
      <c r="X247" s="106"/>
      <c r="Y247" s="217"/>
      <c r="Z247" s="7"/>
      <c r="AA247" s="7"/>
    </row>
    <row r="248" spans="1:27" ht="15" customHeight="1">
      <c r="A248" s="106"/>
      <c r="B248" s="106"/>
      <c r="C248" s="105"/>
      <c r="D248" s="105"/>
      <c r="E248" s="105"/>
      <c r="F248" s="105"/>
      <c r="G248" s="105"/>
      <c r="H248" s="105"/>
      <c r="I248" s="105"/>
      <c r="J248" s="115"/>
      <c r="K248" s="115"/>
      <c r="L248" s="105"/>
      <c r="M248" s="959"/>
      <c r="N248" s="106"/>
      <c r="O248" s="106"/>
      <c r="P248" s="106"/>
      <c r="Q248" s="109"/>
      <c r="R248" s="289"/>
      <c r="S248" s="107"/>
      <c r="T248" s="106"/>
      <c r="U248" s="106"/>
      <c r="V248" s="127">
        <f>Table62689345679[[#This Row],[PO Value]]-Table62689345679[[#This Row],[Offer Value]]</f>
        <v>0</v>
      </c>
      <c r="W248" s="106"/>
      <c r="X248" s="106"/>
      <c r="Y248" s="217"/>
      <c r="Z248" s="7"/>
      <c r="AA248" s="7"/>
    </row>
    <row r="249" spans="1:27" ht="15" customHeight="1">
      <c r="A249" s="106"/>
      <c r="B249" s="106"/>
      <c r="C249" s="105"/>
      <c r="D249" s="105"/>
      <c r="E249" s="105"/>
      <c r="F249" s="105"/>
      <c r="G249" s="105"/>
      <c r="H249" s="105"/>
      <c r="I249" s="105"/>
      <c r="J249" s="115"/>
      <c r="K249" s="115"/>
      <c r="L249" s="105"/>
      <c r="M249" s="959"/>
      <c r="N249" s="106"/>
      <c r="O249" s="106"/>
      <c r="P249" s="106"/>
      <c r="Q249" s="109"/>
      <c r="R249" s="289"/>
      <c r="S249" s="107"/>
      <c r="T249" s="106"/>
      <c r="U249" s="106"/>
      <c r="V249" s="127">
        <f>Table62689345679[[#This Row],[PO Value]]-Table62689345679[[#This Row],[Offer Value]]</f>
        <v>0</v>
      </c>
      <c r="W249" s="106"/>
      <c r="X249" s="106"/>
      <c r="Y249" s="217"/>
      <c r="Z249" s="7"/>
      <c r="AA249" s="7"/>
    </row>
    <row r="250" spans="1:27" ht="15" customHeight="1">
      <c r="A250" s="106"/>
      <c r="B250" s="106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959"/>
      <c r="N250" s="106"/>
      <c r="O250" s="106"/>
      <c r="P250" s="106"/>
      <c r="Q250" s="109"/>
      <c r="R250" s="289"/>
      <c r="S250" s="107"/>
      <c r="T250" s="106"/>
      <c r="U250" s="106"/>
      <c r="V250" s="127">
        <f>Table62689345679[[#This Row],[PO Value]]-Table62689345679[[#This Row],[Offer Value]]</f>
        <v>0</v>
      </c>
      <c r="W250" s="106"/>
      <c r="X250" s="106"/>
      <c r="Y250" s="217"/>
      <c r="Z250" s="7"/>
      <c r="AA250" s="7"/>
    </row>
    <row r="251" spans="1:27" ht="15" customHeight="1">
      <c r="A251" s="106"/>
      <c r="B251" s="106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959"/>
      <c r="N251" s="106"/>
      <c r="O251" s="106"/>
      <c r="P251" s="106"/>
      <c r="Q251" s="109"/>
      <c r="R251" s="289"/>
      <c r="S251" s="107"/>
      <c r="T251" s="106"/>
      <c r="U251" s="106"/>
      <c r="V251" s="127">
        <f>Table62689345679[[#This Row],[PO Value]]-Table62689345679[[#This Row],[Offer Value]]</f>
        <v>0</v>
      </c>
      <c r="W251" s="106"/>
      <c r="X251" s="106"/>
      <c r="Y251" s="217"/>
      <c r="Z251" s="7"/>
      <c r="AA251" s="7"/>
    </row>
    <row r="252" spans="1:27" ht="15" customHeight="1">
      <c r="A252" s="106"/>
      <c r="B252" s="106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959"/>
      <c r="N252" s="106"/>
      <c r="O252" s="106"/>
      <c r="P252" s="106"/>
      <c r="Q252" s="109"/>
      <c r="R252" s="289"/>
      <c r="S252" s="107"/>
      <c r="T252" s="106"/>
      <c r="U252" s="106"/>
      <c r="V252" s="127">
        <f>Table62689345679[[#This Row],[PO Value]]-Table62689345679[[#This Row],[Offer Value]]</f>
        <v>0</v>
      </c>
      <c r="W252" s="106"/>
      <c r="X252" s="106"/>
      <c r="Y252" s="217"/>
      <c r="Z252" s="7"/>
      <c r="AA252" s="7"/>
    </row>
    <row r="253" spans="1:27" ht="15" customHeight="1">
      <c r="A253" s="106"/>
      <c r="B253" s="106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959"/>
      <c r="N253" s="106"/>
      <c r="O253" s="106"/>
      <c r="P253" s="106"/>
      <c r="Q253" s="109"/>
      <c r="R253" s="289"/>
      <c r="S253" s="107"/>
      <c r="T253" s="106"/>
      <c r="U253" s="106"/>
      <c r="V253" s="127">
        <f>Table62689345679[[#This Row],[PO Value]]-Table62689345679[[#This Row],[Offer Value]]</f>
        <v>0</v>
      </c>
      <c r="W253" s="106"/>
      <c r="X253" s="106"/>
      <c r="Y253" s="217"/>
      <c r="Z253" s="7"/>
      <c r="AA253" s="7"/>
    </row>
    <row r="254" spans="1:27" ht="15" customHeight="1">
      <c r="A254" s="106"/>
      <c r="B254" s="106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959"/>
      <c r="N254" s="106"/>
      <c r="O254" s="106"/>
      <c r="P254" s="106"/>
      <c r="Q254" s="109"/>
      <c r="R254" s="256"/>
      <c r="S254" s="107"/>
      <c r="T254" s="106"/>
      <c r="U254" s="106"/>
      <c r="V254" s="127">
        <f>Table62689345679[[#This Row],[PO Value]]-Table62689345679[[#This Row],[Offer Value]]</f>
        <v>0</v>
      </c>
      <c r="W254" s="106"/>
      <c r="X254" s="106"/>
      <c r="Y254" s="617"/>
      <c r="Z254" s="7"/>
      <c r="AA254" s="7"/>
    </row>
    <row r="255" spans="1:27" ht="15" customHeight="1">
      <c r="A255" s="106"/>
      <c r="B255" s="106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959"/>
      <c r="N255" s="106"/>
      <c r="O255" s="106"/>
      <c r="P255" s="106"/>
      <c r="Q255" s="109"/>
      <c r="R255" s="256"/>
      <c r="S255" s="107"/>
      <c r="T255" s="106"/>
      <c r="U255" s="106"/>
      <c r="V255" s="127">
        <f>Table62689345679[[#This Row],[PO Value]]-Table62689345679[[#This Row],[Offer Value]]</f>
        <v>0</v>
      </c>
      <c r="W255" s="106"/>
      <c r="X255" s="106"/>
      <c r="Y255" s="617"/>
      <c r="Z255" s="7"/>
      <c r="AA255" s="7"/>
    </row>
    <row r="256" spans="1:27" ht="15" customHeight="1">
      <c r="A256" s="106"/>
      <c r="B256" s="107"/>
      <c r="C256" s="105"/>
      <c r="D256" s="105"/>
      <c r="E256" s="105"/>
      <c r="F256" s="105"/>
      <c r="G256" s="105"/>
      <c r="H256" s="105"/>
      <c r="I256" s="105"/>
      <c r="J256" s="108"/>
      <c r="K256" s="108"/>
      <c r="L256" s="106"/>
      <c r="M256" s="960"/>
      <c r="N256" s="106"/>
      <c r="O256" s="106"/>
      <c r="P256" s="106"/>
      <c r="Q256" s="109"/>
      <c r="R256" s="289"/>
      <c r="S256" s="107"/>
      <c r="T256" s="106"/>
      <c r="U256" s="106"/>
      <c r="V256" s="127">
        <f>Table62689345679[[#This Row],[PO Value]]-Table62689345679[[#This Row],[Offer Value]]</f>
        <v>0</v>
      </c>
      <c r="W256" s="106"/>
      <c r="X256" s="106"/>
      <c r="Y256" s="217"/>
      <c r="Z256" s="7"/>
      <c r="AA256" s="7"/>
    </row>
    <row r="257" spans="1:27" ht="15" customHeight="1">
      <c r="A257" s="106"/>
      <c r="B257" s="107"/>
      <c r="C257" s="105"/>
      <c r="D257" s="105"/>
      <c r="E257" s="105"/>
      <c r="F257" s="105"/>
      <c r="G257" s="105"/>
      <c r="H257" s="105"/>
      <c r="I257" s="105"/>
      <c r="J257" s="108"/>
      <c r="K257" s="108"/>
      <c r="L257" s="106"/>
      <c r="M257" s="960"/>
      <c r="N257" s="106"/>
      <c r="O257" s="106"/>
      <c r="P257" s="106"/>
      <c r="Q257" s="109"/>
      <c r="R257" s="289"/>
      <c r="S257" s="107"/>
      <c r="T257" s="106"/>
      <c r="U257" s="106"/>
      <c r="V257" s="127">
        <f>Table62689345679[[#This Row],[PO Value]]-Table62689345679[[#This Row],[Offer Value]]</f>
        <v>0</v>
      </c>
      <c r="W257" s="106"/>
      <c r="X257" s="106"/>
      <c r="Y257" s="217"/>
      <c r="Z257" s="7"/>
      <c r="AA257" s="7"/>
    </row>
    <row r="258" spans="1:27" ht="15" customHeight="1">
      <c r="A258" s="106"/>
      <c r="B258" s="107"/>
      <c r="C258" s="105"/>
      <c r="D258" s="105"/>
      <c r="E258" s="105"/>
      <c r="F258" s="105"/>
      <c r="G258" s="105"/>
      <c r="H258" s="105"/>
      <c r="I258" s="105"/>
      <c r="J258" s="108"/>
      <c r="K258" s="108"/>
      <c r="L258" s="106"/>
      <c r="M258" s="960"/>
      <c r="N258" s="106"/>
      <c r="O258" s="106"/>
      <c r="P258" s="106"/>
      <c r="Q258" s="109"/>
      <c r="R258" s="289"/>
      <c r="S258" s="107"/>
      <c r="T258" s="106"/>
      <c r="U258" s="106"/>
      <c r="V258" s="127">
        <f>Table62689345679[[#This Row],[PO Value]]-Table62689345679[[#This Row],[Offer Value]]</f>
        <v>0</v>
      </c>
      <c r="W258" s="106"/>
      <c r="X258" s="106"/>
      <c r="Y258" s="217"/>
      <c r="Z258" s="7"/>
      <c r="AA258" s="7"/>
    </row>
    <row r="259" spans="1:27" ht="15" customHeight="1">
      <c r="A259" s="106"/>
      <c r="B259" s="107"/>
      <c r="C259" s="105"/>
      <c r="D259" s="105"/>
      <c r="E259" s="105"/>
      <c r="F259" s="105"/>
      <c r="G259" s="105"/>
      <c r="H259" s="105"/>
      <c r="I259" s="105"/>
      <c r="J259" s="108"/>
      <c r="K259" s="108"/>
      <c r="L259" s="106"/>
      <c r="M259" s="960"/>
      <c r="N259" s="106"/>
      <c r="O259" s="106"/>
      <c r="P259" s="106"/>
      <c r="Q259" s="109"/>
      <c r="R259" s="289"/>
      <c r="S259" s="107"/>
      <c r="T259" s="106"/>
      <c r="U259" s="106"/>
      <c r="V259" s="127">
        <f>Table62689345679[[#This Row],[PO Value]]-Table62689345679[[#This Row],[Offer Value]]</f>
        <v>0</v>
      </c>
      <c r="W259" s="106"/>
      <c r="X259" s="106"/>
      <c r="Y259" s="217"/>
      <c r="Z259" s="7"/>
      <c r="AA259" s="7"/>
    </row>
    <row r="260" spans="1:27" ht="15" customHeight="1">
      <c r="A260" s="106"/>
      <c r="B260" s="107"/>
      <c r="C260" s="105"/>
      <c r="D260" s="105"/>
      <c r="E260" s="105"/>
      <c r="F260" s="105"/>
      <c r="G260" s="105"/>
      <c r="H260" s="105"/>
      <c r="I260" s="105"/>
      <c r="J260" s="108"/>
      <c r="K260" s="108"/>
      <c r="L260" s="106"/>
      <c r="M260" s="960"/>
      <c r="N260" s="106"/>
      <c r="O260" s="106"/>
      <c r="P260" s="106"/>
      <c r="Q260" s="109"/>
      <c r="R260" s="256"/>
      <c r="S260" s="107"/>
      <c r="T260" s="106"/>
      <c r="U260" s="106"/>
      <c r="V260" s="127">
        <f>Table62689345679[[#This Row],[PO Value]]-Table62689345679[[#This Row],[Offer Value]]</f>
        <v>0</v>
      </c>
      <c r="W260" s="106"/>
      <c r="X260" s="106"/>
      <c r="Y260" s="617"/>
      <c r="Z260" s="7"/>
      <c r="AA260" s="7"/>
    </row>
    <row r="261" spans="1:27" ht="15" customHeight="1">
      <c r="A261" s="106"/>
      <c r="B261" s="107"/>
      <c r="C261" s="105"/>
      <c r="D261" s="105"/>
      <c r="E261" s="105"/>
      <c r="F261" s="105"/>
      <c r="G261" s="105"/>
      <c r="H261" s="105"/>
      <c r="I261" s="105"/>
      <c r="J261" s="108"/>
      <c r="K261" s="108"/>
      <c r="L261" s="106"/>
      <c r="M261" s="960"/>
      <c r="N261" s="106"/>
      <c r="O261" s="106"/>
      <c r="P261" s="106"/>
      <c r="Q261" s="109"/>
      <c r="R261" s="256"/>
      <c r="S261" s="107"/>
      <c r="T261" s="106"/>
      <c r="U261" s="106"/>
      <c r="V261" s="127">
        <f>Table62689345679[[#This Row],[PO Value]]-Table62689345679[[#This Row],[Offer Value]]</f>
        <v>0</v>
      </c>
      <c r="W261" s="106"/>
      <c r="X261" s="106"/>
      <c r="Y261" s="617"/>
      <c r="Z261" s="7"/>
      <c r="AA261" s="7"/>
    </row>
    <row r="262" spans="1:27" ht="15" customHeight="1">
      <c r="A262" s="106"/>
      <c r="B262" s="107"/>
      <c r="C262" s="105"/>
      <c r="D262" s="105"/>
      <c r="E262" s="105"/>
      <c r="F262" s="105"/>
      <c r="G262" s="105"/>
      <c r="H262" s="105"/>
      <c r="I262" s="105"/>
      <c r="J262" s="108"/>
      <c r="K262" s="108"/>
      <c r="L262" s="106"/>
      <c r="M262" s="960"/>
      <c r="N262" s="106"/>
      <c r="O262" s="106"/>
      <c r="P262" s="106"/>
      <c r="Q262" s="109"/>
      <c r="R262" s="289"/>
      <c r="S262" s="107"/>
      <c r="T262" s="106"/>
      <c r="U262" s="106"/>
      <c r="V262" s="127">
        <f>Table62689345679[[#This Row],[PO Value]]-Table62689345679[[#This Row],[Offer Value]]</f>
        <v>0</v>
      </c>
      <c r="W262" s="106"/>
      <c r="X262" s="106"/>
      <c r="Y262" s="217"/>
      <c r="Z262" s="7"/>
      <c r="AA262" s="7"/>
    </row>
    <row r="263" spans="1:27" ht="15" customHeight="1">
      <c r="A263" s="106"/>
      <c r="B263" s="107"/>
      <c r="C263" s="105"/>
      <c r="D263" s="105"/>
      <c r="E263" s="105"/>
      <c r="F263" s="105"/>
      <c r="G263" s="105"/>
      <c r="H263" s="105"/>
      <c r="I263" s="105"/>
      <c r="J263" s="108"/>
      <c r="K263" s="108"/>
      <c r="L263" s="106"/>
      <c r="M263" s="960"/>
      <c r="N263" s="106"/>
      <c r="O263" s="106"/>
      <c r="P263" s="106"/>
      <c r="Q263" s="109"/>
      <c r="R263" s="289"/>
      <c r="S263" s="107"/>
      <c r="T263" s="106"/>
      <c r="U263" s="106"/>
      <c r="V263" s="127">
        <f>Table62689345679[[#This Row],[PO Value]]-Table62689345679[[#This Row],[Offer Value]]</f>
        <v>0</v>
      </c>
      <c r="W263" s="106"/>
      <c r="X263" s="106"/>
      <c r="Y263" s="217"/>
      <c r="Z263" s="7"/>
      <c r="AA263" s="7"/>
    </row>
    <row r="264" spans="1:27" ht="15" customHeight="1">
      <c r="A264" s="106"/>
      <c r="B264" s="107"/>
      <c r="C264" s="105"/>
      <c r="D264" s="105"/>
      <c r="E264" s="105"/>
      <c r="F264" s="105"/>
      <c r="G264" s="105"/>
      <c r="H264" s="105"/>
      <c r="I264" s="105"/>
      <c r="J264" s="108"/>
      <c r="K264" s="108"/>
      <c r="L264" s="106"/>
      <c r="M264" s="960"/>
      <c r="N264" s="106"/>
      <c r="O264" s="106"/>
      <c r="P264" s="106"/>
      <c r="Q264" s="109"/>
      <c r="R264" s="289"/>
      <c r="S264" s="107"/>
      <c r="T264" s="106"/>
      <c r="U264" s="106"/>
      <c r="V264" s="127">
        <f>Table62689345679[[#This Row],[PO Value]]-Table62689345679[[#This Row],[Offer Value]]</f>
        <v>0</v>
      </c>
      <c r="W264" s="106"/>
      <c r="X264" s="106"/>
      <c r="Y264" s="217"/>
      <c r="Z264" s="7"/>
      <c r="AA264" s="7"/>
    </row>
    <row r="265" spans="1:27" ht="15" customHeight="1">
      <c r="A265" s="106"/>
      <c r="B265" s="107"/>
      <c r="C265" s="105"/>
      <c r="D265" s="105"/>
      <c r="E265" s="105"/>
      <c r="F265" s="105"/>
      <c r="G265" s="105"/>
      <c r="H265" s="105"/>
      <c r="I265" s="105"/>
      <c r="J265" s="108"/>
      <c r="K265" s="108"/>
      <c r="L265" s="106"/>
      <c r="M265" s="960"/>
      <c r="N265" s="106"/>
      <c r="O265" s="106"/>
      <c r="P265" s="106"/>
      <c r="Q265" s="109"/>
      <c r="R265" s="289"/>
      <c r="S265" s="107"/>
      <c r="T265" s="106"/>
      <c r="U265" s="106"/>
      <c r="V265" s="127">
        <f>Table62689345679[[#This Row],[PO Value]]-Table62689345679[[#This Row],[Offer Value]]</f>
        <v>0</v>
      </c>
      <c r="W265" s="106"/>
      <c r="X265" s="106"/>
      <c r="Y265" s="217"/>
      <c r="Z265" s="7"/>
      <c r="AA265" s="7"/>
    </row>
    <row r="266" spans="1:27" ht="15" customHeight="1">
      <c r="A266" s="106"/>
      <c r="B266" s="107"/>
      <c r="C266" s="105"/>
      <c r="D266" s="105"/>
      <c r="E266" s="105"/>
      <c r="F266" s="105"/>
      <c r="G266" s="105"/>
      <c r="H266" s="105"/>
      <c r="I266" s="105"/>
      <c r="J266" s="108"/>
      <c r="K266" s="108"/>
      <c r="L266" s="106"/>
      <c r="M266" s="960"/>
      <c r="N266" s="106"/>
      <c r="O266" s="106"/>
      <c r="P266" s="106"/>
      <c r="Q266" s="109"/>
      <c r="R266" s="289"/>
      <c r="S266" s="107"/>
      <c r="T266" s="106"/>
      <c r="U266" s="106"/>
      <c r="V266" s="127">
        <f>Table62689345679[[#This Row],[PO Value]]-Table62689345679[[#This Row],[Offer Value]]</f>
        <v>0</v>
      </c>
      <c r="W266" s="106"/>
      <c r="X266" s="106"/>
      <c r="Y266" s="217"/>
      <c r="Z266" s="7"/>
      <c r="AA266" s="7"/>
    </row>
    <row r="267" spans="1:27" ht="15" customHeight="1">
      <c r="A267" s="106"/>
      <c r="B267" s="107"/>
      <c r="C267" s="105"/>
      <c r="D267" s="105"/>
      <c r="E267" s="105"/>
      <c r="F267" s="105"/>
      <c r="G267" s="105"/>
      <c r="H267" s="105"/>
      <c r="I267" s="105"/>
      <c r="J267" s="108"/>
      <c r="K267" s="108"/>
      <c r="L267" s="106"/>
      <c r="M267" s="960"/>
      <c r="N267" s="106"/>
      <c r="O267" s="106"/>
      <c r="P267" s="106"/>
      <c r="Q267" s="109"/>
      <c r="R267" s="256"/>
      <c r="S267" s="107"/>
      <c r="T267" s="106"/>
      <c r="U267" s="106"/>
      <c r="V267" s="127">
        <f>Table62689345679[[#This Row],[PO Value]]-Table62689345679[[#This Row],[Offer Value]]</f>
        <v>0</v>
      </c>
      <c r="W267" s="106"/>
      <c r="X267" s="106"/>
      <c r="Y267" s="617"/>
      <c r="Z267" s="7"/>
      <c r="AA267" s="7"/>
    </row>
    <row r="268" spans="1:27" ht="15" customHeight="1">
      <c r="A268" s="106"/>
      <c r="B268" s="107"/>
      <c r="C268" s="105"/>
      <c r="D268" s="105"/>
      <c r="E268" s="105"/>
      <c r="F268" s="105"/>
      <c r="G268" s="105"/>
      <c r="H268" s="105"/>
      <c r="I268" s="105"/>
      <c r="J268" s="108"/>
      <c r="K268" s="108"/>
      <c r="L268" s="106"/>
      <c r="M268" s="960"/>
      <c r="N268" s="106"/>
      <c r="O268" s="106"/>
      <c r="P268" s="106"/>
      <c r="Q268" s="109"/>
      <c r="R268" s="289"/>
      <c r="S268" s="107"/>
      <c r="T268" s="106"/>
      <c r="U268" s="106"/>
      <c r="V268" s="127">
        <f>Table62689345679[[#This Row],[PO Value]]-Table62689345679[[#This Row],[Offer Value]]</f>
        <v>0</v>
      </c>
      <c r="W268" s="106"/>
      <c r="X268" s="106"/>
      <c r="Y268" s="217"/>
      <c r="Z268" s="7"/>
      <c r="AA268" s="7"/>
    </row>
    <row r="269" spans="1:27" ht="15" customHeight="1">
      <c r="A269" s="106"/>
      <c r="B269" s="107"/>
      <c r="C269" s="105"/>
      <c r="D269" s="105"/>
      <c r="E269" s="105"/>
      <c r="F269" s="105"/>
      <c r="G269" s="105"/>
      <c r="H269" s="105"/>
      <c r="I269" s="105"/>
      <c r="J269" s="108"/>
      <c r="K269" s="108"/>
      <c r="L269" s="106"/>
      <c r="M269" s="960"/>
      <c r="N269" s="106"/>
      <c r="O269" s="106"/>
      <c r="P269" s="106"/>
      <c r="Q269" s="109"/>
      <c r="R269" s="289"/>
      <c r="S269" s="107"/>
      <c r="T269" s="106"/>
      <c r="U269" s="106"/>
      <c r="V269" s="127">
        <f>Table62689345679[[#This Row],[PO Value]]-Table62689345679[[#This Row],[Offer Value]]</f>
        <v>0</v>
      </c>
      <c r="W269" s="106"/>
      <c r="X269" s="106"/>
      <c r="Y269" s="217"/>
      <c r="Z269" s="7"/>
      <c r="AA269" s="7"/>
    </row>
    <row r="270" spans="1:27" ht="15" customHeight="1">
      <c r="A270" s="106"/>
      <c r="B270" s="107"/>
      <c r="C270" s="105"/>
      <c r="D270" s="105"/>
      <c r="E270" s="105"/>
      <c r="F270" s="105"/>
      <c r="G270" s="105"/>
      <c r="H270" s="105"/>
      <c r="I270" s="105"/>
      <c r="J270" s="108"/>
      <c r="K270" s="108"/>
      <c r="L270" s="106"/>
      <c r="M270" s="960"/>
      <c r="N270" s="106"/>
      <c r="O270" s="106"/>
      <c r="P270" s="106"/>
      <c r="Q270" s="109"/>
      <c r="R270" s="289"/>
      <c r="S270" s="107"/>
      <c r="T270" s="106"/>
      <c r="U270" s="106"/>
      <c r="V270" s="127">
        <f>Table62689345679[[#This Row],[PO Value]]-Table62689345679[[#This Row],[Offer Value]]</f>
        <v>0</v>
      </c>
      <c r="W270" s="106"/>
      <c r="X270" s="106"/>
      <c r="Y270" s="217"/>
      <c r="Z270" s="7"/>
      <c r="AA270" s="7"/>
    </row>
    <row r="271" spans="1:27" ht="15" customHeight="1">
      <c r="A271" s="106"/>
      <c r="B271" s="107"/>
      <c r="C271" s="105"/>
      <c r="D271" s="105"/>
      <c r="E271" s="105"/>
      <c r="F271" s="105"/>
      <c r="G271" s="105"/>
      <c r="H271" s="105"/>
      <c r="I271" s="105"/>
      <c r="J271" s="108"/>
      <c r="K271" s="108"/>
      <c r="L271" s="106"/>
      <c r="M271" s="960"/>
      <c r="N271" s="106"/>
      <c r="O271" s="106"/>
      <c r="P271" s="106"/>
      <c r="Q271" s="109"/>
      <c r="R271" s="289"/>
      <c r="S271" s="107"/>
      <c r="T271" s="106"/>
      <c r="U271" s="106"/>
      <c r="V271" s="127">
        <f>Table62689345679[[#This Row],[PO Value]]-Table62689345679[[#This Row],[Offer Value]]</f>
        <v>0</v>
      </c>
      <c r="W271" s="106"/>
      <c r="X271" s="106"/>
      <c r="Y271" s="217"/>
      <c r="Z271" s="7"/>
      <c r="AA271" s="7"/>
    </row>
    <row r="272" spans="1:27" ht="15" customHeight="1">
      <c r="A272" s="106"/>
      <c r="B272" s="107"/>
      <c r="C272" s="105"/>
      <c r="D272" s="105"/>
      <c r="E272" s="105"/>
      <c r="F272" s="105"/>
      <c r="G272" s="105"/>
      <c r="H272" s="105"/>
      <c r="I272" s="105"/>
      <c r="J272" s="108"/>
      <c r="K272" s="108"/>
      <c r="L272" s="106"/>
      <c r="M272" s="960"/>
      <c r="N272" s="106"/>
      <c r="O272" s="106"/>
      <c r="P272" s="106"/>
      <c r="Q272" s="109"/>
      <c r="R272" s="256"/>
      <c r="S272" s="107"/>
      <c r="T272" s="106"/>
      <c r="U272" s="106"/>
      <c r="V272" s="127">
        <f>Table62689345679[[#This Row],[PO Value]]-Table62689345679[[#This Row],[Offer Value]]</f>
        <v>0</v>
      </c>
      <c r="W272" s="106"/>
      <c r="X272" s="106"/>
      <c r="Y272" s="617"/>
      <c r="Z272" s="7"/>
      <c r="AA272" s="7"/>
    </row>
    <row r="273" spans="1:27" ht="15" customHeight="1">
      <c r="A273" s="106"/>
      <c r="B273" s="106"/>
      <c r="C273" s="105"/>
      <c r="D273" s="105"/>
      <c r="E273" s="105"/>
      <c r="F273" s="105"/>
      <c r="G273" s="105"/>
      <c r="H273" s="105"/>
      <c r="I273" s="105"/>
      <c r="J273" s="108"/>
      <c r="K273" s="108"/>
      <c r="L273" s="106"/>
      <c r="M273" s="960"/>
      <c r="N273" s="106"/>
      <c r="O273" s="106"/>
      <c r="P273" s="106"/>
      <c r="Q273" s="109"/>
      <c r="R273" s="289"/>
      <c r="S273" s="107"/>
      <c r="T273" s="106"/>
      <c r="U273" s="106"/>
      <c r="V273" s="127">
        <f>Table62689345679[[#This Row],[PO Value]]-Table62689345679[[#This Row],[Offer Value]]</f>
        <v>0</v>
      </c>
      <c r="W273" s="106"/>
      <c r="X273" s="106"/>
      <c r="Y273" s="217"/>
      <c r="Z273" s="7"/>
      <c r="AA273" s="7"/>
    </row>
    <row r="274" spans="1:27" ht="15" customHeight="1">
      <c r="A274" s="106"/>
      <c r="B274" s="106"/>
      <c r="C274" s="105"/>
      <c r="D274" s="105"/>
      <c r="E274" s="105"/>
      <c r="F274" s="105"/>
      <c r="G274" s="105"/>
      <c r="H274" s="105"/>
      <c r="I274" s="105"/>
      <c r="J274" s="108"/>
      <c r="K274" s="108"/>
      <c r="L274" s="106"/>
      <c r="M274" s="960"/>
      <c r="N274" s="106"/>
      <c r="O274" s="106"/>
      <c r="P274" s="106"/>
      <c r="Q274" s="109"/>
      <c r="R274" s="289"/>
      <c r="S274" s="107"/>
      <c r="T274" s="106"/>
      <c r="U274" s="106"/>
      <c r="V274" s="127">
        <f>Table62689345679[[#This Row],[PO Value]]-Table62689345679[[#This Row],[Offer Value]]</f>
        <v>0</v>
      </c>
      <c r="W274" s="106"/>
      <c r="X274" s="106"/>
      <c r="Y274" s="217"/>
      <c r="Z274" s="7"/>
      <c r="AA274" s="7"/>
    </row>
    <row r="275" spans="1:27" ht="15" customHeight="1">
      <c r="A275" s="106"/>
      <c r="B275" s="106"/>
      <c r="C275" s="105"/>
      <c r="D275" s="105"/>
      <c r="E275" s="105"/>
      <c r="F275" s="105"/>
      <c r="G275" s="105"/>
      <c r="H275" s="105"/>
      <c r="I275" s="105"/>
      <c r="J275" s="108"/>
      <c r="K275" s="108"/>
      <c r="L275" s="106"/>
      <c r="M275" s="960"/>
      <c r="N275" s="106"/>
      <c r="O275" s="106"/>
      <c r="P275" s="106"/>
      <c r="Q275" s="109"/>
      <c r="R275" s="289"/>
      <c r="S275" s="107"/>
      <c r="T275" s="106"/>
      <c r="U275" s="106"/>
      <c r="V275" s="127">
        <f>Table62689345679[[#This Row],[PO Value]]-Table62689345679[[#This Row],[Offer Value]]</f>
        <v>0</v>
      </c>
      <c r="W275" s="106"/>
      <c r="X275" s="106"/>
      <c r="Y275" s="217"/>
      <c r="Z275" s="7"/>
      <c r="AA275" s="7"/>
    </row>
    <row r="276" spans="1:27" ht="15" customHeight="1">
      <c r="A276" s="106"/>
      <c r="B276" s="106"/>
      <c r="C276" s="105"/>
      <c r="D276" s="105"/>
      <c r="E276" s="105"/>
      <c r="F276" s="105"/>
      <c r="G276" s="105"/>
      <c r="H276" s="105"/>
      <c r="I276" s="105"/>
      <c r="J276" s="108"/>
      <c r="K276" s="108"/>
      <c r="L276" s="106"/>
      <c r="M276" s="960"/>
      <c r="N276" s="106"/>
      <c r="O276" s="106"/>
      <c r="P276" s="106"/>
      <c r="Q276" s="109"/>
      <c r="R276" s="289"/>
      <c r="S276" s="107"/>
      <c r="T276" s="106"/>
      <c r="U276" s="106"/>
      <c r="V276" s="127">
        <f>Table62689345679[[#This Row],[PO Value]]-Table62689345679[[#This Row],[Offer Value]]</f>
        <v>0</v>
      </c>
      <c r="W276" s="106"/>
      <c r="X276" s="106"/>
      <c r="Y276" s="217"/>
      <c r="Z276" s="7"/>
      <c r="AA276" s="7"/>
    </row>
    <row r="277" spans="1:27" ht="15" customHeight="1">
      <c r="A277" s="106"/>
      <c r="B277" s="106"/>
      <c r="C277" s="105"/>
      <c r="D277" s="105"/>
      <c r="E277" s="105"/>
      <c r="F277" s="105"/>
      <c r="G277" s="105"/>
      <c r="H277" s="105"/>
      <c r="I277" s="105"/>
      <c r="J277" s="108"/>
      <c r="K277" s="108"/>
      <c r="L277" s="106"/>
      <c r="M277" s="960"/>
      <c r="N277" s="106"/>
      <c r="O277" s="106"/>
      <c r="P277" s="106"/>
      <c r="Q277" s="109"/>
      <c r="R277" s="289"/>
      <c r="S277" s="107"/>
      <c r="T277" s="106"/>
      <c r="U277" s="106"/>
      <c r="V277" s="127">
        <f>Table62689345679[[#This Row],[PO Value]]-Table62689345679[[#This Row],[Offer Value]]</f>
        <v>0</v>
      </c>
      <c r="W277" s="106"/>
      <c r="X277" s="106"/>
      <c r="Y277" s="217"/>
      <c r="Z277" s="7"/>
      <c r="AA277" s="7"/>
    </row>
    <row r="278" spans="1:27" ht="15" customHeight="1">
      <c r="A278" s="106"/>
      <c r="B278" s="106"/>
      <c r="C278" s="105"/>
      <c r="D278" s="105"/>
      <c r="E278" s="105"/>
      <c r="F278" s="105"/>
      <c r="G278" s="105"/>
      <c r="H278" s="105"/>
      <c r="I278" s="105"/>
      <c r="J278" s="108"/>
      <c r="K278" s="108"/>
      <c r="L278" s="106"/>
      <c r="M278" s="960"/>
      <c r="N278" s="106"/>
      <c r="O278" s="106"/>
      <c r="P278" s="106"/>
      <c r="Q278" s="109"/>
      <c r="R278" s="289"/>
      <c r="S278" s="107"/>
      <c r="T278" s="106"/>
      <c r="U278" s="106"/>
      <c r="V278" s="127">
        <f>Table62689345679[[#This Row],[PO Value]]-Table62689345679[[#This Row],[Offer Value]]</f>
        <v>0</v>
      </c>
      <c r="W278" s="106"/>
      <c r="X278" s="106"/>
      <c r="Y278" s="217"/>
      <c r="Z278" s="7"/>
      <c r="AA278" s="7"/>
    </row>
    <row r="279" spans="1:27" ht="15" customHeight="1">
      <c r="A279" s="106"/>
      <c r="B279" s="106"/>
      <c r="C279" s="105"/>
      <c r="D279" s="105"/>
      <c r="E279" s="105"/>
      <c r="F279" s="105"/>
      <c r="G279" s="105"/>
      <c r="H279" s="105"/>
      <c r="I279" s="105"/>
      <c r="J279" s="108"/>
      <c r="K279" s="108"/>
      <c r="L279" s="106"/>
      <c r="M279" s="960"/>
      <c r="N279" s="106"/>
      <c r="O279" s="106"/>
      <c r="P279" s="106"/>
      <c r="Q279" s="109"/>
      <c r="R279" s="289"/>
      <c r="S279" s="107"/>
      <c r="T279" s="106"/>
      <c r="U279" s="106"/>
      <c r="V279" s="127">
        <f>Table62689345679[[#This Row],[PO Value]]-Table62689345679[[#This Row],[Offer Value]]</f>
        <v>0</v>
      </c>
      <c r="W279" s="106"/>
      <c r="X279" s="106"/>
      <c r="Y279" s="217"/>
      <c r="Z279" s="7"/>
      <c r="AA279" s="7"/>
    </row>
    <row r="280" spans="1:27" ht="15" customHeight="1">
      <c r="A280" s="106"/>
      <c r="B280" s="106"/>
      <c r="C280" s="105"/>
      <c r="D280" s="105"/>
      <c r="E280" s="105"/>
      <c r="F280" s="105"/>
      <c r="G280" s="105"/>
      <c r="H280" s="105"/>
      <c r="I280" s="105"/>
      <c r="J280" s="108"/>
      <c r="K280" s="108"/>
      <c r="L280" s="106"/>
      <c r="M280" s="960"/>
      <c r="N280" s="106"/>
      <c r="O280" s="106"/>
      <c r="P280" s="106"/>
      <c r="Q280" s="109"/>
      <c r="R280" s="289"/>
      <c r="S280" s="107"/>
      <c r="T280" s="106"/>
      <c r="U280" s="106"/>
      <c r="V280" s="127">
        <f>Table62689345679[[#This Row],[PO Value]]-Table62689345679[[#This Row],[Offer Value]]</f>
        <v>0</v>
      </c>
      <c r="W280" s="106"/>
      <c r="X280" s="106"/>
      <c r="Y280" s="217"/>
      <c r="Z280" s="7"/>
      <c r="AA280" s="7"/>
    </row>
    <row r="281" spans="1:27" ht="15" customHeight="1">
      <c r="A281" s="106"/>
      <c r="B281" s="106"/>
      <c r="C281" s="105"/>
      <c r="D281" s="105"/>
      <c r="E281" s="105"/>
      <c r="F281" s="105"/>
      <c r="G281" s="105"/>
      <c r="H281" s="105"/>
      <c r="I281" s="105"/>
      <c r="J281" s="108"/>
      <c r="K281" s="108"/>
      <c r="L281" s="106"/>
      <c r="M281" s="960"/>
      <c r="N281" s="106"/>
      <c r="O281" s="106"/>
      <c r="P281" s="106"/>
      <c r="Q281" s="109"/>
      <c r="R281" s="289"/>
      <c r="S281" s="107"/>
      <c r="T281" s="106"/>
      <c r="U281" s="106"/>
      <c r="V281" s="127">
        <f>Table62689345679[[#This Row],[PO Value]]-Table62689345679[[#This Row],[Offer Value]]</f>
        <v>0</v>
      </c>
      <c r="W281" s="106"/>
      <c r="X281" s="106"/>
      <c r="Y281" s="217"/>
      <c r="Z281" s="7"/>
      <c r="AA281" s="7"/>
    </row>
    <row r="282" spans="1:27" ht="15" customHeight="1">
      <c r="A282" s="106"/>
      <c r="B282" s="106"/>
      <c r="C282" s="105"/>
      <c r="D282" s="105"/>
      <c r="E282" s="105"/>
      <c r="F282" s="105"/>
      <c r="G282" s="105"/>
      <c r="H282" s="105"/>
      <c r="I282" s="105"/>
      <c r="J282" s="108"/>
      <c r="K282" s="108"/>
      <c r="L282" s="106"/>
      <c r="M282" s="960"/>
      <c r="N282" s="106"/>
      <c r="O282" s="106"/>
      <c r="P282" s="106"/>
      <c r="Q282" s="109"/>
      <c r="R282" s="289"/>
      <c r="S282" s="107"/>
      <c r="T282" s="106"/>
      <c r="U282" s="106"/>
      <c r="V282" s="127">
        <f>Table62689345679[[#This Row],[PO Value]]-Table62689345679[[#This Row],[Offer Value]]</f>
        <v>0</v>
      </c>
      <c r="W282" s="106"/>
      <c r="X282" s="106"/>
      <c r="Y282" s="217"/>
      <c r="Z282" s="7"/>
      <c r="AA282" s="7"/>
    </row>
    <row r="283" spans="1:27" ht="15" customHeight="1">
      <c r="A283" s="106"/>
      <c r="B283" s="106"/>
      <c r="C283" s="105"/>
      <c r="D283" s="105"/>
      <c r="E283" s="105"/>
      <c r="F283" s="105"/>
      <c r="G283" s="105"/>
      <c r="H283" s="105"/>
      <c r="I283" s="105"/>
      <c r="J283" s="108"/>
      <c r="K283" s="108"/>
      <c r="L283" s="106"/>
      <c r="M283" s="960"/>
      <c r="N283" s="106"/>
      <c r="O283" s="106"/>
      <c r="P283" s="106"/>
      <c r="Q283" s="109"/>
      <c r="R283" s="289"/>
      <c r="S283" s="107"/>
      <c r="T283" s="106"/>
      <c r="U283" s="106"/>
      <c r="V283" s="127">
        <f>Table62689345679[[#This Row],[PO Value]]-Table62689345679[[#This Row],[Offer Value]]</f>
        <v>0</v>
      </c>
      <c r="W283" s="106"/>
      <c r="X283" s="106"/>
      <c r="Y283" s="217"/>
      <c r="Z283" s="7"/>
      <c r="AA283" s="7"/>
    </row>
    <row r="284" spans="1:27" ht="15" customHeight="1">
      <c r="A284" s="106"/>
      <c r="B284" s="106"/>
      <c r="C284" s="105"/>
      <c r="D284" s="105"/>
      <c r="E284" s="105"/>
      <c r="F284" s="105"/>
      <c r="G284" s="105"/>
      <c r="H284" s="105"/>
      <c r="I284" s="105"/>
      <c r="J284" s="108"/>
      <c r="K284" s="108"/>
      <c r="L284" s="106"/>
      <c r="M284" s="960"/>
      <c r="N284" s="106"/>
      <c r="O284" s="106"/>
      <c r="P284" s="106"/>
      <c r="Q284" s="109"/>
      <c r="R284" s="289"/>
      <c r="S284" s="107"/>
      <c r="T284" s="106"/>
      <c r="U284" s="106"/>
      <c r="V284" s="127">
        <f>Table62689345679[[#This Row],[PO Value]]-Table62689345679[[#This Row],[Offer Value]]</f>
        <v>0</v>
      </c>
      <c r="W284" s="106"/>
      <c r="X284" s="106"/>
      <c r="Y284" s="217"/>
      <c r="Z284" s="7"/>
      <c r="AA284" s="7"/>
    </row>
    <row r="285" spans="1:27" ht="15" customHeight="1">
      <c r="A285" s="106"/>
      <c r="B285" s="106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960"/>
      <c r="N285" s="106"/>
      <c r="O285" s="106"/>
      <c r="P285" s="106"/>
      <c r="Q285" s="109"/>
      <c r="R285" s="289"/>
      <c r="S285" s="107"/>
      <c r="T285" s="106"/>
      <c r="U285" s="106"/>
      <c r="V285" s="127">
        <f>Table62689345679[[#This Row],[PO Value]]-Table62689345679[[#This Row],[Offer Value]]</f>
        <v>0</v>
      </c>
      <c r="W285" s="106"/>
      <c r="X285" s="106"/>
      <c r="Y285" s="217"/>
      <c r="Z285" s="7"/>
      <c r="AA285" s="7"/>
    </row>
    <row r="286" spans="1:27" ht="15" customHeight="1">
      <c r="A286" s="106"/>
      <c r="B286" s="106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960"/>
      <c r="N286" s="106"/>
      <c r="O286" s="106"/>
      <c r="P286" s="106"/>
      <c r="Q286" s="109"/>
      <c r="R286" s="289"/>
      <c r="S286" s="107"/>
      <c r="T286" s="106"/>
      <c r="U286" s="106"/>
      <c r="V286" s="127">
        <f>Table62689345679[[#This Row],[PO Value]]-Table62689345679[[#This Row],[Offer Value]]</f>
        <v>0</v>
      </c>
      <c r="W286" s="106"/>
      <c r="X286" s="106"/>
      <c r="Y286" s="217"/>
      <c r="Z286" s="7"/>
      <c r="AA286" s="7"/>
    </row>
    <row r="287" spans="1:27" ht="15" customHeight="1">
      <c r="A287" s="106"/>
      <c r="B287" s="106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960"/>
      <c r="N287" s="106"/>
      <c r="O287" s="106"/>
      <c r="P287" s="106"/>
      <c r="Q287" s="109"/>
      <c r="R287" s="289"/>
      <c r="S287" s="107"/>
      <c r="T287" s="106"/>
      <c r="U287" s="106"/>
      <c r="V287" s="127">
        <f>Table62689345679[[#This Row],[PO Value]]-Table62689345679[[#This Row],[Offer Value]]</f>
        <v>0</v>
      </c>
      <c r="W287" s="106"/>
      <c r="X287" s="106"/>
      <c r="Y287" s="217"/>
      <c r="Z287" s="7"/>
      <c r="AA287" s="7"/>
    </row>
    <row r="288" spans="1:27" ht="15" customHeight="1">
      <c r="A288" s="106"/>
      <c r="B288" s="106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960"/>
      <c r="N288" s="106"/>
      <c r="O288" s="106"/>
      <c r="P288" s="106"/>
      <c r="Q288" s="109"/>
      <c r="R288" s="289"/>
      <c r="S288" s="107"/>
      <c r="T288" s="106"/>
      <c r="U288" s="106"/>
      <c r="V288" s="127">
        <f>Table62689345679[[#This Row],[PO Value]]-Table62689345679[[#This Row],[Offer Value]]</f>
        <v>0</v>
      </c>
      <c r="W288" s="106"/>
      <c r="X288" s="106"/>
      <c r="Y288" s="217"/>
      <c r="Z288" s="7"/>
      <c r="AA288" s="7"/>
    </row>
    <row r="289" spans="1:27" ht="15" customHeight="1">
      <c r="A289" s="106"/>
      <c r="B289" s="106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960"/>
      <c r="N289" s="106"/>
      <c r="O289" s="106"/>
      <c r="P289" s="106"/>
      <c r="Q289" s="109"/>
      <c r="R289" s="289"/>
      <c r="S289" s="107"/>
      <c r="T289" s="106"/>
      <c r="U289" s="106"/>
      <c r="V289" s="127">
        <f>Table62689345679[[#This Row],[PO Value]]-Table62689345679[[#This Row],[Offer Value]]</f>
        <v>0</v>
      </c>
      <c r="W289" s="106"/>
      <c r="X289" s="106"/>
      <c r="Y289" s="217"/>
      <c r="Z289" s="7"/>
      <c r="AA289" s="7"/>
    </row>
    <row r="290" spans="1:27" ht="15" customHeight="1">
      <c r="A290" s="106"/>
      <c r="B290" s="106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960"/>
      <c r="N290" s="106"/>
      <c r="O290" s="106"/>
      <c r="P290" s="106"/>
      <c r="Q290" s="109"/>
      <c r="R290" s="289"/>
      <c r="S290" s="107"/>
      <c r="T290" s="106"/>
      <c r="U290" s="106"/>
      <c r="V290" s="127">
        <f>Table62689345679[[#This Row],[PO Value]]-Table62689345679[[#This Row],[Offer Value]]</f>
        <v>0</v>
      </c>
      <c r="W290" s="106"/>
      <c r="X290" s="106"/>
      <c r="Y290" s="217"/>
      <c r="Z290" s="7"/>
      <c r="AA290" s="7"/>
    </row>
    <row r="291" spans="1:27" ht="15" customHeight="1">
      <c r="A291" s="106"/>
      <c r="B291" s="106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960"/>
      <c r="N291" s="106"/>
      <c r="O291" s="106"/>
      <c r="P291" s="106"/>
      <c r="Q291" s="109"/>
      <c r="R291" s="289"/>
      <c r="S291" s="107"/>
      <c r="T291" s="106"/>
      <c r="U291" s="106"/>
      <c r="V291" s="127">
        <f>Table62689345679[[#This Row],[PO Value]]-Table62689345679[[#This Row],[Offer Value]]</f>
        <v>0</v>
      </c>
      <c r="W291" s="106"/>
      <c r="X291" s="106"/>
      <c r="Y291" s="217"/>
      <c r="Z291" s="7"/>
      <c r="AA291" s="7"/>
    </row>
    <row r="292" spans="1:27" ht="15" customHeight="1">
      <c r="A292" s="106"/>
      <c r="B292" s="106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960"/>
      <c r="N292" s="106"/>
      <c r="O292" s="106"/>
      <c r="P292" s="106"/>
      <c r="Q292" s="109"/>
      <c r="R292" s="256"/>
      <c r="S292" s="107"/>
      <c r="T292" s="106"/>
      <c r="U292" s="106"/>
      <c r="V292" s="127">
        <f>Table62689345679[[#This Row],[PO Value]]-Table62689345679[[#This Row],[Offer Value]]</f>
        <v>0</v>
      </c>
      <c r="W292" s="106"/>
      <c r="X292" s="106"/>
      <c r="Y292" s="617"/>
      <c r="Z292" s="7"/>
      <c r="AA292" s="7"/>
    </row>
    <row r="293" spans="1:27" ht="15" customHeight="1">
      <c r="A293" s="106"/>
      <c r="B293" s="106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960"/>
      <c r="N293" s="106"/>
      <c r="O293" s="106"/>
      <c r="P293" s="106"/>
      <c r="Q293" s="109"/>
      <c r="R293" s="289"/>
      <c r="S293" s="107"/>
      <c r="T293" s="106"/>
      <c r="U293" s="106"/>
      <c r="V293" s="127">
        <f>Table62689345679[[#This Row],[PO Value]]-Table62689345679[[#This Row],[Offer Value]]</f>
        <v>0</v>
      </c>
      <c r="W293" s="106"/>
      <c r="X293" s="106"/>
      <c r="Y293" s="217"/>
      <c r="Z293" s="7"/>
      <c r="AA293" s="7"/>
    </row>
    <row r="294" spans="1:27" ht="15" customHeight="1">
      <c r="A294" s="106"/>
      <c r="B294" s="106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960"/>
      <c r="N294" s="106"/>
      <c r="O294" s="106"/>
      <c r="P294" s="106"/>
      <c r="Q294" s="109"/>
      <c r="R294" s="289"/>
      <c r="S294" s="107"/>
      <c r="T294" s="106"/>
      <c r="U294" s="106"/>
      <c r="V294" s="127">
        <f>Table62689345679[[#This Row],[PO Value]]-Table62689345679[[#This Row],[Offer Value]]</f>
        <v>0</v>
      </c>
      <c r="W294" s="106"/>
      <c r="X294" s="106"/>
      <c r="Y294" s="217"/>
      <c r="Z294" s="7"/>
      <c r="AA294" s="7"/>
    </row>
    <row r="295" spans="1:27" ht="15" customHeight="1">
      <c r="A295" s="106"/>
      <c r="B295" s="106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960"/>
      <c r="N295" s="106"/>
      <c r="O295" s="106"/>
      <c r="P295" s="106"/>
      <c r="Q295" s="109"/>
      <c r="R295" s="289"/>
      <c r="S295" s="107"/>
      <c r="T295" s="106"/>
      <c r="U295" s="106"/>
      <c r="V295" s="127">
        <f>Table62689345679[[#This Row],[PO Value]]-Table62689345679[[#This Row],[Offer Value]]</f>
        <v>0</v>
      </c>
      <c r="W295" s="106"/>
      <c r="X295" s="106"/>
      <c r="Y295" s="217"/>
      <c r="Z295" s="7"/>
      <c r="AA295" s="7"/>
    </row>
    <row r="296" spans="1:27" ht="15" customHeight="1">
      <c r="A296" s="106"/>
      <c r="B296" s="106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960"/>
      <c r="N296" s="106"/>
      <c r="O296" s="106"/>
      <c r="P296" s="106"/>
      <c r="Q296" s="109"/>
      <c r="R296" s="289"/>
      <c r="S296" s="107"/>
      <c r="T296" s="106"/>
      <c r="U296" s="106"/>
      <c r="V296" s="127">
        <f>Table62689345679[[#This Row],[PO Value]]-Table62689345679[[#This Row],[Offer Value]]</f>
        <v>0</v>
      </c>
      <c r="W296" s="106"/>
      <c r="X296" s="106"/>
      <c r="Y296" s="217"/>
      <c r="Z296" s="7"/>
      <c r="AA296" s="7"/>
    </row>
    <row r="297" spans="1:27" ht="15" customHeight="1">
      <c r="A297" s="106"/>
      <c r="B297" s="106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960"/>
      <c r="N297" s="106"/>
      <c r="O297" s="106"/>
      <c r="P297" s="106"/>
      <c r="Q297" s="109"/>
      <c r="R297" s="289"/>
      <c r="S297" s="107"/>
      <c r="T297" s="106"/>
      <c r="U297" s="106"/>
      <c r="V297" s="127">
        <f>Table62689345679[[#This Row],[PO Value]]-Table62689345679[[#This Row],[Offer Value]]</f>
        <v>0</v>
      </c>
      <c r="W297" s="106"/>
      <c r="X297" s="106"/>
      <c r="Y297" s="217"/>
      <c r="Z297" s="7"/>
      <c r="AA297" s="7"/>
    </row>
    <row r="298" spans="1:27" ht="15" customHeight="1">
      <c r="A298" s="106"/>
      <c r="B298" s="106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960"/>
      <c r="N298" s="106"/>
      <c r="O298" s="106"/>
      <c r="P298" s="106"/>
      <c r="Q298" s="109"/>
      <c r="R298" s="289"/>
      <c r="S298" s="107"/>
      <c r="T298" s="106"/>
      <c r="U298" s="106"/>
      <c r="V298" s="127">
        <f>Table62689345679[[#This Row],[PO Value]]-Table62689345679[[#This Row],[Offer Value]]</f>
        <v>0</v>
      </c>
      <c r="W298" s="106"/>
      <c r="X298" s="106"/>
      <c r="Y298" s="217"/>
      <c r="Z298" s="7"/>
      <c r="AA298" s="7"/>
    </row>
    <row r="299" spans="1:27" ht="15" customHeight="1">
      <c r="A299" s="106"/>
      <c r="B299" s="106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960"/>
      <c r="N299" s="106"/>
      <c r="O299" s="106"/>
      <c r="P299" s="106"/>
      <c r="Q299" s="109"/>
      <c r="R299" s="289"/>
      <c r="S299" s="107"/>
      <c r="T299" s="106"/>
      <c r="U299" s="106"/>
      <c r="V299" s="127">
        <f>Table62689345679[[#This Row],[PO Value]]-Table62689345679[[#This Row],[Offer Value]]</f>
        <v>0</v>
      </c>
      <c r="W299" s="106"/>
      <c r="X299" s="106"/>
      <c r="Y299" s="217"/>
      <c r="Z299" s="7"/>
      <c r="AA299" s="7"/>
    </row>
    <row r="300" spans="1:27" ht="15" customHeight="1">
      <c r="A300" s="106"/>
      <c r="B300" s="106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960"/>
      <c r="N300" s="106"/>
      <c r="O300" s="106"/>
      <c r="P300" s="106"/>
      <c r="Q300" s="109"/>
      <c r="R300" s="256"/>
      <c r="S300" s="107"/>
      <c r="T300" s="106"/>
      <c r="U300" s="106"/>
      <c r="V300" s="127">
        <f>Table62689345679[[#This Row],[PO Value]]-Table62689345679[[#This Row],[Offer Value]]</f>
        <v>0</v>
      </c>
      <c r="W300" s="106"/>
      <c r="X300" s="106"/>
      <c r="Y300" s="617"/>
      <c r="Z300" s="7"/>
      <c r="AA300" s="7"/>
    </row>
    <row r="301" spans="1:27" ht="1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8"/>
      <c r="K301" s="108"/>
      <c r="L301" s="106"/>
      <c r="M301" s="960"/>
      <c r="N301" s="106"/>
      <c r="O301" s="106"/>
      <c r="P301" s="106"/>
      <c r="Q301" s="109"/>
      <c r="R301" s="289"/>
      <c r="S301" s="107"/>
      <c r="T301" s="106"/>
      <c r="U301" s="106"/>
      <c r="V301" s="127">
        <f>Table62689345679[[#This Row],[PO Value]]-Table62689345679[[#This Row],[Offer Value]]</f>
        <v>0</v>
      </c>
      <c r="W301" s="106"/>
      <c r="X301" s="106"/>
      <c r="Y301" s="217"/>
      <c r="Z301" s="7"/>
      <c r="AA301" s="7"/>
    </row>
    <row r="302" spans="1:27" ht="1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8"/>
      <c r="K302" s="108"/>
      <c r="L302" s="106"/>
      <c r="M302" s="960"/>
      <c r="N302" s="106"/>
      <c r="O302" s="106"/>
      <c r="P302" s="106"/>
      <c r="Q302" s="109"/>
      <c r="R302" s="289"/>
      <c r="S302" s="107"/>
      <c r="T302" s="106"/>
      <c r="U302" s="106"/>
      <c r="V302" s="127">
        <f>Table62689345679[[#This Row],[PO Value]]-Table62689345679[[#This Row],[Offer Value]]</f>
        <v>0</v>
      </c>
      <c r="W302" s="106"/>
      <c r="X302" s="106"/>
      <c r="Y302" s="217"/>
      <c r="Z302" s="7"/>
      <c r="AA302" s="7"/>
    </row>
    <row r="303" spans="1:27" ht="1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8"/>
      <c r="K303" s="108"/>
      <c r="L303" s="106"/>
      <c r="M303" s="960"/>
      <c r="N303" s="106"/>
      <c r="O303" s="106"/>
      <c r="P303" s="106"/>
      <c r="Q303" s="109"/>
      <c r="R303" s="289"/>
      <c r="S303" s="107"/>
      <c r="T303" s="106"/>
      <c r="U303" s="106"/>
      <c r="V303" s="127">
        <f>Table62689345679[[#This Row],[PO Value]]-Table62689345679[[#This Row],[Offer Value]]</f>
        <v>0</v>
      </c>
      <c r="W303" s="106"/>
      <c r="X303" s="106"/>
      <c r="Y303" s="217"/>
      <c r="Z303" s="7"/>
      <c r="AA303" s="7"/>
    </row>
    <row r="304" spans="1:27" ht="1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8"/>
      <c r="K304" s="108"/>
      <c r="L304" s="106"/>
      <c r="M304" s="960"/>
      <c r="N304" s="106"/>
      <c r="O304" s="106"/>
      <c r="P304" s="106"/>
      <c r="Q304" s="109"/>
      <c r="R304" s="289"/>
      <c r="S304" s="107"/>
      <c r="T304" s="106"/>
      <c r="U304" s="106"/>
      <c r="V304" s="127">
        <f>Table62689345679[[#This Row],[PO Value]]-Table62689345679[[#This Row],[Offer Value]]</f>
        <v>0</v>
      </c>
      <c r="W304" s="106"/>
      <c r="X304" s="106"/>
      <c r="Y304" s="217"/>
      <c r="Z304" s="7"/>
      <c r="AA304" s="7"/>
    </row>
    <row r="305" spans="1:27" ht="1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8"/>
      <c r="K305" s="108"/>
      <c r="L305" s="106"/>
      <c r="M305" s="960"/>
      <c r="N305" s="106"/>
      <c r="O305" s="106"/>
      <c r="P305" s="106"/>
      <c r="Q305" s="109"/>
      <c r="R305" s="289"/>
      <c r="S305" s="107"/>
      <c r="T305" s="106"/>
      <c r="U305" s="106"/>
      <c r="V305" s="127">
        <f>Table62689345679[[#This Row],[PO Value]]-Table62689345679[[#This Row],[Offer Value]]</f>
        <v>0</v>
      </c>
      <c r="W305" s="106"/>
      <c r="X305" s="106"/>
      <c r="Y305" s="217"/>
      <c r="Z305" s="7"/>
      <c r="AA305" s="7"/>
    </row>
    <row r="306" spans="1:27" ht="1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8"/>
      <c r="K306" s="108"/>
      <c r="L306" s="106"/>
      <c r="M306" s="960"/>
      <c r="N306" s="106"/>
      <c r="O306" s="106"/>
      <c r="P306" s="106"/>
      <c r="Q306" s="109"/>
      <c r="R306" s="289"/>
      <c r="S306" s="107"/>
      <c r="T306" s="106"/>
      <c r="U306" s="106"/>
      <c r="V306" s="127">
        <f>Table62689345679[[#This Row],[PO Value]]-Table62689345679[[#This Row],[Offer Value]]</f>
        <v>0</v>
      </c>
      <c r="W306" s="106"/>
      <c r="X306" s="106"/>
      <c r="Y306" s="217"/>
      <c r="Z306" s="7"/>
      <c r="AA306" s="7"/>
    </row>
    <row r="307" spans="1:27" ht="1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8"/>
      <c r="K307" s="108"/>
      <c r="L307" s="106"/>
      <c r="M307" s="960"/>
      <c r="N307" s="106"/>
      <c r="O307" s="106"/>
      <c r="P307" s="106"/>
      <c r="Q307" s="109"/>
      <c r="R307" s="289"/>
      <c r="S307" s="107"/>
      <c r="T307" s="106"/>
      <c r="U307" s="106"/>
      <c r="V307" s="127">
        <f>Table62689345679[[#This Row],[PO Value]]-Table62689345679[[#This Row],[Offer Value]]</f>
        <v>0</v>
      </c>
      <c r="W307" s="106"/>
      <c r="X307" s="106"/>
      <c r="Y307" s="217"/>
      <c r="Z307" s="7"/>
      <c r="AA307" s="7"/>
    </row>
    <row r="308" spans="1:27" ht="1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8"/>
      <c r="K308" s="108"/>
      <c r="L308" s="106"/>
      <c r="M308" s="960"/>
      <c r="N308" s="106"/>
      <c r="O308" s="106"/>
      <c r="P308" s="106"/>
      <c r="Q308" s="109"/>
      <c r="R308" s="289"/>
      <c r="S308" s="107"/>
      <c r="T308" s="106"/>
      <c r="U308" s="106"/>
      <c r="V308" s="127">
        <f>Table62689345679[[#This Row],[PO Value]]-Table62689345679[[#This Row],[Offer Value]]</f>
        <v>0</v>
      </c>
      <c r="W308" s="106"/>
      <c r="X308" s="106"/>
      <c r="Y308" s="217"/>
      <c r="Z308" s="7"/>
      <c r="AA308" s="7"/>
    </row>
    <row r="309" spans="1:27" ht="1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8"/>
      <c r="K309" s="108"/>
      <c r="L309" s="106"/>
      <c r="M309" s="960"/>
      <c r="N309" s="106"/>
      <c r="O309" s="106"/>
      <c r="P309" s="106"/>
      <c r="Q309" s="109"/>
      <c r="R309" s="289"/>
      <c r="S309" s="107"/>
      <c r="T309" s="106"/>
      <c r="U309" s="106"/>
      <c r="V309" s="127">
        <f>Table62689345679[[#This Row],[PO Value]]-Table62689345679[[#This Row],[Offer Value]]</f>
        <v>0</v>
      </c>
      <c r="W309" s="106"/>
      <c r="X309" s="106"/>
      <c r="Y309" s="217"/>
      <c r="Z309" s="7"/>
      <c r="AA309" s="7"/>
    </row>
    <row r="310" spans="1:27" ht="1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8"/>
      <c r="K310" s="108"/>
      <c r="L310" s="106"/>
      <c r="M310" s="960"/>
      <c r="N310" s="106"/>
      <c r="O310" s="106"/>
      <c r="P310" s="106"/>
      <c r="Q310" s="109"/>
      <c r="R310" s="289"/>
      <c r="S310" s="107"/>
      <c r="T310" s="106"/>
      <c r="U310" s="106"/>
      <c r="V310" s="127">
        <f>Table62689345679[[#This Row],[PO Value]]-Table62689345679[[#This Row],[Offer Value]]</f>
        <v>0</v>
      </c>
      <c r="W310" s="106"/>
      <c r="X310" s="106"/>
      <c r="Y310" s="217"/>
      <c r="Z310" s="7"/>
      <c r="AA310" s="7"/>
    </row>
    <row r="311" spans="1:27" ht="1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8"/>
      <c r="K311" s="108"/>
      <c r="L311" s="106"/>
      <c r="M311" s="960"/>
      <c r="N311" s="106"/>
      <c r="O311" s="106"/>
      <c r="P311" s="106"/>
      <c r="Q311" s="109"/>
      <c r="R311" s="289"/>
      <c r="S311" s="107"/>
      <c r="T311" s="106"/>
      <c r="U311" s="106"/>
      <c r="V311" s="127">
        <f>Table62689345679[[#This Row],[PO Value]]-Table62689345679[[#This Row],[Offer Value]]</f>
        <v>0</v>
      </c>
      <c r="W311" s="106"/>
      <c r="X311" s="106"/>
      <c r="Y311" s="217"/>
      <c r="Z311" s="7"/>
      <c r="AA311" s="7"/>
    </row>
    <row r="312" spans="1:27" ht="1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8"/>
      <c r="K312" s="108"/>
      <c r="L312" s="106"/>
      <c r="M312" s="960"/>
      <c r="N312" s="106"/>
      <c r="O312" s="106"/>
      <c r="P312" s="106"/>
      <c r="Q312" s="109"/>
      <c r="R312" s="289"/>
      <c r="S312" s="107"/>
      <c r="T312" s="106"/>
      <c r="U312" s="106"/>
      <c r="V312" s="127">
        <f>Table62689345679[[#This Row],[PO Value]]-Table62689345679[[#This Row],[Offer Value]]</f>
        <v>0</v>
      </c>
      <c r="W312" s="106"/>
      <c r="X312" s="106"/>
      <c r="Y312" s="217"/>
      <c r="Z312" s="7"/>
      <c r="AA312" s="7"/>
    </row>
    <row r="313" spans="1:27" ht="1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8"/>
      <c r="K313" s="108"/>
      <c r="L313" s="106"/>
      <c r="M313" s="960"/>
      <c r="N313" s="106"/>
      <c r="O313" s="106"/>
      <c r="P313" s="106"/>
      <c r="Q313" s="109"/>
      <c r="R313" s="289"/>
      <c r="S313" s="107"/>
      <c r="T313" s="106"/>
      <c r="U313" s="106"/>
      <c r="V313" s="127">
        <f>Table62689345679[[#This Row],[PO Value]]-Table62689345679[[#This Row],[Offer Value]]</f>
        <v>0</v>
      </c>
      <c r="W313" s="106"/>
      <c r="X313" s="106"/>
      <c r="Y313" s="217"/>
      <c r="Z313" s="7"/>
      <c r="AA313" s="7"/>
    </row>
    <row r="314" spans="1:27" ht="1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8"/>
      <c r="K314" s="108"/>
      <c r="L314" s="106"/>
      <c r="M314" s="960"/>
      <c r="N314" s="106"/>
      <c r="O314" s="106"/>
      <c r="P314" s="106"/>
      <c r="Q314" s="109"/>
      <c r="R314" s="289"/>
      <c r="S314" s="107"/>
      <c r="T314" s="106"/>
      <c r="U314" s="106"/>
      <c r="V314" s="127">
        <f>Table62689345679[[#This Row],[PO Value]]-Table62689345679[[#This Row],[Offer Value]]</f>
        <v>0</v>
      </c>
      <c r="W314" s="106"/>
      <c r="X314" s="106"/>
      <c r="Y314" s="217"/>
      <c r="Z314" s="7"/>
      <c r="AA314" s="7"/>
    </row>
    <row r="315" spans="1:27" ht="1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8"/>
      <c r="K315" s="108"/>
      <c r="L315" s="106"/>
      <c r="M315" s="960"/>
      <c r="N315" s="106"/>
      <c r="O315" s="106"/>
      <c r="P315" s="106"/>
      <c r="Q315" s="109"/>
      <c r="R315" s="289"/>
      <c r="S315" s="107"/>
      <c r="T315" s="106"/>
      <c r="U315" s="106"/>
      <c r="V315" s="127">
        <f>Table62689345679[[#This Row],[PO Value]]-Table62689345679[[#This Row],[Offer Value]]</f>
        <v>0</v>
      </c>
      <c r="W315" s="106"/>
      <c r="X315" s="106"/>
      <c r="Y315" s="217"/>
      <c r="Z315" s="7"/>
      <c r="AA315" s="7"/>
    </row>
    <row r="316" spans="1:27" ht="1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8"/>
      <c r="K316" s="108"/>
      <c r="L316" s="106"/>
      <c r="M316" s="960"/>
      <c r="N316" s="106"/>
      <c r="O316" s="106"/>
      <c r="P316" s="106"/>
      <c r="Q316" s="109"/>
      <c r="R316" s="289"/>
      <c r="S316" s="107"/>
      <c r="T316" s="106"/>
      <c r="U316" s="106"/>
      <c r="V316" s="127">
        <f>Table62689345679[[#This Row],[PO Value]]-Table62689345679[[#This Row],[Offer Value]]</f>
        <v>0</v>
      </c>
      <c r="W316" s="106"/>
      <c r="X316" s="106"/>
      <c r="Y316" s="217"/>
      <c r="Z316" s="7"/>
      <c r="AA316" s="7"/>
    </row>
    <row r="317" spans="1:27" ht="1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8"/>
      <c r="K317" s="108"/>
      <c r="L317" s="106"/>
      <c r="M317" s="960"/>
      <c r="N317" s="106"/>
      <c r="O317" s="106"/>
      <c r="P317" s="106"/>
      <c r="Q317" s="109"/>
      <c r="R317" s="289"/>
      <c r="S317" s="107"/>
      <c r="T317" s="106"/>
      <c r="U317" s="106"/>
      <c r="V317" s="127">
        <f>Table62689345679[[#This Row],[PO Value]]-Table62689345679[[#This Row],[Offer Value]]</f>
        <v>0</v>
      </c>
      <c r="W317" s="106"/>
      <c r="X317" s="106"/>
      <c r="Y317" s="217"/>
      <c r="Z317" s="7"/>
      <c r="AA317" s="7"/>
    </row>
    <row r="318" spans="1:27" ht="1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8"/>
      <c r="K318" s="108"/>
      <c r="L318" s="106"/>
      <c r="M318" s="960"/>
      <c r="N318" s="106"/>
      <c r="O318" s="106"/>
      <c r="P318" s="106"/>
      <c r="Q318" s="109"/>
      <c r="R318" s="289"/>
      <c r="S318" s="107"/>
      <c r="T318" s="106"/>
      <c r="U318" s="106"/>
      <c r="V318" s="127">
        <f>Table62689345679[[#This Row],[PO Value]]-Table62689345679[[#This Row],[Offer Value]]</f>
        <v>0</v>
      </c>
      <c r="W318" s="106"/>
      <c r="X318" s="106"/>
      <c r="Y318" s="217"/>
      <c r="Z318" s="7"/>
      <c r="AA318" s="7"/>
    </row>
    <row r="319" spans="1:27" ht="1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8"/>
      <c r="K319" s="108"/>
      <c r="L319" s="106"/>
      <c r="M319" s="960"/>
      <c r="N319" s="106"/>
      <c r="O319" s="106"/>
      <c r="P319" s="106"/>
      <c r="Q319" s="109"/>
      <c r="R319" s="289"/>
      <c r="S319" s="107"/>
      <c r="T319" s="106"/>
      <c r="U319" s="106"/>
      <c r="V319" s="127">
        <f>Table62689345679[[#This Row],[PO Value]]-Table62689345679[[#This Row],[Offer Value]]</f>
        <v>0</v>
      </c>
      <c r="W319" s="106"/>
      <c r="X319" s="106"/>
      <c r="Y319" s="217"/>
      <c r="Z319" s="7"/>
      <c r="AA319" s="7"/>
    </row>
    <row r="320" spans="1:27" ht="1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8"/>
      <c r="K320" s="108"/>
      <c r="L320" s="106"/>
      <c r="M320" s="960"/>
      <c r="N320" s="106"/>
      <c r="O320" s="106"/>
      <c r="P320" s="106"/>
      <c r="Q320" s="109"/>
      <c r="R320" s="289"/>
      <c r="S320" s="107"/>
      <c r="T320" s="106"/>
      <c r="U320" s="106"/>
      <c r="V320" s="127">
        <f>Table62689345679[[#This Row],[PO Value]]-Table62689345679[[#This Row],[Offer Value]]</f>
        <v>0</v>
      </c>
      <c r="W320" s="106"/>
      <c r="X320" s="106"/>
      <c r="Y320" s="217"/>
      <c r="Z320" s="7"/>
      <c r="AA320" s="7"/>
    </row>
    <row r="321" spans="1:27" ht="1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8"/>
      <c r="K321" s="108"/>
      <c r="L321" s="106"/>
      <c r="M321" s="960"/>
      <c r="N321" s="106"/>
      <c r="O321" s="106"/>
      <c r="P321" s="106"/>
      <c r="Q321" s="109"/>
      <c r="R321" s="289"/>
      <c r="S321" s="107"/>
      <c r="T321" s="106"/>
      <c r="U321" s="106"/>
      <c r="V321" s="127">
        <f>Table62689345679[[#This Row],[PO Value]]-Table62689345679[[#This Row],[Offer Value]]</f>
        <v>0</v>
      </c>
      <c r="W321" s="106"/>
      <c r="X321" s="106"/>
      <c r="Y321" s="217"/>
      <c r="Z321" s="7"/>
      <c r="AA321" s="7"/>
    </row>
    <row r="322" spans="1:27" ht="1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8"/>
      <c r="K322" s="108"/>
      <c r="L322" s="106"/>
      <c r="M322" s="960"/>
      <c r="N322" s="106"/>
      <c r="O322" s="106"/>
      <c r="P322" s="106"/>
      <c r="Q322" s="109"/>
      <c r="R322" s="289"/>
      <c r="S322" s="107"/>
      <c r="T322" s="106"/>
      <c r="U322" s="106"/>
      <c r="V322" s="127">
        <f>Table62689345679[[#This Row],[PO Value]]-Table62689345679[[#This Row],[Offer Value]]</f>
        <v>0</v>
      </c>
      <c r="W322" s="106"/>
      <c r="X322" s="106"/>
      <c r="Y322" s="217"/>
      <c r="Z322" s="7"/>
      <c r="AA322" s="7"/>
    </row>
    <row r="323" spans="1:27" ht="1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8"/>
      <c r="K323" s="108"/>
      <c r="L323" s="106"/>
      <c r="M323" s="960"/>
      <c r="N323" s="106"/>
      <c r="O323" s="106"/>
      <c r="P323" s="106"/>
      <c r="Q323" s="109"/>
      <c r="R323" s="289"/>
      <c r="S323" s="107"/>
      <c r="T323" s="106"/>
      <c r="U323" s="106"/>
      <c r="V323" s="127">
        <f>Table62689345679[[#This Row],[PO Value]]-Table62689345679[[#This Row],[Offer Value]]</f>
        <v>0</v>
      </c>
      <c r="W323" s="106"/>
      <c r="X323" s="106"/>
      <c r="Y323" s="217"/>
      <c r="Z323" s="7"/>
      <c r="AA323" s="7"/>
    </row>
    <row r="324" spans="1:27" ht="1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6"/>
      <c r="M324" s="960"/>
      <c r="N324" s="106"/>
      <c r="O324" s="106"/>
      <c r="P324" s="106"/>
      <c r="Q324" s="109"/>
      <c r="R324" s="289"/>
      <c r="S324" s="107"/>
      <c r="T324" s="106"/>
      <c r="U324" s="106"/>
      <c r="V324" s="127">
        <f>Table62689345679[[#This Row],[PO Value]]-Table62689345679[[#This Row],[Offer Value]]</f>
        <v>0</v>
      </c>
      <c r="W324" s="106"/>
      <c r="X324" s="106"/>
      <c r="Y324" s="217"/>
      <c r="Z324" s="7"/>
      <c r="AA324" s="7"/>
    </row>
    <row r="325" spans="1:27" ht="1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8"/>
      <c r="K325" s="108"/>
      <c r="L325" s="106"/>
      <c r="M325" s="960"/>
      <c r="N325" s="106"/>
      <c r="O325" s="106"/>
      <c r="P325" s="106"/>
      <c r="Q325" s="109"/>
      <c r="R325" s="289"/>
      <c r="S325" s="107"/>
      <c r="T325" s="106"/>
      <c r="U325" s="106"/>
      <c r="V325" s="127">
        <f>Table62689345679[[#This Row],[PO Value]]-Table62689345679[[#This Row],[Offer Value]]</f>
        <v>0</v>
      </c>
      <c r="W325" s="106"/>
      <c r="X325" s="106"/>
      <c r="Y325" s="217"/>
      <c r="Z325" s="7"/>
      <c r="AA325" s="7"/>
    </row>
    <row r="326" spans="1:27" ht="1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8"/>
      <c r="K326" s="108"/>
      <c r="L326" s="106"/>
      <c r="M326" s="960"/>
      <c r="N326" s="106"/>
      <c r="O326" s="106"/>
      <c r="P326" s="106"/>
      <c r="Q326" s="109"/>
      <c r="R326" s="289"/>
      <c r="S326" s="107"/>
      <c r="T326" s="106"/>
      <c r="U326" s="106"/>
      <c r="V326" s="127">
        <f>Table62689345679[[#This Row],[PO Value]]-Table62689345679[[#This Row],[Offer Value]]</f>
        <v>0</v>
      </c>
      <c r="W326" s="106"/>
      <c r="X326" s="106"/>
      <c r="Y326" s="217"/>
      <c r="Z326" s="7"/>
      <c r="AA326" s="7"/>
    </row>
    <row r="327" spans="1:27" ht="1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8"/>
      <c r="K327" s="108"/>
      <c r="L327" s="106"/>
      <c r="M327" s="960"/>
      <c r="N327" s="106"/>
      <c r="O327" s="106"/>
      <c r="P327" s="106"/>
      <c r="Q327" s="109"/>
      <c r="R327" s="289"/>
      <c r="S327" s="107"/>
      <c r="T327" s="106"/>
      <c r="U327" s="106"/>
      <c r="V327" s="127">
        <f>Table62689345679[[#This Row],[PO Value]]-Table62689345679[[#This Row],[Offer Value]]</f>
        <v>0</v>
      </c>
      <c r="W327" s="106"/>
      <c r="X327" s="106"/>
      <c r="Y327" s="217"/>
      <c r="Z327" s="7"/>
      <c r="AA327" s="7"/>
    </row>
    <row r="328" spans="1:27" ht="1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8"/>
      <c r="K328" s="108"/>
      <c r="L328" s="106"/>
      <c r="M328" s="960"/>
      <c r="N328" s="106"/>
      <c r="O328" s="106"/>
      <c r="P328" s="106"/>
      <c r="Q328" s="109"/>
      <c r="R328" s="289"/>
      <c r="S328" s="107"/>
      <c r="T328" s="106"/>
      <c r="U328" s="106"/>
      <c r="V328" s="127">
        <f>Table62689345679[[#This Row],[PO Value]]-Table62689345679[[#This Row],[Offer Value]]</f>
        <v>0</v>
      </c>
      <c r="W328" s="106"/>
      <c r="X328" s="106"/>
      <c r="Y328" s="217"/>
      <c r="Z328" s="7"/>
      <c r="AA328" s="7"/>
    </row>
    <row r="329" spans="1:27" ht="1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8"/>
      <c r="K329" s="108"/>
      <c r="L329" s="106"/>
      <c r="M329" s="960"/>
      <c r="N329" s="106"/>
      <c r="O329" s="106"/>
      <c r="P329" s="106"/>
      <c r="Q329" s="109"/>
      <c r="R329" s="289"/>
      <c r="S329" s="107"/>
      <c r="T329" s="106"/>
      <c r="U329" s="106"/>
      <c r="V329" s="127">
        <f>Table62689345679[[#This Row],[PO Value]]-Table62689345679[[#This Row],[Offer Value]]</f>
        <v>0</v>
      </c>
      <c r="W329" s="106"/>
      <c r="X329" s="106"/>
      <c r="Y329" s="217"/>
      <c r="Z329" s="7"/>
      <c r="AA329" s="7"/>
    </row>
    <row r="330" spans="1:27" ht="1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960"/>
      <c r="N330" s="106"/>
      <c r="O330" s="106"/>
      <c r="P330" s="106"/>
      <c r="Q330" s="109"/>
      <c r="R330" s="289"/>
      <c r="S330" s="107"/>
      <c r="T330" s="106"/>
      <c r="U330" s="106"/>
      <c r="V330" s="127">
        <f>Table62689345679[[#This Row],[PO Value]]-Table62689345679[[#This Row],[Offer Value]]</f>
        <v>0</v>
      </c>
      <c r="W330" s="106"/>
      <c r="X330" s="106"/>
      <c r="Y330" s="217"/>
      <c r="Z330" s="7"/>
      <c r="AA330" s="7"/>
    </row>
    <row r="331" spans="1:27" ht="1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960"/>
      <c r="N331" s="106"/>
      <c r="O331" s="106"/>
      <c r="P331" s="106"/>
      <c r="Q331" s="109"/>
      <c r="R331" s="289"/>
      <c r="S331" s="107"/>
      <c r="T331" s="106"/>
      <c r="U331" s="106"/>
      <c r="V331" s="127">
        <f>Table62689345679[[#This Row],[PO Value]]-Table62689345679[[#This Row],[Offer Value]]</f>
        <v>0</v>
      </c>
      <c r="W331" s="106"/>
      <c r="X331" s="106"/>
      <c r="Y331" s="217"/>
      <c r="Z331" s="7"/>
      <c r="AA331" s="7"/>
    </row>
    <row r="332" spans="1:27" ht="1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960"/>
      <c r="N332" s="106"/>
      <c r="O332" s="106"/>
      <c r="P332" s="106"/>
      <c r="Q332" s="109"/>
      <c r="R332" s="289"/>
      <c r="S332" s="107"/>
      <c r="T332" s="106"/>
      <c r="U332" s="106"/>
      <c r="V332" s="127">
        <f>Table62689345679[[#This Row],[PO Value]]-Table62689345679[[#This Row],[Offer Value]]</f>
        <v>0</v>
      </c>
      <c r="W332" s="106"/>
      <c r="X332" s="106"/>
      <c r="Y332" s="217"/>
      <c r="Z332" s="7"/>
      <c r="AA332" s="7"/>
    </row>
    <row r="333" spans="1:27" ht="15" customHeight="1">
      <c r="A333" s="106"/>
      <c r="B333" s="106"/>
      <c r="C333" s="110"/>
      <c r="D333" s="110"/>
      <c r="E333" s="110"/>
      <c r="F333" s="110"/>
      <c r="G333" s="110"/>
      <c r="H333" s="110"/>
      <c r="I333" s="110"/>
      <c r="J333" s="108"/>
      <c r="K333" s="108"/>
      <c r="L333" s="106"/>
      <c r="M333" s="960"/>
      <c r="N333" s="106"/>
      <c r="O333" s="106"/>
      <c r="P333" s="106"/>
      <c r="Q333" s="109"/>
      <c r="R333" s="289"/>
      <c r="S333" s="107"/>
      <c r="T333" s="106"/>
      <c r="U333" s="106"/>
      <c r="V333" s="127">
        <f>Table62689345679[[#This Row],[PO Value]]-Table62689345679[[#This Row],[Offer Value]]</f>
        <v>0</v>
      </c>
      <c r="W333" s="106"/>
      <c r="X333" s="106"/>
      <c r="Y333" s="217"/>
      <c r="Z333" s="7"/>
      <c r="AA333" s="7"/>
    </row>
    <row r="334" spans="1:27" ht="1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960"/>
      <c r="N334" s="106"/>
      <c r="O334" s="106"/>
      <c r="P334" s="106"/>
      <c r="Q334" s="109"/>
      <c r="R334" s="289"/>
      <c r="S334" s="107"/>
      <c r="T334" s="106"/>
      <c r="U334" s="106"/>
      <c r="V334" s="127">
        <f>Table62689345679[[#This Row],[PO Value]]-Table62689345679[[#This Row],[Offer Value]]</f>
        <v>0</v>
      </c>
      <c r="W334" s="106"/>
      <c r="X334" s="106"/>
      <c r="Y334" s="217"/>
      <c r="Z334" s="7"/>
      <c r="AA334" s="7"/>
    </row>
    <row r="335" spans="1:27" ht="1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960"/>
      <c r="N335" s="106"/>
      <c r="O335" s="106"/>
      <c r="P335" s="106"/>
      <c r="Q335" s="109"/>
      <c r="R335" s="289"/>
      <c r="S335" s="107"/>
      <c r="T335" s="106"/>
      <c r="U335" s="106"/>
      <c r="V335" s="127">
        <f>Table62689345679[[#This Row],[PO Value]]-Table62689345679[[#This Row],[Offer Value]]</f>
        <v>0</v>
      </c>
      <c r="W335" s="106"/>
      <c r="X335" s="106"/>
      <c r="Y335" s="217"/>
      <c r="Z335" s="7"/>
      <c r="AA335" s="7"/>
    </row>
    <row r="336" spans="1:27" ht="1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960"/>
      <c r="N336" s="106"/>
      <c r="O336" s="106"/>
      <c r="P336" s="106"/>
      <c r="Q336" s="109"/>
      <c r="R336" s="289"/>
      <c r="S336" s="107"/>
      <c r="T336" s="106"/>
      <c r="U336" s="106"/>
      <c r="V336" s="127">
        <f>Table62689345679[[#This Row],[PO Value]]-Table62689345679[[#This Row],[Offer Value]]</f>
        <v>0</v>
      </c>
      <c r="W336" s="106"/>
      <c r="X336" s="106"/>
      <c r="Y336" s="217"/>
      <c r="Z336" s="7"/>
      <c r="AA336" s="7"/>
    </row>
    <row r="337" spans="1:27" ht="1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960"/>
      <c r="N337" s="106"/>
      <c r="O337" s="106"/>
      <c r="P337" s="106"/>
      <c r="Q337" s="109"/>
      <c r="R337" s="289"/>
      <c r="S337" s="107"/>
      <c r="T337" s="106"/>
      <c r="U337" s="106"/>
      <c r="V337" s="127">
        <f>Table62689345679[[#This Row],[PO Value]]-Table62689345679[[#This Row],[Offer Value]]</f>
        <v>0</v>
      </c>
      <c r="W337" s="106"/>
      <c r="X337" s="106"/>
      <c r="Y337" s="217"/>
      <c r="Z337" s="7"/>
      <c r="AA337" s="7"/>
    </row>
    <row r="338" spans="1:27" ht="1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960"/>
      <c r="N338" s="106"/>
      <c r="O338" s="106"/>
      <c r="P338" s="106"/>
      <c r="Q338" s="109"/>
      <c r="R338" s="289"/>
      <c r="S338" s="107"/>
      <c r="T338" s="106"/>
      <c r="U338" s="106"/>
      <c r="V338" s="127">
        <f>Table62689345679[[#This Row],[PO Value]]-Table62689345679[[#This Row],[Offer Value]]</f>
        <v>0</v>
      </c>
      <c r="W338" s="106"/>
      <c r="X338" s="106"/>
      <c r="Y338" s="217"/>
      <c r="Z338" s="7"/>
      <c r="AA338" s="7"/>
    </row>
    <row r="339" spans="1:27" ht="1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960"/>
      <c r="N339" s="106"/>
      <c r="O339" s="106"/>
      <c r="P339" s="106"/>
      <c r="Q339" s="109"/>
      <c r="R339" s="289"/>
      <c r="S339" s="107"/>
      <c r="T339" s="106"/>
      <c r="U339" s="106"/>
      <c r="V339" s="127">
        <f>Table62689345679[[#This Row],[PO Value]]-Table62689345679[[#This Row],[Offer Value]]</f>
        <v>0</v>
      </c>
      <c r="W339" s="106"/>
      <c r="X339" s="106"/>
      <c r="Y339" s="217"/>
      <c r="Z339" s="7"/>
      <c r="AA339" s="7"/>
    </row>
    <row r="340" spans="1:27" ht="1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960"/>
      <c r="N340" s="106"/>
      <c r="O340" s="106"/>
      <c r="P340" s="106"/>
      <c r="Q340" s="109"/>
      <c r="R340" s="289"/>
      <c r="S340" s="107"/>
      <c r="T340" s="106"/>
      <c r="U340" s="106"/>
      <c r="V340" s="127">
        <f>Table62689345679[[#This Row],[PO Value]]-Table62689345679[[#This Row],[Offer Value]]</f>
        <v>0</v>
      </c>
      <c r="W340" s="106"/>
      <c r="X340" s="106"/>
      <c r="Y340" s="217"/>
      <c r="Z340" s="7"/>
      <c r="AA340" s="7"/>
    </row>
    <row r="341" spans="1:27" ht="1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960"/>
      <c r="N341" s="106"/>
      <c r="O341" s="106"/>
      <c r="P341" s="106"/>
      <c r="Q341" s="109"/>
      <c r="R341" s="289"/>
      <c r="S341" s="107"/>
      <c r="T341" s="106"/>
      <c r="U341" s="106"/>
      <c r="V341" s="127">
        <f>Table62689345679[[#This Row],[PO Value]]-Table62689345679[[#This Row],[Offer Value]]</f>
        <v>0</v>
      </c>
      <c r="W341" s="106"/>
      <c r="X341" s="106"/>
      <c r="Y341" s="217"/>
      <c r="Z341" s="7"/>
      <c r="AA341" s="7"/>
    </row>
    <row r="342" spans="1:27" ht="1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960"/>
      <c r="N342" s="106"/>
      <c r="O342" s="106"/>
      <c r="P342" s="106"/>
      <c r="Q342" s="109"/>
      <c r="R342" s="289"/>
      <c r="S342" s="107"/>
      <c r="T342" s="106"/>
      <c r="U342" s="106"/>
      <c r="V342" s="127">
        <f>Table62689345679[[#This Row],[PO Value]]-Table62689345679[[#This Row],[Offer Value]]</f>
        <v>0</v>
      </c>
      <c r="W342" s="106"/>
      <c r="X342" s="106"/>
      <c r="Y342" s="217"/>
      <c r="Z342" s="7"/>
      <c r="AA342" s="7"/>
    </row>
    <row r="343" spans="1:27" ht="1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960"/>
      <c r="N343" s="106"/>
      <c r="O343" s="106"/>
      <c r="P343" s="106"/>
      <c r="Q343" s="109"/>
      <c r="R343" s="289"/>
      <c r="S343" s="107"/>
      <c r="T343" s="106"/>
      <c r="U343" s="106"/>
      <c r="V343" s="127">
        <f>Table62689345679[[#This Row],[PO Value]]-Table62689345679[[#This Row],[Offer Value]]</f>
        <v>0</v>
      </c>
      <c r="W343" s="106"/>
      <c r="X343" s="106"/>
      <c r="Y343" s="217"/>
      <c r="Z343" s="7"/>
      <c r="AA343" s="7"/>
    </row>
    <row r="344" spans="1:27" ht="1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960"/>
      <c r="N344" s="106"/>
      <c r="O344" s="106"/>
      <c r="P344" s="106"/>
      <c r="Q344" s="109"/>
      <c r="R344" s="289"/>
      <c r="S344" s="107"/>
      <c r="T344" s="106"/>
      <c r="U344" s="106"/>
      <c r="V344" s="127">
        <f>Table62689345679[[#This Row],[PO Value]]-Table62689345679[[#This Row],[Offer Value]]</f>
        <v>0</v>
      </c>
      <c r="W344" s="106"/>
      <c r="X344" s="106"/>
      <c r="Y344" s="217"/>
      <c r="Z344" s="7"/>
      <c r="AA344" s="7"/>
    </row>
    <row r="345" spans="1:27" ht="1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960"/>
      <c r="N345" s="106"/>
      <c r="O345" s="106"/>
      <c r="P345" s="106"/>
      <c r="Q345" s="109"/>
      <c r="R345" s="289"/>
      <c r="S345" s="107"/>
      <c r="T345" s="106"/>
      <c r="U345" s="106"/>
      <c r="V345" s="127">
        <f>Table62689345679[[#This Row],[PO Value]]-Table62689345679[[#This Row],[Offer Value]]</f>
        <v>0</v>
      </c>
      <c r="W345" s="106"/>
      <c r="X345" s="106"/>
      <c r="Y345" s="217"/>
      <c r="Z345" s="7"/>
      <c r="AA345" s="7"/>
    </row>
    <row r="346" spans="1:27" ht="1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960"/>
      <c r="N346" s="106"/>
      <c r="O346" s="106"/>
      <c r="P346" s="106"/>
      <c r="Q346" s="109"/>
      <c r="R346" s="289"/>
      <c r="S346" s="107"/>
      <c r="T346" s="106"/>
      <c r="U346" s="106"/>
      <c r="V346" s="127">
        <f>Table62689345679[[#This Row],[PO Value]]-Table62689345679[[#This Row],[Offer Value]]</f>
        <v>0</v>
      </c>
      <c r="W346" s="106"/>
      <c r="X346" s="106"/>
      <c r="Y346" s="217"/>
      <c r="Z346" s="7"/>
      <c r="AA346" s="7"/>
    </row>
    <row r="347" spans="1:27" ht="1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960"/>
      <c r="N347" s="106"/>
      <c r="O347" s="106"/>
      <c r="P347" s="106"/>
      <c r="Q347" s="109"/>
      <c r="R347" s="289"/>
      <c r="S347" s="107"/>
      <c r="T347" s="106"/>
      <c r="U347" s="106"/>
      <c r="V347" s="127">
        <f>Table62689345679[[#This Row],[PO Value]]-Table62689345679[[#This Row],[Offer Value]]</f>
        <v>0</v>
      </c>
      <c r="W347" s="106"/>
      <c r="X347" s="106"/>
      <c r="Y347" s="217"/>
      <c r="Z347" s="7"/>
      <c r="AA347" s="7"/>
    </row>
    <row r="348" spans="1:27" ht="1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960"/>
      <c r="N348" s="106"/>
      <c r="O348" s="106"/>
      <c r="P348" s="106"/>
      <c r="Q348" s="109"/>
      <c r="R348" s="289"/>
      <c r="S348" s="107"/>
      <c r="T348" s="106"/>
      <c r="U348" s="106"/>
      <c r="V348" s="127">
        <f>Table62689345679[[#This Row],[PO Value]]-Table62689345679[[#This Row],[Offer Value]]</f>
        <v>0</v>
      </c>
      <c r="W348" s="106"/>
      <c r="X348" s="106"/>
      <c r="Y348" s="217"/>
      <c r="Z348" s="7"/>
      <c r="AA348" s="7"/>
    </row>
    <row r="349" spans="1:27" ht="1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960"/>
      <c r="N349" s="106"/>
      <c r="O349" s="106"/>
      <c r="P349" s="106"/>
      <c r="Q349" s="109"/>
      <c r="R349" s="289"/>
      <c r="S349" s="107"/>
      <c r="T349" s="106"/>
      <c r="U349" s="106"/>
      <c r="V349" s="127">
        <f>Table62689345679[[#This Row],[PO Value]]-Table62689345679[[#This Row],[Offer Value]]</f>
        <v>0</v>
      </c>
      <c r="W349" s="106"/>
      <c r="X349" s="106"/>
      <c r="Y349" s="217"/>
      <c r="Z349" s="7"/>
      <c r="AA349" s="7"/>
    </row>
    <row r="350" spans="1:27" ht="1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960"/>
      <c r="N350" s="106"/>
      <c r="O350" s="106"/>
      <c r="P350" s="106"/>
      <c r="Q350" s="109"/>
      <c r="R350" s="289"/>
      <c r="S350" s="107"/>
      <c r="T350" s="106"/>
      <c r="U350" s="106"/>
      <c r="V350" s="127">
        <f>Table62689345679[[#This Row],[PO Value]]-Table62689345679[[#This Row],[Offer Value]]</f>
        <v>0</v>
      </c>
      <c r="W350" s="106"/>
      <c r="X350" s="106"/>
      <c r="Y350" s="217"/>
      <c r="Z350" s="7"/>
      <c r="AA350" s="7"/>
    </row>
    <row r="351" spans="1:27" ht="1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960"/>
      <c r="N351" s="106"/>
      <c r="O351" s="106"/>
      <c r="P351" s="106"/>
      <c r="Q351" s="109"/>
      <c r="R351" s="289"/>
      <c r="S351" s="107"/>
      <c r="T351" s="106"/>
      <c r="U351" s="106"/>
      <c r="V351" s="127">
        <f>Table62689345679[[#This Row],[PO Value]]-Table62689345679[[#This Row],[Offer Value]]</f>
        <v>0</v>
      </c>
      <c r="W351" s="106"/>
      <c r="X351" s="106"/>
      <c r="Y351" s="217"/>
      <c r="Z351" s="7"/>
      <c r="AA351" s="7"/>
    </row>
    <row r="352" spans="1:27" ht="1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960"/>
      <c r="N352" s="106"/>
      <c r="O352" s="106"/>
      <c r="P352" s="106"/>
      <c r="Q352" s="109"/>
      <c r="R352" s="289"/>
      <c r="S352" s="107"/>
      <c r="T352" s="106"/>
      <c r="U352" s="106"/>
      <c r="V352" s="127">
        <f>Table62689345679[[#This Row],[PO Value]]-Table62689345679[[#This Row],[Offer Value]]</f>
        <v>0</v>
      </c>
      <c r="W352" s="106"/>
      <c r="X352" s="106"/>
      <c r="Y352" s="217"/>
      <c r="Z352" s="7"/>
      <c r="AA352" s="7"/>
    </row>
    <row r="353" spans="1:27" ht="1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960"/>
      <c r="N353" s="106"/>
      <c r="O353" s="106"/>
      <c r="P353" s="106"/>
      <c r="Q353" s="109"/>
      <c r="R353" s="289"/>
      <c r="S353" s="107"/>
      <c r="T353" s="106"/>
      <c r="U353" s="106"/>
      <c r="V353" s="127">
        <f>Table62689345679[[#This Row],[PO Value]]-Table62689345679[[#This Row],[Offer Value]]</f>
        <v>0</v>
      </c>
      <c r="W353" s="106"/>
      <c r="X353" s="106"/>
      <c r="Y353" s="217"/>
      <c r="Z353" s="7"/>
      <c r="AA353" s="7"/>
    </row>
    <row r="354" spans="1:27" ht="1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960"/>
      <c r="N354" s="106"/>
      <c r="O354" s="106"/>
      <c r="P354" s="106"/>
      <c r="Q354" s="109"/>
      <c r="R354" s="289"/>
      <c r="S354" s="107"/>
      <c r="T354" s="106"/>
      <c r="U354" s="106"/>
      <c r="V354" s="127">
        <f>Table62689345679[[#This Row],[PO Value]]-Table62689345679[[#This Row],[Offer Value]]</f>
        <v>0</v>
      </c>
      <c r="W354" s="106"/>
      <c r="X354" s="106"/>
      <c r="Y354" s="217"/>
      <c r="Z354" s="7"/>
      <c r="AA354" s="7"/>
    </row>
    <row r="355" spans="1:27" ht="1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960"/>
      <c r="N355" s="106"/>
      <c r="O355" s="106"/>
      <c r="P355" s="106"/>
      <c r="Q355" s="109"/>
      <c r="R355" s="289"/>
      <c r="S355" s="107"/>
      <c r="T355" s="106"/>
      <c r="U355" s="106"/>
      <c r="V355" s="127">
        <f>Table62689345679[[#This Row],[PO Value]]-Table62689345679[[#This Row],[Offer Value]]</f>
        <v>0</v>
      </c>
      <c r="W355" s="106"/>
      <c r="X355" s="106"/>
      <c r="Y355" s="217"/>
    </row>
    <row r="356" spans="1:27" ht="1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960"/>
      <c r="N356" s="106"/>
      <c r="O356" s="106"/>
      <c r="P356" s="106"/>
      <c r="Q356" s="109"/>
      <c r="R356" s="289"/>
      <c r="S356" s="107"/>
      <c r="T356" s="106"/>
      <c r="U356" s="106"/>
      <c r="V356" s="127">
        <f>Table62689345679[[#This Row],[PO Value]]-Table62689345679[[#This Row],[Offer Value]]</f>
        <v>0</v>
      </c>
      <c r="W356" s="106"/>
      <c r="X356" s="106"/>
      <c r="Y356" s="217"/>
    </row>
    <row r="357" spans="1:27" ht="1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960"/>
      <c r="N357" s="106"/>
      <c r="O357" s="106"/>
      <c r="P357" s="106"/>
      <c r="Q357" s="109"/>
      <c r="R357" s="289"/>
      <c r="S357" s="107"/>
      <c r="T357" s="106"/>
      <c r="U357" s="106"/>
      <c r="V357" s="127">
        <f>Table62689345679[[#This Row],[PO Value]]-Table62689345679[[#This Row],[Offer Value]]</f>
        <v>0</v>
      </c>
      <c r="W357" s="106"/>
      <c r="X357" s="106"/>
      <c r="Y357" s="217"/>
    </row>
    <row r="358" spans="1:27" ht="1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960"/>
      <c r="N358" s="106"/>
      <c r="O358" s="106"/>
      <c r="P358" s="106"/>
      <c r="Q358" s="109"/>
      <c r="R358" s="289"/>
      <c r="S358" s="107"/>
      <c r="T358" s="106"/>
      <c r="U358" s="106"/>
      <c r="V358" s="127">
        <f>Table62689345679[[#This Row],[PO Value]]-Table62689345679[[#This Row],[Offer Value]]</f>
        <v>0</v>
      </c>
      <c r="W358" s="106"/>
      <c r="X358" s="106"/>
      <c r="Y358" s="217"/>
    </row>
    <row r="359" spans="1:27" ht="1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960"/>
      <c r="N359" s="106"/>
      <c r="O359" s="106"/>
      <c r="P359" s="106"/>
      <c r="Q359" s="109"/>
      <c r="R359" s="289"/>
      <c r="S359" s="107"/>
      <c r="T359" s="106"/>
      <c r="U359" s="106"/>
      <c r="V359" s="127">
        <f>Table62689345679[[#This Row],[PO Value]]-Table62689345679[[#This Row],[Offer Value]]</f>
        <v>0</v>
      </c>
      <c r="W359" s="106"/>
      <c r="X359" s="106"/>
      <c r="Y359" s="217"/>
    </row>
    <row r="360" spans="1:27" ht="1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960"/>
      <c r="N360" s="106"/>
      <c r="O360" s="106"/>
      <c r="P360" s="106"/>
      <c r="Q360" s="109"/>
      <c r="R360" s="289"/>
      <c r="S360" s="107"/>
      <c r="T360" s="106"/>
      <c r="U360" s="106"/>
      <c r="V360" s="127">
        <f>Table62689345679[[#This Row],[PO Value]]-Table62689345679[[#This Row],[Offer Value]]</f>
        <v>0</v>
      </c>
      <c r="W360" s="106"/>
      <c r="X360" s="106"/>
      <c r="Y360" s="217"/>
    </row>
    <row r="361" spans="1:27" ht="1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960"/>
      <c r="N361" s="106"/>
      <c r="O361" s="106"/>
      <c r="P361" s="106"/>
      <c r="Q361" s="109"/>
      <c r="R361" s="289"/>
      <c r="S361" s="107"/>
      <c r="T361" s="106"/>
      <c r="U361" s="106"/>
      <c r="V361" s="127">
        <f>Table62689345679[[#This Row],[PO Value]]-Table62689345679[[#This Row],[Offer Value]]</f>
        <v>0</v>
      </c>
      <c r="W361" s="106"/>
      <c r="X361" s="106"/>
      <c r="Y361" s="217"/>
    </row>
    <row r="362" spans="1:27" ht="1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8"/>
      <c r="K362" s="108"/>
      <c r="L362" s="106"/>
      <c r="M362" s="960"/>
      <c r="N362" s="106"/>
      <c r="O362" s="106"/>
      <c r="P362" s="106"/>
      <c r="Q362" s="109"/>
      <c r="R362" s="289"/>
      <c r="S362" s="107"/>
      <c r="T362" s="106"/>
      <c r="U362" s="106"/>
      <c r="V362" s="127">
        <f>Table62689345679[[#This Row],[PO Value]]-Table62689345679[[#This Row],[Offer Value]]</f>
        <v>0</v>
      </c>
      <c r="W362" s="106"/>
      <c r="X362" s="106"/>
      <c r="Y362" s="217"/>
    </row>
    <row r="363" spans="1:27" ht="1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960"/>
      <c r="N363" s="106"/>
      <c r="O363" s="106"/>
      <c r="P363" s="106"/>
      <c r="Q363" s="109"/>
      <c r="R363" s="289"/>
      <c r="S363" s="107"/>
      <c r="T363" s="106"/>
      <c r="U363" s="106"/>
      <c r="V363" s="127">
        <f>Table62689345679[[#This Row],[PO Value]]-Table62689345679[[#This Row],[Offer Value]]</f>
        <v>0</v>
      </c>
      <c r="W363" s="106"/>
      <c r="X363" s="106"/>
      <c r="Y363" s="217"/>
    </row>
    <row r="364" spans="1:27" ht="1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960"/>
      <c r="N364" s="106"/>
      <c r="O364" s="106"/>
      <c r="P364" s="106"/>
      <c r="Q364" s="109"/>
      <c r="R364" s="289"/>
      <c r="S364" s="107"/>
      <c r="T364" s="106"/>
      <c r="U364" s="106"/>
      <c r="V364" s="127">
        <f>Table62689345679[[#This Row],[PO Value]]-Table62689345679[[#This Row],[Offer Value]]</f>
        <v>0</v>
      </c>
      <c r="W364" s="106"/>
      <c r="X364" s="106"/>
      <c r="Y364" s="217"/>
    </row>
    <row r="365" spans="1:27" ht="1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960"/>
      <c r="N365" s="106"/>
      <c r="O365" s="106"/>
      <c r="P365" s="106"/>
      <c r="Q365" s="109"/>
      <c r="R365" s="289"/>
      <c r="S365" s="107"/>
      <c r="T365" s="106"/>
      <c r="U365" s="106"/>
      <c r="V365" s="127">
        <f>Table62689345679[[#This Row],[PO Value]]-Table62689345679[[#This Row],[Offer Value]]</f>
        <v>0</v>
      </c>
      <c r="W365" s="106"/>
      <c r="X365" s="106"/>
      <c r="Y365" s="217"/>
    </row>
    <row r="366" spans="1:27" ht="1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960"/>
      <c r="N366" s="106"/>
      <c r="O366" s="106"/>
      <c r="P366" s="106"/>
      <c r="Q366" s="109"/>
      <c r="R366" s="289"/>
      <c r="S366" s="107"/>
      <c r="T366" s="106"/>
      <c r="U366" s="106"/>
      <c r="V366" s="127">
        <f>Table62689345679[[#This Row],[PO Value]]-Table62689345679[[#This Row],[Offer Value]]</f>
        <v>0</v>
      </c>
      <c r="W366" s="106"/>
      <c r="X366" s="106"/>
      <c r="Y366" s="217"/>
    </row>
    <row r="367" spans="1:27" ht="1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960"/>
      <c r="N367" s="106"/>
      <c r="O367" s="106"/>
      <c r="P367" s="106"/>
      <c r="Q367" s="109"/>
      <c r="R367" s="289"/>
      <c r="S367" s="107"/>
      <c r="T367" s="106"/>
      <c r="U367" s="106"/>
      <c r="V367" s="127">
        <f>Table62689345679[[#This Row],[PO Value]]-Table62689345679[[#This Row],[Offer Value]]</f>
        <v>0</v>
      </c>
      <c r="W367" s="106"/>
      <c r="X367" s="106"/>
      <c r="Y367" s="217"/>
    </row>
    <row r="368" spans="1:27" ht="1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960"/>
      <c r="N368" s="106"/>
      <c r="O368" s="106"/>
      <c r="P368" s="106"/>
      <c r="Q368" s="109"/>
      <c r="R368" s="289"/>
      <c r="S368" s="107"/>
      <c r="T368" s="106"/>
      <c r="U368" s="106"/>
      <c r="V368" s="127">
        <f>Table62689345679[[#This Row],[PO Value]]-Table62689345679[[#This Row],[Offer Value]]</f>
        <v>0</v>
      </c>
      <c r="W368" s="106"/>
      <c r="X368" s="106"/>
      <c r="Y368" s="217"/>
    </row>
    <row r="369" spans="1:25" ht="1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960"/>
      <c r="N369" s="128"/>
      <c r="O369" s="128"/>
      <c r="P369" s="106"/>
      <c r="Q369" s="109"/>
      <c r="R369" s="619"/>
      <c r="S369" s="130"/>
      <c r="T369" s="106"/>
      <c r="U369" s="129"/>
      <c r="V369" s="127">
        <f>Table62689345679[[#This Row],[PO Value]]-Table62689345679[[#This Row],[Offer Value]]</f>
        <v>0</v>
      </c>
      <c r="W369" s="106"/>
      <c r="X369" s="106"/>
      <c r="Y369" s="620"/>
    </row>
    <row r="370" spans="1:25" ht="15" customHeight="1">
      <c r="A370" s="118"/>
      <c r="B370" s="119"/>
      <c r="C370" s="120"/>
      <c r="D370" s="120"/>
      <c r="E370" s="120"/>
      <c r="F370" s="120"/>
      <c r="G370" s="120"/>
      <c r="H370" s="120"/>
      <c r="I370" s="120"/>
      <c r="J370" s="121"/>
      <c r="K370" s="121"/>
      <c r="L370" s="120"/>
      <c r="M370" s="961"/>
      <c r="N370" s="131"/>
      <c r="O370" s="131"/>
      <c r="P370" s="123"/>
      <c r="Q370" s="124"/>
      <c r="R370" s="122"/>
      <c r="S370" s="125"/>
      <c r="T370" s="123"/>
      <c r="U370" s="131"/>
      <c r="V370" s="127">
        <f>Table62689345679[[#This Row],[PO Value]]-Table62689345679[[#This Row],[Offer Value]]</f>
        <v>0</v>
      </c>
      <c r="W370" s="123"/>
      <c r="X370" s="123"/>
      <c r="Y370" s="621"/>
    </row>
    <row r="371" spans="1:25" ht="15" customHeight="1">
      <c r="A371" s="118"/>
      <c r="B371" s="119"/>
      <c r="C371" s="120"/>
      <c r="D371" s="120"/>
      <c r="E371" s="120"/>
      <c r="F371" s="120"/>
      <c r="G371" s="120"/>
      <c r="H371" s="120"/>
      <c r="I371" s="120"/>
      <c r="J371" s="121"/>
      <c r="K371" s="121"/>
      <c r="L371" s="120"/>
      <c r="M371" s="961"/>
      <c r="N371" s="131"/>
      <c r="O371" s="131"/>
      <c r="P371" s="123"/>
      <c r="Q371" s="124"/>
      <c r="R371" s="122"/>
      <c r="S371" s="125"/>
      <c r="T371" s="123"/>
      <c r="U371" s="131"/>
      <c r="V371" s="127">
        <f>Table62689345679[[#This Row],[PO Value]]-Table62689345679[[#This Row],[Offer Value]]</f>
        <v>0</v>
      </c>
      <c r="W371" s="123"/>
      <c r="X371" s="123"/>
      <c r="Y371" s="621"/>
    </row>
    <row r="372" spans="1:25" ht="15" customHeight="1">
      <c r="A372" s="118"/>
      <c r="B372" s="126"/>
      <c r="C372" s="120"/>
      <c r="D372" s="120"/>
      <c r="E372" s="120"/>
      <c r="F372" s="120"/>
      <c r="G372" s="120"/>
      <c r="H372" s="120"/>
      <c r="I372" s="120"/>
      <c r="J372" s="121"/>
      <c r="K372" s="121"/>
      <c r="L372" s="120"/>
      <c r="M372" s="961"/>
      <c r="N372" s="131"/>
      <c r="O372" s="131"/>
      <c r="P372" s="123"/>
      <c r="Q372" s="124"/>
      <c r="R372" s="122"/>
      <c r="S372" s="125"/>
      <c r="T372" s="131"/>
      <c r="U372" s="131"/>
      <c r="V372" s="127">
        <f>Table62689345679[[#This Row],[PO Value]]-Table62689345679[[#This Row],[Offer Value]]</f>
        <v>0</v>
      </c>
      <c r="W372" s="123"/>
      <c r="X372" s="123"/>
      <c r="Y372" s="621"/>
    </row>
    <row r="373" spans="1:25" ht="15" customHeight="1">
      <c r="A373" s="118"/>
      <c r="B373" s="119"/>
      <c r="C373" s="120"/>
      <c r="D373" s="120"/>
      <c r="E373" s="120"/>
      <c r="F373" s="120"/>
      <c r="G373" s="120"/>
      <c r="H373" s="120"/>
      <c r="I373" s="120"/>
      <c r="J373" s="121"/>
      <c r="K373" s="121"/>
      <c r="L373" s="120"/>
      <c r="M373" s="961"/>
      <c r="N373" s="131"/>
      <c r="O373" s="131"/>
      <c r="P373" s="123"/>
      <c r="Q373" s="124"/>
      <c r="R373" s="122"/>
      <c r="S373" s="125"/>
      <c r="T373" s="123"/>
      <c r="U373" s="131"/>
      <c r="V373" s="127">
        <f>Table62689345679[[#This Row],[PO Value]]-Table62689345679[[#This Row],[Offer Value]]</f>
        <v>0</v>
      </c>
      <c r="W373" s="123"/>
      <c r="X373" s="123"/>
      <c r="Y373" s="621"/>
    </row>
    <row r="374" spans="1:25" ht="15" customHeight="1">
      <c r="A374" s="33"/>
      <c r="B374" s="34"/>
      <c r="C374" s="35"/>
      <c r="D374" s="35"/>
      <c r="E374" s="35"/>
      <c r="F374" s="35"/>
      <c r="G374" s="35"/>
      <c r="H374" s="35"/>
      <c r="I374" s="35"/>
      <c r="J374" s="36"/>
      <c r="K374" s="36"/>
      <c r="L374" s="35"/>
      <c r="M374" s="962"/>
      <c r="N374" s="38"/>
      <c r="O374" s="38"/>
      <c r="P374" s="39"/>
      <c r="Q374" s="98"/>
      <c r="R374" s="37"/>
      <c r="S374" s="40"/>
      <c r="T374" s="39"/>
      <c r="U374" s="41"/>
      <c r="V374" s="127">
        <f>Table62689345679[[#This Row],[PO Value]]-Table62689345679[[#This Row],[Offer Value]]</f>
        <v>0</v>
      </c>
      <c r="W374" s="39"/>
      <c r="X374" s="39"/>
      <c r="Y374" s="622"/>
    </row>
    <row r="375" spans="1:25" ht="15" customHeight="1">
      <c r="A375" s="33"/>
      <c r="B375" s="34"/>
      <c r="C375" s="35"/>
      <c r="D375" s="35"/>
      <c r="E375" s="35"/>
      <c r="F375" s="35"/>
      <c r="G375" s="35"/>
      <c r="H375" s="35"/>
      <c r="I375" s="35"/>
      <c r="J375" s="36"/>
      <c r="K375" s="36"/>
      <c r="L375" s="35"/>
      <c r="M375" s="962"/>
      <c r="N375" s="38"/>
      <c r="O375" s="38"/>
      <c r="P375" s="39"/>
      <c r="Q375" s="98"/>
      <c r="R375" s="37"/>
      <c r="S375" s="40"/>
      <c r="T375" s="39"/>
      <c r="U375" s="41"/>
      <c r="V375" s="127">
        <f>Table62689345679[[#This Row],[PO Value]]-Table62689345679[[#This Row],[Offer Value]]</f>
        <v>0</v>
      </c>
      <c r="W375" s="39"/>
      <c r="X375" s="39"/>
      <c r="Y375" s="622"/>
    </row>
    <row r="376" spans="1:25" ht="15" customHeight="1">
      <c r="A376" s="33"/>
      <c r="B376" s="34"/>
      <c r="C376" s="35"/>
      <c r="D376" s="35"/>
      <c r="E376" s="35"/>
      <c r="F376" s="35"/>
      <c r="G376" s="35"/>
      <c r="H376" s="35"/>
      <c r="I376" s="35"/>
      <c r="J376" s="36"/>
      <c r="K376" s="36"/>
      <c r="L376" s="35"/>
      <c r="M376" s="962"/>
      <c r="N376" s="38"/>
      <c r="O376" s="38"/>
      <c r="P376" s="39"/>
      <c r="Q376" s="98"/>
      <c r="R376" s="37"/>
      <c r="S376" s="40"/>
      <c r="T376" s="39"/>
      <c r="U376" s="41"/>
      <c r="V376" s="127">
        <f>Table62689345679[[#This Row],[PO Value]]-Table62689345679[[#This Row],[Offer Value]]</f>
        <v>0</v>
      </c>
      <c r="W376" s="39"/>
      <c r="X376" s="39"/>
      <c r="Y376" s="622"/>
    </row>
    <row r="377" spans="1:25" ht="15" customHeight="1">
      <c r="A377" s="33"/>
      <c r="B377" s="34"/>
      <c r="C377" s="35"/>
      <c r="D377" s="35"/>
      <c r="E377" s="35"/>
      <c r="F377" s="35"/>
      <c r="G377" s="35"/>
      <c r="H377" s="35"/>
      <c r="I377" s="35"/>
      <c r="J377" s="36"/>
      <c r="K377" s="36"/>
      <c r="L377" s="35"/>
      <c r="M377" s="962"/>
      <c r="N377" s="38"/>
      <c r="O377" s="38"/>
      <c r="P377" s="39"/>
      <c r="Q377" s="98"/>
      <c r="R377" s="37"/>
      <c r="S377" s="40"/>
      <c r="T377" s="39"/>
      <c r="U377" s="41"/>
      <c r="V377" s="127">
        <f>Table62689345679[[#This Row],[PO Value]]-Table62689345679[[#This Row],[Offer Value]]</f>
        <v>0</v>
      </c>
      <c r="W377" s="39"/>
      <c r="X377" s="39"/>
      <c r="Y377" s="622"/>
    </row>
    <row r="378" spans="1:25" ht="15" customHeight="1">
      <c r="A378" s="33"/>
      <c r="B378" s="34"/>
      <c r="C378" s="35"/>
      <c r="D378" s="35"/>
      <c r="E378" s="35"/>
      <c r="F378" s="35"/>
      <c r="G378" s="35"/>
      <c r="H378" s="35"/>
      <c r="I378" s="35"/>
      <c r="J378" s="36"/>
      <c r="K378" s="36"/>
      <c r="L378" s="35"/>
      <c r="M378" s="962"/>
      <c r="N378" s="38"/>
      <c r="O378" s="38"/>
      <c r="P378" s="39"/>
      <c r="Q378" s="98"/>
      <c r="R378" s="37"/>
      <c r="S378" s="40"/>
      <c r="T378" s="39"/>
      <c r="U378" s="41"/>
      <c r="V378" s="127">
        <f>Table62689345679[[#This Row],[PO Value]]-Table62689345679[[#This Row],[Offer Value]]</f>
        <v>0</v>
      </c>
      <c r="W378" s="39"/>
      <c r="X378" s="39"/>
      <c r="Y378" s="622"/>
    </row>
    <row r="379" spans="1:25" ht="15" customHeight="1">
      <c r="A379" s="33"/>
      <c r="B379" s="34"/>
      <c r="C379" s="35"/>
      <c r="D379" s="35"/>
      <c r="E379" s="35"/>
      <c r="F379" s="35"/>
      <c r="G379" s="35"/>
      <c r="H379" s="35"/>
      <c r="I379" s="35"/>
      <c r="J379" s="36"/>
      <c r="K379" s="36"/>
      <c r="L379" s="35"/>
      <c r="M379" s="962"/>
      <c r="N379" s="38"/>
      <c r="O379" s="38"/>
      <c r="P379" s="39"/>
      <c r="Q379" s="98"/>
      <c r="R379" s="37"/>
      <c r="S379" s="40"/>
      <c r="T379" s="39"/>
      <c r="U379" s="41"/>
      <c r="V379" s="127">
        <f>Table62689345679[[#This Row],[PO Value]]-Table62689345679[[#This Row],[Offer Value]]</f>
        <v>0</v>
      </c>
      <c r="W379" s="39"/>
      <c r="X379" s="39"/>
      <c r="Y379" s="622"/>
    </row>
    <row r="380" spans="1:25" ht="15" customHeight="1">
      <c r="A380" s="33"/>
      <c r="B380" s="34"/>
      <c r="C380" s="35"/>
      <c r="D380" s="35"/>
      <c r="E380" s="35"/>
      <c r="F380" s="35"/>
      <c r="G380" s="35"/>
      <c r="H380" s="35"/>
      <c r="I380" s="35"/>
      <c r="J380" s="36"/>
      <c r="K380" s="36"/>
      <c r="L380" s="35"/>
      <c r="M380" s="962"/>
      <c r="N380" s="38"/>
      <c r="O380" s="38"/>
      <c r="P380" s="39"/>
      <c r="Q380" s="98"/>
      <c r="R380" s="37"/>
      <c r="S380" s="40"/>
      <c r="T380" s="39"/>
      <c r="U380" s="41"/>
      <c r="V380" s="127">
        <f>Table62689345679[[#This Row],[PO Value]]-Table62689345679[[#This Row],[Offer Value]]</f>
        <v>0</v>
      </c>
      <c r="W380" s="39"/>
      <c r="X380" s="39"/>
      <c r="Y380" s="622"/>
    </row>
    <row r="381" spans="1:25" ht="15" customHeight="1">
      <c r="A381" s="33"/>
      <c r="B381" s="34"/>
      <c r="C381" s="35"/>
      <c r="D381" s="35"/>
      <c r="E381" s="35"/>
      <c r="F381" s="35"/>
      <c r="G381" s="35"/>
      <c r="H381" s="35"/>
      <c r="I381" s="35"/>
      <c r="J381" s="36"/>
      <c r="K381" s="36"/>
      <c r="L381" s="35"/>
      <c r="M381" s="962"/>
      <c r="N381" s="38"/>
      <c r="O381" s="38"/>
      <c r="P381" s="39"/>
      <c r="Q381" s="98"/>
      <c r="R381" s="37"/>
      <c r="S381" s="40"/>
      <c r="T381" s="39"/>
      <c r="U381" s="41"/>
      <c r="V381" s="127">
        <f>Table62689345679[[#This Row],[PO Value]]-Table62689345679[[#This Row],[Offer Value]]</f>
        <v>0</v>
      </c>
      <c r="W381" s="39"/>
      <c r="X381" s="39"/>
      <c r="Y381" s="622"/>
    </row>
    <row r="382" spans="1:25" ht="15" customHeight="1">
      <c r="A382" s="33"/>
      <c r="B382" s="34"/>
      <c r="C382" s="35"/>
      <c r="D382" s="35"/>
      <c r="E382" s="35"/>
      <c r="F382" s="35"/>
      <c r="G382" s="35"/>
      <c r="H382" s="35"/>
      <c r="I382" s="35"/>
      <c r="J382" s="36"/>
      <c r="K382" s="36"/>
      <c r="L382" s="35"/>
      <c r="M382" s="962"/>
      <c r="N382" s="38"/>
      <c r="O382" s="38"/>
      <c r="P382" s="39"/>
      <c r="Q382" s="98"/>
      <c r="R382" s="37"/>
      <c r="S382" s="40"/>
      <c r="T382" s="39"/>
      <c r="U382" s="41"/>
      <c r="V382" s="127">
        <f>Table62689345679[[#This Row],[PO Value]]-Table62689345679[[#This Row],[Offer Value]]</f>
        <v>0</v>
      </c>
      <c r="W382" s="39"/>
      <c r="X382" s="39"/>
      <c r="Y382" s="622"/>
    </row>
    <row r="383" spans="1:25" ht="15" customHeight="1">
      <c r="A383" s="42"/>
      <c r="B383" s="43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963"/>
      <c r="N383" s="38"/>
      <c r="O383" s="38"/>
      <c r="P383" s="7"/>
      <c r="Q383" s="99"/>
      <c r="R383" s="623"/>
      <c r="S383" s="46"/>
      <c r="T383" s="7"/>
      <c r="U383" s="47"/>
      <c r="V383" s="127">
        <f>Table62689345679[[#This Row],[PO Value]]-Table62689345679[[#This Row],[Offer Value]]</f>
        <v>0</v>
      </c>
      <c r="W383" s="7"/>
      <c r="X383" s="7"/>
      <c r="Y383" s="624"/>
    </row>
    <row r="384" spans="1:25" ht="15" customHeight="1">
      <c r="N384" s="5"/>
      <c r="Q384" s="2359"/>
      <c r="R384" s="1"/>
      <c r="S384" s="8"/>
      <c r="T384"/>
      <c r="Y384" s="428"/>
    </row>
    <row r="385" spans="1:25" ht="15" customHeight="1">
      <c r="N385" s="5"/>
      <c r="Q385" s="2359"/>
      <c r="R385" s="1"/>
      <c r="S385" s="8"/>
      <c r="T385"/>
      <c r="Y385" s="428"/>
    </row>
    <row r="386" spans="1:25" ht="15" customHeight="1">
      <c r="N386" s="5"/>
      <c r="Q386" s="2359"/>
      <c r="R386" s="1"/>
      <c r="S386" s="8"/>
      <c r="T386"/>
      <c r="Y386" s="428"/>
    </row>
    <row r="387" spans="1:25" ht="15" customHeight="1">
      <c r="N387" s="5"/>
      <c r="Q387" s="2359"/>
      <c r="R387" s="1"/>
      <c r="S387" s="8"/>
      <c r="T387"/>
      <c r="Y387" s="428"/>
    </row>
    <row r="388" spans="1:25" ht="15" customHeight="1">
      <c r="N388" s="5"/>
      <c r="Q388" s="2359"/>
      <c r="R388" s="1"/>
      <c r="S388" s="8"/>
      <c r="T388"/>
      <c r="Y388" s="428"/>
    </row>
    <row r="389" spans="1:25" ht="15" customHeight="1">
      <c r="N389" s="5"/>
      <c r="Q389" s="2359"/>
      <c r="R389" s="1"/>
      <c r="S389" s="8"/>
      <c r="T389"/>
      <c r="Y389" s="428"/>
    </row>
    <row r="390" spans="1:25" ht="15" customHeight="1">
      <c r="N390" s="5"/>
      <c r="Q390" s="2359"/>
      <c r="R390" s="1"/>
      <c r="S390" s="8"/>
      <c r="T390"/>
      <c r="Y390" s="428"/>
    </row>
    <row r="391" spans="1:25" ht="15" customHeight="1">
      <c r="N391" s="5"/>
      <c r="Q391" s="2359"/>
      <c r="R391" s="1"/>
      <c r="S391" s="8"/>
      <c r="T391"/>
      <c r="Y391" s="428"/>
    </row>
    <row r="392" spans="1:25" ht="15" customHeight="1">
      <c r="N392" s="5"/>
      <c r="Q392" s="2359"/>
      <c r="R392" s="1"/>
      <c r="S392" s="8"/>
      <c r="T392"/>
      <c r="Y392" s="428"/>
    </row>
    <row r="393" spans="1:25" ht="15" customHeight="1">
      <c r="N393" s="5"/>
      <c r="Q393" s="2359"/>
      <c r="R393" s="1"/>
      <c r="S393" s="8"/>
      <c r="T393"/>
      <c r="Y393" s="428"/>
    </row>
    <row r="394" spans="1:25" ht="15" customHeight="1">
      <c r="N394" s="5"/>
      <c r="Q394" s="2359"/>
      <c r="R394" s="1"/>
      <c r="S394" s="8"/>
      <c r="T394"/>
      <c r="Y394" s="428"/>
    </row>
    <row r="395" spans="1:25" ht="15" customHeight="1">
      <c r="N395" s="5"/>
      <c r="Q395" s="2359"/>
      <c r="R395" s="1"/>
      <c r="S395" s="8"/>
      <c r="T395"/>
      <c r="Y395" s="428"/>
    </row>
    <row r="396" spans="1:25" ht="15" customHeight="1">
      <c r="N396" s="5"/>
      <c r="Q396" s="2359"/>
      <c r="R396" s="1"/>
      <c r="S396" s="8"/>
      <c r="T396"/>
      <c r="Y396" s="428"/>
    </row>
    <row r="397" spans="1:25" ht="15" customHeight="1">
      <c r="N397" s="5"/>
      <c r="Q397" s="2359"/>
      <c r="R397" s="1"/>
      <c r="S397" s="8"/>
      <c r="T397"/>
      <c r="Y397" s="428"/>
    </row>
    <row r="398" spans="1:25" ht="15" customHeight="1">
      <c r="N398" s="5"/>
      <c r="Q398" s="2359"/>
      <c r="R398" s="1"/>
      <c r="S398" s="8"/>
      <c r="T398"/>
      <c r="Y398" s="428"/>
    </row>
    <row r="399" spans="1:25" ht="15" customHeight="1">
      <c r="A399" s="473"/>
      <c r="B399" s="479"/>
      <c r="C399" s="474"/>
      <c r="D399" s="474"/>
      <c r="E399" s="474"/>
      <c r="F399" s="474"/>
      <c r="G399" s="474"/>
      <c r="H399" s="474"/>
      <c r="I399" s="474"/>
      <c r="J399" s="475"/>
      <c r="K399" s="475"/>
      <c r="L399" s="474"/>
      <c r="M399" s="1337"/>
      <c r="N399" s="477"/>
      <c r="O399" s="477"/>
      <c r="P399" s="477"/>
      <c r="Q399" s="249"/>
      <c r="R399" s="476"/>
      <c r="S399" s="476"/>
      <c r="T399" s="476"/>
      <c r="U399" s="477"/>
      <c r="V399" s="284">
        <f>Table62689345679101134[[#This Row],[PO Value]]-Table62689345679101134[[#This Row],[Offer Value]]</f>
        <v>0</v>
      </c>
      <c r="W399" s="474"/>
      <c r="X399" s="478"/>
      <c r="Y399" s="647"/>
    </row>
    <row r="400" spans="1:25" ht="15" customHeight="1">
      <c r="A400" s="473"/>
      <c r="B400" s="479"/>
      <c r="C400" s="474"/>
      <c r="D400" s="474"/>
      <c r="E400" s="474"/>
      <c r="F400" s="474"/>
      <c r="G400" s="474"/>
      <c r="H400" s="474"/>
      <c r="I400" s="474"/>
      <c r="J400" s="475"/>
      <c r="K400" s="475"/>
      <c r="L400" s="474"/>
      <c r="M400" s="1337"/>
      <c r="N400" s="477"/>
      <c r="O400" s="477"/>
      <c r="P400" s="477"/>
      <c r="Q400" s="249"/>
      <c r="R400" s="476"/>
      <c r="S400" s="476"/>
      <c r="T400" s="476"/>
      <c r="U400" s="477"/>
      <c r="V400" s="284">
        <f>Table62689345679101134[[#This Row],[PO Value]]-Table62689345679101134[[#This Row],[Offer Value]]</f>
        <v>0</v>
      </c>
      <c r="W400" s="474"/>
      <c r="X400" s="478"/>
      <c r="Y400" s="647"/>
    </row>
    <row r="401" spans="1:25" ht="15" customHeight="1">
      <c r="A401" s="473"/>
      <c r="B401" s="479"/>
      <c r="C401" s="474"/>
      <c r="D401" s="474"/>
      <c r="E401" s="474"/>
      <c r="F401" s="474"/>
      <c r="G401" s="474"/>
      <c r="H401" s="474"/>
      <c r="I401" s="474"/>
      <c r="J401" s="475"/>
      <c r="K401" s="475"/>
      <c r="L401" s="474"/>
      <c r="M401" s="1337"/>
      <c r="N401" s="477"/>
      <c r="O401" s="477"/>
      <c r="P401" s="477"/>
      <c r="Q401" s="249"/>
      <c r="R401" s="476"/>
      <c r="S401" s="476"/>
      <c r="T401" s="476"/>
      <c r="U401" s="477"/>
      <c r="V401" s="284">
        <f>Table62689345679101134[[#This Row],[PO Value]]-Table62689345679101134[[#This Row],[Offer Value]]</f>
        <v>0</v>
      </c>
      <c r="W401" s="474"/>
      <c r="X401" s="478"/>
      <c r="Y401" s="647"/>
    </row>
    <row r="402" spans="1:25" ht="15" customHeight="1">
      <c r="A402" s="473">
        <v>240</v>
      </c>
      <c r="B402" s="479"/>
      <c r="C402" s="474"/>
      <c r="D402" s="474"/>
      <c r="E402" s="474"/>
      <c r="F402" s="474"/>
      <c r="G402" s="474"/>
      <c r="H402" s="474"/>
      <c r="I402" s="474"/>
      <c r="J402" s="475"/>
      <c r="K402" s="475"/>
      <c r="L402" s="474"/>
      <c r="M402" s="1337"/>
      <c r="N402" s="477"/>
      <c r="O402" s="477"/>
      <c r="P402" s="477"/>
      <c r="Q402" s="249"/>
      <c r="R402" s="476"/>
      <c r="S402" s="476"/>
      <c r="T402" s="476"/>
      <c r="U402" s="477"/>
      <c r="V402" s="284">
        <f>Table62689345679101134[[#This Row],[PO Value]]-Table62689345679101134[[#This Row],[Offer Value]]</f>
        <v>0</v>
      </c>
      <c r="W402" s="474"/>
      <c r="X402" s="478"/>
      <c r="Y402" s="647"/>
    </row>
    <row r="403" spans="1:25" ht="15" customHeight="1">
      <c r="B403" s="262"/>
      <c r="M403" s="964"/>
      <c r="N403" s="87"/>
      <c r="O403" s="87"/>
      <c r="P403" s="2"/>
      <c r="Q403" s="2360"/>
      <c r="T403" s="2"/>
      <c r="U403" s="2"/>
      <c r="V403" s="268"/>
      <c r="W403" s="2"/>
    </row>
    <row r="404" spans="1:25" ht="15" customHeight="1">
      <c r="B404" s="262"/>
      <c r="M404" s="964"/>
      <c r="N404" s="87"/>
      <c r="O404" s="87"/>
      <c r="P404" s="2"/>
      <c r="Q404" s="2360"/>
      <c r="T404" s="2"/>
      <c r="U404" s="2"/>
      <c r="V404" s="268"/>
      <c r="W404" s="2"/>
    </row>
    <row r="405" spans="1:25" ht="15" customHeight="1">
      <c r="B405" s="262"/>
      <c r="M405" s="964"/>
      <c r="N405" s="87"/>
      <c r="O405" s="87"/>
      <c r="P405" s="2"/>
      <c r="Q405" s="2360"/>
      <c r="T405" s="2"/>
      <c r="U405" s="2"/>
      <c r="V405" s="268"/>
      <c r="W405" s="2"/>
    </row>
    <row r="406" spans="1:25" ht="15" customHeight="1">
      <c r="B406" s="262"/>
      <c r="M406" s="964"/>
      <c r="N406" s="87"/>
      <c r="O406" s="87"/>
      <c r="P406" s="2"/>
      <c r="Q406" s="2360"/>
      <c r="T406" s="2"/>
      <c r="U406" s="2"/>
      <c r="V406" s="268"/>
      <c r="W406" s="2"/>
    </row>
    <row r="407" spans="1:25" ht="15" customHeight="1">
      <c r="B407" s="262"/>
      <c r="M407" s="964"/>
      <c r="N407" s="87"/>
      <c r="O407" s="87"/>
      <c r="P407" s="2"/>
      <c r="Q407" s="2360"/>
      <c r="T407" s="2"/>
      <c r="U407" s="2"/>
      <c r="V407" s="268"/>
      <c r="W407" s="2"/>
    </row>
    <row r="408" spans="1:25" ht="15" customHeight="1">
      <c r="B408" s="262"/>
      <c r="M408" s="964"/>
      <c r="N408" s="87"/>
      <c r="O408" s="87"/>
      <c r="P408" s="2"/>
      <c r="Q408" s="2360"/>
      <c r="T408" s="2"/>
      <c r="U408" s="2"/>
      <c r="V408" s="268"/>
      <c r="W408" s="2"/>
    </row>
    <row r="409" spans="1:25" ht="15" customHeight="1">
      <c r="B409" s="262"/>
      <c r="M409" s="964"/>
      <c r="N409" s="87"/>
      <c r="O409" s="87"/>
      <c r="P409" s="2"/>
      <c r="Q409" s="2360"/>
      <c r="T409" s="2"/>
      <c r="U409" s="2"/>
      <c r="V409" s="268"/>
      <c r="W409" s="2"/>
    </row>
    <row r="410" spans="1:25" ht="15" customHeight="1">
      <c r="B410" s="262"/>
      <c r="M410" s="964"/>
      <c r="N410" s="87"/>
      <c r="O410" s="87"/>
      <c r="P410" s="2"/>
      <c r="Q410" s="2360"/>
      <c r="T410" s="2"/>
      <c r="U410" s="2"/>
      <c r="V410" s="268"/>
      <c r="W410" s="2"/>
    </row>
    <row r="411" spans="1:25" ht="15" customHeight="1">
      <c r="B411" s="262"/>
      <c r="M411" s="1335"/>
      <c r="N411" s="300"/>
      <c r="O411" s="300"/>
      <c r="P411" s="2"/>
      <c r="Q411" s="2360"/>
      <c r="T411" s="2"/>
      <c r="U411" s="2"/>
      <c r="V411" s="268"/>
      <c r="W411" s="2"/>
    </row>
  </sheetData>
  <protectedRanges>
    <protectedRange algorithmName="SHA-512" hashValue="gZNXA0xZZvTr4mVrHIcpl3r4WknbgyiSuZM8Zwe6fcCo6m50g+9tuYL4OsRqTmMCamLLkXw2Bc4O6xBZbTITuA==" saltValue="Pwr0R4fjAsfkJJiQFB5rBQ==" spinCount="100000" sqref="Z7:AA7" name="Range1"/>
    <protectedRange algorithmName="SHA-512" hashValue="gZNXA0xZZvTr4mVrHIcpl3r4WknbgyiSuZM8Zwe6fcCo6m50g+9tuYL4OsRqTmMCamLLkXw2Bc4O6xBZbTITuA==" saltValue="Pwr0R4fjAsfkJJiQFB5rBQ==" spinCount="100000" sqref="B8:H9 A7:Q7 B10:B22 J8:Q9 X7:Y7 W7:W9 V7:V402 R7:U9" name="Range1_1"/>
    <protectedRange algorithmName="SHA-512" hashValue="gZNXA0xZZvTr4mVrHIcpl3r4WknbgyiSuZM8Zwe6fcCo6m50g+9tuYL4OsRqTmMCamLLkXw2Bc4O6xBZbTITuA==" saltValue="Pwr0R4fjAsfkJJiQFB5rBQ==" spinCount="100000" sqref="AG3:AG15" name="Range1_2"/>
  </protectedRanges>
  <autoFilter ref="Z6:AA6" xr:uid="{205A37E0-DC6F-4AE1-BAFA-F20BFF7EFB85}"/>
  <mergeCells count="16">
    <mergeCell ref="AC2:AF2"/>
    <mergeCell ref="AA80:AA83"/>
    <mergeCell ref="AA84:AA88"/>
    <mergeCell ref="AA90:AA91"/>
    <mergeCell ref="Z5:AA5"/>
    <mergeCell ref="AA42:AA49"/>
    <mergeCell ref="AA52:AA53"/>
    <mergeCell ref="AA139:AA142"/>
    <mergeCell ref="AA137:AA138"/>
    <mergeCell ref="AA106:AA107"/>
    <mergeCell ref="AA117:AA118"/>
    <mergeCell ref="Z172:Z174"/>
    <mergeCell ref="Z162:Z163"/>
    <mergeCell ref="AA160:AA161"/>
    <mergeCell ref="AA162:AA163"/>
    <mergeCell ref="AA166:AA167"/>
  </mergeCells>
  <phoneticPr fontId="43" type="noConversion"/>
  <conditionalFormatting sqref="L133 L241:L398">
    <cfRule type="duplicateValues" dxfId="28" priority="22"/>
  </conditionalFormatting>
  <conditionalFormatting sqref="L399:L411">
    <cfRule type="duplicateValues" dxfId="27" priority="23"/>
  </conditionalFormatting>
  <conditionalFormatting sqref="L412:L1048576 L1:L6">
    <cfRule type="duplicateValues" dxfId="26" priority="25"/>
  </conditionalFormatting>
  <conditionalFormatting sqref="R107:R113 R73 R66:R67 R8:R9 R28:R31 R59 R63 R115:R128 R78:R86 R92:R93 R142:R143 R131:R136 R145:R148 R154:R158 R151 R160:R174 R75:R76 R177:R178 R181:R185 R199:R217 R219:R222 R224:R398 R33:R36">
    <cfRule type="duplicateValues" dxfId="25" priority="77"/>
  </conditionalFormatting>
  <dataValidations count="3">
    <dataValidation type="custom" allowBlank="1" showInputMessage="1" showErrorMessage="1" errorTitle="Error" error="Entered data format is wrong" promptTitle="Enter Date format : 01/10/2021 " sqref="B370:B595" xr:uid="{CA8C886A-6EE2-4AF8-A5CE-CAFFD2DB58F1}">
      <formula1>AND(ISNUMBER(B370),LEFT(CELL("format",B370),1)="D")</formula1>
    </dataValidation>
    <dataValidation type="list" allowBlank="1" showInputMessage="1" showErrorMessage="1" error="Do not Enter any other text except Month" sqref="T370:T371 T373:T382 P374:P382" xr:uid="{5652D006-8300-4234-AD58-AE5420E9C070}">
      <formula1>#REF!</formula1>
    </dataValidation>
    <dataValidation type="list" allowBlank="1" showInputMessage="1" showErrorMessage="1" error="Do not enter any oteh products" sqref="K374:K382" xr:uid="{59C75537-1752-4A39-AED9-0B7728AB6FD2}">
      <formula1>#REF!</formula1>
    </dataValidation>
  </dataValidations>
  <hyperlinks>
    <hyperlink ref="H37" r:id="rId1" xr:uid="{4CA505E8-172F-4FB0-90E7-1B616FB5A9DA}"/>
    <hyperlink ref="H52" r:id="rId2" xr:uid="{F00134E6-542D-430E-A83C-CC8D03079898}"/>
    <hyperlink ref="H53" r:id="rId3" xr:uid="{ED918238-9AE7-4926-ADC1-E2B3B9BFD7BB}"/>
    <hyperlink ref="H62" r:id="rId4" xr:uid="{42F5C541-5997-4B28-9788-BF211A68221A}"/>
    <hyperlink ref="H120" r:id="rId5" xr:uid="{8B81E986-FC41-469B-9122-F64D89110065}"/>
    <hyperlink ref="H139" r:id="rId6" xr:uid="{22253672-3FF4-4AB4-9D7B-08CCC4F44CA4}"/>
    <hyperlink ref="H148" r:id="rId7" xr:uid="{4BD03A9E-B97B-42F9-86BB-CFDA3E0207D9}"/>
    <hyperlink ref="H149" r:id="rId8" xr:uid="{1202E440-C1C2-44FD-B4F8-023C6387CE5B}"/>
    <hyperlink ref="H153" r:id="rId9" xr:uid="{A3A8F13C-32A7-4EBF-A376-6836F14840BD}"/>
    <hyperlink ref="H158" r:id="rId10" xr:uid="{82A7A68F-DAAF-4121-ABB8-7A554ED9D4AA}"/>
    <hyperlink ref="H179" r:id="rId11" xr:uid="{A3F990B2-CAC5-409F-B40C-F408C45F48E6}"/>
    <hyperlink ref="H196" r:id="rId12" xr:uid="{0801472C-FEC8-45A1-B73A-C36E1F9504D6}"/>
    <hyperlink ref="H197" r:id="rId13" xr:uid="{D06BF97B-F1C2-4C15-8B9A-A5F8F4A5C825}"/>
    <hyperlink ref="H211" r:id="rId14" xr:uid="{916D4F82-8D5D-48EA-AE6A-2F893F2A7632}"/>
    <hyperlink ref="H213" r:id="rId15" xr:uid="{FD46DB64-B1EA-4C34-8676-2BD6646DD6E1}"/>
    <hyperlink ref="H216" r:id="rId16" xr:uid="{4A10116C-3AA7-43D6-9D22-5C119E712751}"/>
    <hyperlink ref="H217" r:id="rId17" xr:uid="{6187B29D-2D11-433C-93D0-47065C8B1432}"/>
    <hyperlink ref="H218" r:id="rId18" xr:uid="{03E2CF3A-B19C-4A38-8A18-91E4DFC8101A}"/>
    <hyperlink ref="H219" r:id="rId19" xr:uid="{B9460B40-BB66-4D9C-864A-CA9E4BAFA107}"/>
    <hyperlink ref="H220" r:id="rId20" xr:uid="{69F513FC-6998-4160-B0BB-DF105D617450}"/>
    <hyperlink ref="H223" r:id="rId21" xr:uid="{BBD82A0D-6CB5-4A3E-85BA-BC6343A7D214}"/>
    <hyperlink ref="H230" r:id="rId22" xr:uid="{86FC3820-6352-41D7-AD4E-D7C323FA0B2B}"/>
    <hyperlink ref="H239" r:id="rId23" xr:uid="{F2C1709B-F1DD-47F3-8282-FF758A330FFB}"/>
  </hyperlinks>
  <pageMargins left="0.7" right="0.7" top="0.75" bottom="0.75" header="0.3" footer="0.3"/>
  <pageSetup orientation="portrait" r:id="rId24"/>
  <legacyDrawing r:id="rId25"/>
  <tableParts count="1">
    <tablePart r:id="rId26"/>
  </tablePart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error="Select From Drop Down" xr:uid="{A9EEA109-8431-473E-97DB-B5270D58DBE3}">
          <x14:formula1>
            <xm:f>'Month Prod Names'!$B$4:$B$15</xm:f>
          </x14:formula1>
          <xm:sqref>U107:U372 O54:O65 P107:P373 O10:P53 O107:O372 U10:U53</xm:sqref>
        </x14:dataValidation>
        <x14:dataValidation type="list" allowBlank="1" showInputMessage="1" showErrorMessage="1" error="Select From Drop Down" xr:uid="{C5582C7D-7D1D-4B2D-A960-5AC6A5B5CEF8}">
          <x14:formula1>
            <xm:f>'Machine Serial Numbers'!$A$2:$A$1502</xm:f>
          </x14:formula1>
          <xm:sqref>I412:I1048576 I1:I6 I241:I398</xm:sqref>
        </x14:dataValidation>
        <x14:dataValidation type="list" allowBlank="1" showInputMessage="1" showErrorMessage="1" xr:uid="{7CDACC72-3CD9-467A-9D38-E2E4A89EC4F2}">
          <x14:formula1>
            <xm:f>'Month Prod Names'!$D$4:$D$118</xm:f>
          </x14:formula1>
          <xm:sqref>J1:J6 J412:J1048576</xm:sqref>
        </x14:dataValidation>
        <x14:dataValidation type="list" allowBlank="1" showInputMessage="1" showErrorMessage="1" error="Select from drop down" xr:uid="{2E6C060B-2ADD-4AD3-A964-2CFD46DE3448}">
          <x14:formula1>
            <xm:f>'Month Prod Names'!$J$4:$J$5</xm:f>
          </x14:formula1>
          <xm:sqref>K7:K54 K59:K64 K107:K373</xm:sqref>
        </x14:dataValidation>
        <x14:dataValidation type="list" allowBlank="1" showInputMessage="1" showErrorMessage="1" xr:uid="{7D57A6B2-EF8F-4201-A7D2-F2C3605731D0}">
          <x14:formula1>
            <xm:f>'Month Prod Names'!$B$4:$B$15</xm:f>
          </x14:formula1>
          <xm:sqref>O7:P9 O399:O410 U7:U9</xm:sqref>
        </x14:dataValidation>
        <x14:dataValidation type="list" allowBlank="1" showInputMessage="1" showErrorMessage="1" error="Select From Drop Down" xr:uid="{2BADC7A0-F598-42AC-A11A-489ACA0DA931}">
          <x14:formula1>
            <xm:f>Location!$B$2:$B$126</xm:f>
          </x14:formula1>
          <xm:sqref>D22:D53 D116:D151 D7:D20 D154:D372</xm:sqref>
        </x14:dataValidation>
        <x14:dataValidation type="list" allowBlank="1" showInputMessage="1" showErrorMessage="1" xr:uid="{B2A58251-4AAE-4501-B2EC-EFB0235507E6}">
          <x14:formula1>
            <xm:f>'Month Prod Names'!$D$4:$D$46</xm:f>
          </x14:formula1>
          <xm:sqref>J17:J53 J10:J14 J92:J93 J107:J120 J128:J398</xm:sqref>
        </x14:dataValidation>
        <x14:dataValidation type="list" allowBlank="1" showInputMessage="1" showErrorMessage="1" error="Do not enter any oteh products" xr:uid="{35A79E4E-8289-4301-8868-95AFA335C3FA}">
          <x14:formula1>
            <xm:f>'Month Prod Names'!$D$4:$D$141</xm:f>
          </x14:formula1>
          <xm:sqref>J399:J411</xm:sqref>
        </x14:dataValidation>
        <x14:dataValidation type="list" allowBlank="1" showInputMessage="1" showErrorMessage="1" xr:uid="{61BE2315-50C7-4603-BA0B-67D9E1787CBF}">
          <x14:formula1>
            <xm:f>'Machine Serial Numbers'!$A$2:$A$1502</xm:f>
          </x14:formula1>
          <xm:sqref>I399:I411</xm:sqref>
        </x14:dataValidation>
        <x14:dataValidation type="list" allowBlank="1" showInputMessage="1" showErrorMessage="1" error="Do not Enter any other text except Month" xr:uid="{4699E6EC-BFD8-4B29-85FA-89EC879ECF37}">
          <x14:formula1>
            <xm:f>'Month Prod Names'!$K$4:$K$13</xm:f>
          </x14:formula1>
          <xm:sqref>Q399:Q411</xm:sqref>
        </x14:dataValidation>
        <x14:dataValidation type="list" allowBlank="1" showInputMessage="1" showErrorMessage="1" error="Do not Enter any other text except Month" xr:uid="{6C2F8A41-F21C-4D20-A0D5-B76DB5F6D2EA}">
          <x14:formula1>
            <xm:f>'Month Prod Names'!$B$4:$B$15</xm:f>
          </x14:formula1>
          <xm:sqref>P399:P411</xm:sqref>
        </x14:dataValidation>
        <x14:dataValidation type="list" allowBlank="1" showInputMessage="1" showErrorMessage="1" error="Do not enter any oteh products" xr:uid="{BB49968E-B32F-43B6-A42A-96528B25B126}">
          <x14:formula1>
            <xm:f>'Month Prod Names'!$J$4:$J$5</xm:f>
          </x14:formula1>
          <xm:sqref>K399:K411</xm:sqref>
        </x14:dataValidation>
        <x14:dataValidation type="list" allowBlank="1" showInputMessage="1" showErrorMessage="1" xr:uid="{890042E7-A862-43FE-8610-9DB71278910B}">
          <x14:formula1>
            <xm:f>Location!$B$2:$B$126</xm:f>
          </x14:formula1>
          <xm:sqref>D399:D411</xm:sqref>
        </x14:dataValidation>
        <x14:dataValidation type="list" allowBlank="1" showInputMessage="1" showErrorMessage="1" error="Select From Drop Down" xr:uid="{182C7880-30C5-4112-B974-6B7693CAC60E}">
          <x14:formula1>
            <xm:f>'Month Prod Names'!$D$4:$D$12</xm:f>
          </x14:formula1>
          <xm:sqref>J7:J9</xm:sqref>
        </x14:dataValidation>
        <x14:dataValidation type="list" allowBlank="1" showInputMessage="1" showErrorMessage="1" error="Select From Drop Down" xr:uid="{17D1CC26-30D4-438C-AF00-7E4306F56D16}">
          <x14:formula1>
            <xm:f>Customer!$B$2:$B$240</xm:f>
          </x14:formula1>
          <xm:sqref>C10:C20 C75:C76 C22:C53 C116:C372</xm:sqref>
        </x14:dataValidation>
        <x14:dataValidation type="list" allowBlank="1" showInputMessage="1" showErrorMessage="1" xr:uid="{774CFD83-78F8-4C90-A122-7C43D86D2BF0}">
          <x14:formula1>
            <xm:f>Customer!$B$2:$B$240</xm:f>
          </x14:formula1>
          <xm:sqref>C399:C411</xm:sqref>
        </x14:dataValidation>
        <x14:dataValidation type="list" allowBlank="1" showInputMessage="1" showErrorMessage="1" xr:uid="{561EE1F7-26B5-45BD-B695-6878487E8CD2}">
          <x14:formula1>
            <xm:f>'Month Prod Names'!$K$4:$K$19</xm:f>
          </x14:formula1>
          <xm:sqref>Q7:Q398</xm:sqref>
        </x14:dataValidation>
        <x14:dataValidation type="list" allowBlank="1" showInputMessage="1" showErrorMessage="1" error="Select From Drop Down" xr:uid="{CECDE354-FA01-432A-AC35-1AEDB521FCED}">
          <x14:formula1>
            <xm:f>Customer!$B$2:$B$2391</xm:f>
          </x14:formula1>
          <xm:sqref>C7:C9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CF37-AAD9-4BF5-8785-0E07DCC5FBB4}">
  <dimension ref="A1:AG501"/>
  <sheetViews>
    <sheetView zoomScale="70" zoomScaleNormal="70" workbookViewId="0">
      <pane ySplit="6" topLeftCell="A7" activePane="bottomLeft" state="frozen"/>
      <selection activeCell="A5" sqref="A5"/>
      <selection pane="bottomLeft" activeCell="M25" sqref="M25"/>
    </sheetView>
  </sheetViews>
  <sheetFormatPr defaultRowHeight="15" customHeight="1"/>
  <cols>
    <col min="1" max="1" width="7.44140625" customWidth="1"/>
    <col min="2" max="2" width="18" style="25" bestFit="1" customWidth="1"/>
    <col min="3" max="3" width="27.44140625" style="2" customWidth="1"/>
    <col min="4" max="5" width="14.44140625" style="2" customWidth="1"/>
    <col min="6" max="6" width="23.44140625" style="2" customWidth="1"/>
    <col min="7" max="7" width="17.109375" style="2" customWidth="1"/>
    <col min="8" max="8" width="29.5546875" style="2" customWidth="1"/>
    <col min="9" max="9" width="18.5546875" style="2" bestFit="1" customWidth="1"/>
    <col min="10" max="10" width="10.44140625" style="2" customWidth="1"/>
    <col min="11" max="11" width="7.5546875" style="2" customWidth="1"/>
    <col min="12" max="12" width="26.44140625" style="2" bestFit="1" customWidth="1"/>
    <col min="13" max="13" width="15.5546875" customWidth="1"/>
    <col min="14" max="15" width="14.5546875" style="5" bestFit="1" customWidth="1"/>
    <col min="16" max="16" width="11.44140625" customWidth="1"/>
    <col min="17" max="17" width="10.5546875" style="100" customWidth="1"/>
    <col min="18" max="18" width="17.44140625" bestFit="1" customWidth="1"/>
    <col min="19" max="19" width="14.44140625" style="8" bestFit="1" customWidth="1"/>
    <col min="20" max="20" width="11.44140625" customWidth="1"/>
    <col min="21" max="21" width="24.5546875" bestFit="1" customWidth="1"/>
    <col min="22" max="22" width="23" style="18" bestFit="1" customWidth="1"/>
    <col min="23" max="23" width="8.44140625" style="1" customWidth="1"/>
    <col min="24" max="24" width="6" style="1" customWidth="1"/>
    <col min="25" max="25" width="13.5546875" customWidth="1"/>
    <col min="26" max="26" width="16.44140625" bestFit="1" customWidth="1"/>
    <col min="27" max="27" width="13.44140625" bestFit="1" customWidth="1"/>
    <col min="28" max="28" width="13.44140625" customWidth="1"/>
    <col min="29" max="29" width="11.44140625" bestFit="1" customWidth="1"/>
    <col min="30" max="30" width="17.44140625" bestFit="1" customWidth="1"/>
    <col min="31" max="31" width="17.5546875" bestFit="1" customWidth="1"/>
    <col min="32" max="32" width="31.44140625" bestFit="1" customWidth="1"/>
    <col min="33" max="33" width="28.5546875" bestFit="1" customWidth="1"/>
  </cols>
  <sheetData>
    <row r="1" spans="1:33" ht="15.75" customHeight="1">
      <c r="Q1" s="95"/>
      <c r="U1" s="18"/>
      <c r="V1" s="85"/>
      <c r="W1"/>
      <c r="X1"/>
      <c r="AC1" s="3496" t="s">
        <v>99</v>
      </c>
      <c r="AD1" s="3496"/>
      <c r="AE1" s="3496"/>
      <c r="AF1" s="3504"/>
    </row>
    <row r="2" spans="1:33" ht="31.2">
      <c r="A2" s="82" t="s">
        <v>4598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4"/>
      <c r="Z2" s="86"/>
      <c r="AC2" s="892" t="s">
        <v>22</v>
      </c>
      <c r="AD2" s="892" t="s">
        <v>101</v>
      </c>
      <c r="AE2" s="893" t="s">
        <v>102</v>
      </c>
      <c r="AF2" s="896" t="s">
        <v>2</v>
      </c>
      <c r="AG2" s="994" t="s">
        <v>103</v>
      </c>
    </row>
    <row r="3" spans="1:33" ht="18">
      <c r="J3" s="87"/>
      <c r="K3" s="87"/>
      <c r="L3" s="87"/>
      <c r="M3" s="5"/>
      <c r="P3" s="5"/>
      <c r="Q3" s="96"/>
      <c r="R3" s="5"/>
      <c r="S3" s="17"/>
      <c r="T3" s="5"/>
      <c r="U3" s="80" t="s">
        <v>104</v>
      </c>
      <c r="V3" s="81">
        <f>SUM(N7:N397)</f>
        <v>12643664</v>
      </c>
      <c r="W3" s="4"/>
      <c r="X3" s="4"/>
      <c r="Y3" s="4"/>
      <c r="Z3" s="4"/>
      <c r="AC3" s="203" t="s">
        <v>7</v>
      </c>
      <c r="AD3" s="355">
        <f>SUMIF($O$7:$O$419,"January",$N$7:$N$419)</f>
        <v>1893450</v>
      </c>
      <c r="AE3" s="894">
        <f>SUMIF($U$7:$U$419,"January",$T$7:$T$419)</f>
        <v>680982</v>
      </c>
      <c r="AF3" s="896">
        <f>SUMIF($P$7:$P$427,"January",$N$7:$N$427)</f>
        <v>828711</v>
      </c>
      <c r="AG3" s="995">
        <f>AF3-AE3</f>
        <v>147729</v>
      </c>
    </row>
    <row r="4" spans="1:33" ht="21">
      <c r="A4" s="3" t="s">
        <v>105</v>
      </c>
      <c r="B4" s="93">
        <f>COUNTA(B7:B1509)</f>
        <v>29</v>
      </c>
      <c r="C4" s="88"/>
      <c r="D4" s="88"/>
      <c r="E4" s="88"/>
      <c r="F4" s="88"/>
      <c r="G4" s="88"/>
      <c r="I4" s="88"/>
      <c r="J4" s="89"/>
      <c r="K4" s="89"/>
      <c r="L4" s="89"/>
      <c r="M4" s="90"/>
      <c r="N4" s="90"/>
      <c r="O4" s="90"/>
      <c r="P4" s="90"/>
      <c r="Q4" s="97"/>
      <c r="R4" s="90"/>
      <c r="S4" s="101"/>
      <c r="T4" s="90"/>
      <c r="U4" s="12" t="s">
        <v>54</v>
      </c>
      <c r="V4" s="11">
        <f>SUM(T7:T397)</f>
        <v>4782292.4000000004</v>
      </c>
      <c r="W4" s="21"/>
      <c r="X4" s="21"/>
      <c r="Y4" s="4"/>
      <c r="Z4" s="21"/>
      <c r="AC4" s="204" t="s">
        <v>18</v>
      </c>
      <c r="AD4" s="355">
        <f>SUMIF($O$7:$O$419,"February",$N$7:$N$419)</f>
        <v>749147</v>
      </c>
      <c r="AE4" s="894">
        <f>SUMIF($U$7:$U$419,"February",$T$7:$T$419)</f>
        <v>134649</v>
      </c>
      <c r="AF4" s="896">
        <f>SUMIF($P$7:$P$427,"February",$N$7:$N$427)</f>
        <v>233880</v>
      </c>
      <c r="AG4" s="995">
        <f t="shared" ref="AG4:AG14" si="0">AF4-AE4</f>
        <v>99231</v>
      </c>
    </row>
    <row r="5" spans="1:33" ht="21">
      <c r="A5" s="91"/>
      <c r="B5" s="92"/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90"/>
      <c r="O5" s="90"/>
      <c r="P5" s="90"/>
      <c r="Q5" s="97"/>
      <c r="R5" s="90"/>
      <c r="S5" s="101"/>
      <c r="T5" s="90"/>
      <c r="U5" s="12" t="s">
        <v>13</v>
      </c>
      <c r="V5" s="11">
        <f>SUM(V7:V397)</f>
        <v>7778194.5999999996</v>
      </c>
      <c r="W5" s="22"/>
      <c r="X5" s="22"/>
      <c r="Y5" s="199" t="s">
        <v>106</v>
      </c>
      <c r="Z5" s="3483" t="s">
        <v>3897</v>
      </c>
      <c r="AA5" s="3483"/>
      <c r="AB5" s="337"/>
      <c r="AC5" s="203" t="s">
        <v>25</v>
      </c>
      <c r="AD5" s="356">
        <f>SUMIF($O$7:$O$419,"March",$N$7:$N$419)</f>
        <v>1434365</v>
      </c>
      <c r="AE5" s="895">
        <f>SUMIF($U$7:$U$419,"March",$T$7:$T$419)</f>
        <v>878370</v>
      </c>
      <c r="AF5" s="897">
        <f>SUMIF($P$7:$P$427,"March",$N$7:$N$427)</f>
        <v>1103862</v>
      </c>
      <c r="AG5" s="995">
        <f t="shared" si="0"/>
        <v>225492</v>
      </c>
    </row>
    <row r="6" spans="1:33" ht="43.2">
      <c r="A6" s="134" t="s">
        <v>107</v>
      </c>
      <c r="B6" s="134" t="s">
        <v>108</v>
      </c>
      <c r="C6" s="134" t="s">
        <v>109</v>
      </c>
      <c r="D6" s="134" t="s">
        <v>110</v>
      </c>
      <c r="E6" s="134" t="s">
        <v>111</v>
      </c>
      <c r="F6" s="134" t="s">
        <v>112</v>
      </c>
      <c r="G6" s="134" t="s">
        <v>113</v>
      </c>
      <c r="H6" s="134" t="s">
        <v>114</v>
      </c>
      <c r="I6" s="132" t="s">
        <v>115</v>
      </c>
      <c r="J6" s="134" t="s">
        <v>116</v>
      </c>
      <c r="K6" s="134" t="s">
        <v>117</v>
      </c>
      <c r="L6" s="134" t="s">
        <v>118</v>
      </c>
      <c r="M6" s="133" t="s">
        <v>119</v>
      </c>
      <c r="N6" s="134" t="s">
        <v>120</v>
      </c>
      <c r="O6" s="134" t="s">
        <v>121</v>
      </c>
      <c r="P6" s="134" t="s">
        <v>93</v>
      </c>
      <c r="Q6" s="134" t="s">
        <v>122</v>
      </c>
      <c r="R6" s="134" t="s">
        <v>123</v>
      </c>
      <c r="S6" s="134" t="s">
        <v>124</v>
      </c>
      <c r="T6" s="134" t="s">
        <v>125</v>
      </c>
      <c r="U6" s="134" t="s">
        <v>126</v>
      </c>
      <c r="V6" s="134" t="s">
        <v>13</v>
      </c>
      <c r="W6" s="134" t="s">
        <v>127</v>
      </c>
      <c r="X6" s="197" t="s">
        <v>128</v>
      </c>
      <c r="Y6" s="197" t="s">
        <v>129</v>
      </c>
      <c r="Z6" s="454" t="s">
        <v>130</v>
      </c>
      <c r="AA6" s="455" t="s">
        <v>131</v>
      </c>
      <c r="AB6" s="202"/>
      <c r="AC6" s="203" t="s">
        <v>28</v>
      </c>
      <c r="AD6" s="356">
        <f>SUMIF($O$7:$O$419,"April",$N$7:$N$419)</f>
        <v>264000</v>
      </c>
      <c r="AE6" s="895">
        <f>SUMIF($U$7:$U$419,"April",$T$7:$T$419)</f>
        <v>952118</v>
      </c>
      <c r="AF6" s="897"/>
      <c r="AG6" s="995">
        <f t="shared" si="0"/>
        <v>-952118</v>
      </c>
    </row>
    <row r="7" spans="1:33" s="1642" customFormat="1" ht="51" customHeight="1">
      <c r="A7" s="1667">
        <v>1</v>
      </c>
      <c r="B7" s="1668">
        <v>45672</v>
      </c>
      <c r="C7" s="1669" t="s">
        <v>4599</v>
      </c>
      <c r="D7" s="1670" t="s">
        <v>4600</v>
      </c>
      <c r="E7" s="1670" t="s">
        <v>954</v>
      </c>
      <c r="F7" s="1670" t="s">
        <v>4601</v>
      </c>
      <c r="G7" s="1670" t="s">
        <v>4602</v>
      </c>
      <c r="H7" s="1671" t="s">
        <v>4603</v>
      </c>
      <c r="I7" s="1670" t="s">
        <v>4604</v>
      </c>
      <c r="J7" s="1670" t="s">
        <v>75</v>
      </c>
      <c r="K7" s="1670" t="s">
        <v>157</v>
      </c>
      <c r="L7" s="1670" t="s">
        <v>4605</v>
      </c>
      <c r="M7" s="1672">
        <v>45672</v>
      </c>
      <c r="N7" s="1673">
        <v>813450</v>
      </c>
      <c r="O7" s="1673" t="s">
        <v>7</v>
      </c>
      <c r="P7" s="1673" t="s">
        <v>25</v>
      </c>
      <c r="Q7" s="1674">
        <v>0.7</v>
      </c>
      <c r="R7" s="1675">
        <v>4500032869</v>
      </c>
      <c r="S7" s="1676">
        <v>45735</v>
      </c>
      <c r="T7" s="1673">
        <v>248956</v>
      </c>
      <c r="U7" s="1673" t="str">
        <f>TEXT(Table626893456791011121314[[#This Row],[PO Date]], "mmmm")</f>
        <v>March</v>
      </c>
      <c r="V7" s="1349">
        <f>Table626893456791011121314[[#This Row],[Offer Value]]-Table626893456791011121314[[#This Row],[PO Value]]</f>
        <v>564494</v>
      </c>
      <c r="W7" s="1675" t="s">
        <v>4606</v>
      </c>
      <c r="X7" s="1677" t="s">
        <v>4607</v>
      </c>
      <c r="Y7" s="1678">
        <v>45744</v>
      </c>
      <c r="Z7" s="1679"/>
      <c r="AA7" s="1680" t="s">
        <v>3928</v>
      </c>
      <c r="AC7" s="1663" t="s">
        <v>30</v>
      </c>
      <c r="AD7" s="1664">
        <f>SUMIF($O$7:$O$419,"May",$N$7:$N$419)</f>
        <v>1910946</v>
      </c>
      <c r="AE7" s="1665">
        <f>SUMIF($U$7:$U$419,"May",$T$7:$T$419)</f>
        <v>895062.4</v>
      </c>
      <c r="AF7" s="1666">
        <f>SUMIF($P$7:$P$427,"May",$N$7:$N$427)</f>
        <v>1039330</v>
      </c>
      <c r="AG7" s="995">
        <f t="shared" si="0"/>
        <v>144267.59999999998</v>
      </c>
    </row>
    <row r="8" spans="1:33" ht="31.2">
      <c r="A8" s="1042">
        <v>2</v>
      </c>
      <c r="B8" s="1125">
        <v>45685</v>
      </c>
      <c r="C8" s="1041" t="s">
        <v>1190</v>
      </c>
      <c r="D8" s="1041" t="s">
        <v>4608</v>
      </c>
      <c r="E8" s="1041" t="s">
        <v>954</v>
      </c>
      <c r="F8" s="1041" t="s">
        <v>4609</v>
      </c>
      <c r="G8" s="1041">
        <v>8123906930</v>
      </c>
      <c r="H8" s="1139" t="s">
        <v>4610</v>
      </c>
      <c r="I8" s="1041" t="s">
        <v>3242</v>
      </c>
      <c r="J8" s="1041" t="s">
        <v>73</v>
      </c>
      <c r="K8" s="1041" t="s">
        <v>157</v>
      </c>
      <c r="L8" s="1041" t="s">
        <v>4611</v>
      </c>
      <c r="M8" s="1133">
        <v>45459</v>
      </c>
      <c r="N8" s="1042">
        <v>142000</v>
      </c>
      <c r="O8" s="1042" t="s">
        <v>7</v>
      </c>
      <c r="P8" s="1042" t="s">
        <v>7</v>
      </c>
      <c r="Q8" s="1054">
        <v>0.8</v>
      </c>
      <c r="R8" s="1137">
        <v>16882528</v>
      </c>
      <c r="S8" s="1138">
        <v>45670</v>
      </c>
      <c r="T8" s="1042">
        <v>142000</v>
      </c>
      <c r="U8" s="1042" t="str">
        <f>TEXT(Table626893456791011121314[[#This Row],[PO Date]], "mmmm")</f>
        <v>January</v>
      </c>
      <c r="V8" s="1025">
        <f>Table626893456791011121314[[#This Row],[Offer Value]]-Table626893456791011121314[[#This Row],[PO Value]]</f>
        <v>0</v>
      </c>
      <c r="W8" s="1042"/>
      <c r="X8" s="1042"/>
      <c r="Y8" s="1134">
        <v>45744</v>
      </c>
      <c r="Z8" s="1128"/>
      <c r="AA8" s="1128"/>
      <c r="AC8" s="203" t="s">
        <v>34</v>
      </c>
      <c r="AD8" s="356">
        <f>SUMIF($O$7:$O$419,"June",$N$7:$N$419)</f>
        <v>541728</v>
      </c>
      <c r="AE8" s="895">
        <f>SUMIF($U$7:$U$419,"June",$T$7:$T$419)</f>
        <v>0</v>
      </c>
      <c r="AF8" s="897">
        <f>SUMIF($P$7:$P$427,"June",$N$7:$N$427)</f>
        <v>0</v>
      </c>
      <c r="AG8" s="995">
        <f t="shared" si="0"/>
        <v>0</v>
      </c>
    </row>
    <row r="9" spans="1:33" ht="46.8">
      <c r="A9" s="1042">
        <v>3</v>
      </c>
      <c r="B9" s="1125">
        <v>45685</v>
      </c>
      <c r="C9" s="1041" t="s">
        <v>1190</v>
      </c>
      <c r="D9" s="1041" t="s">
        <v>4612</v>
      </c>
      <c r="E9" s="1041" t="s">
        <v>954</v>
      </c>
      <c r="F9" s="1041" t="s">
        <v>4613</v>
      </c>
      <c r="G9" s="1041">
        <v>9438221361</v>
      </c>
      <c r="H9" s="1139" t="s">
        <v>4614</v>
      </c>
      <c r="I9" s="1120" t="s">
        <v>4615</v>
      </c>
      <c r="J9" s="1041" t="s">
        <v>75</v>
      </c>
      <c r="K9" s="1041" t="s">
        <v>157</v>
      </c>
      <c r="L9" s="1041" t="s">
        <v>4616</v>
      </c>
      <c r="M9" s="1133">
        <v>45646</v>
      </c>
      <c r="N9" s="1042">
        <v>561440</v>
      </c>
      <c r="O9" s="1042" t="s">
        <v>7</v>
      </c>
      <c r="P9" s="1042" t="s">
        <v>7</v>
      </c>
      <c r="Q9" s="1054">
        <v>0.8</v>
      </c>
      <c r="R9" s="1137" t="s">
        <v>4617</v>
      </c>
      <c r="S9" s="1138">
        <v>45681</v>
      </c>
      <c r="T9" s="1042">
        <v>538982</v>
      </c>
      <c r="U9" s="1042" t="str">
        <f>TEXT(Table626893456791011121314[[#This Row],[PO Date]], "mmmm")</f>
        <v>January</v>
      </c>
      <c r="V9" s="1025">
        <f>Table626893456791011121314[[#This Row],[Offer Value]]-Table626893456791011121314[[#This Row],[PO Value]]</f>
        <v>22458</v>
      </c>
      <c r="W9" s="1126" t="s">
        <v>4618</v>
      </c>
      <c r="X9" s="1042"/>
      <c r="Y9" s="1127" t="s">
        <v>1763</v>
      </c>
      <c r="Z9" s="1128"/>
      <c r="AA9" s="1278"/>
      <c r="AC9" s="203" t="s">
        <v>37</v>
      </c>
      <c r="AD9" s="356">
        <f>SUMIF($O$7:$O$419,"July",$N$7:$N$419)</f>
        <v>20478</v>
      </c>
      <c r="AE9" s="895">
        <f>SUMIF($U$7:$U$419,"July",$T$7:$T$419)</f>
        <v>91060</v>
      </c>
      <c r="AF9" s="897">
        <f>SUMIF($P$7:$P$427,"July",$N$7:$N$427)</f>
        <v>404854</v>
      </c>
      <c r="AG9" s="995">
        <f t="shared" si="0"/>
        <v>313794</v>
      </c>
    </row>
    <row r="10" spans="1:33" s="1642" customFormat="1" ht="31.2">
      <c r="A10" s="1451">
        <v>4</v>
      </c>
      <c r="B10" s="1452">
        <v>45685</v>
      </c>
      <c r="C10" s="1455" t="s">
        <v>4619</v>
      </c>
      <c r="D10" s="1455" t="s">
        <v>4620</v>
      </c>
      <c r="E10" s="1455" t="s">
        <v>954</v>
      </c>
      <c r="F10" s="1455" t="s">
        <v>4621</v>
      </c>
      <c r="G10" s="1455">
        <v>9204958572</v>
      </c>
      <c r="H10" s="1661" t="s">
        <v>4622</v>
      </c>
      <c r="I10" s="1453" t="s">
        <v>4623</v>
      </c>
      <c r="J10" s="1455" t="s">
        <v>73</v>
      </c>
      <c r="K10" s="1455" t="s">
        <v>138</v>
      </c>
      <c r="L10" s="1455" t="s">
        <v>4624</v>
      </c>
      <c r="M10" s="1456">
        <v>45681</v>
      </c>
      <c r="N10" s="1451">
        <v>376560</v>
      </c>
      <c r="O10" s="1451" t="s">
        <v>7</v>
      </c>
      <c r="P10" s="1451" t="s">
        <v>30</v>
      </c>
      <c r="Q10" s="1377">
        <v>0.9</v>
      </c>
      <c r="R10" s="1457">
        <v>6000079727</v>
      </c>
      <c r="S10" s="1458">
        <v>45754</v>
      </c>
      <c r="T10" s="1451">
        <v>362745</v>
      </c>
      <c r="U10" s="1451" t="str">
        <f>TEXT(Table626893456791011121314[[#This Row],[PO Date]], "mmmm")</f>
        <v>April</v>
      </c>
      <c r="V10" s="1349">
        <v>0</v>
      </c>
      <c r="W10" s="1463"/>
      <c r="X10" s="1451"/>
      <c r="Y10" s="1459"/>
      <c r="Z10" s="1662"/>
      <c r="AA10" s="1560"/>
      <c r="AC10" s="1663" t="s">
        <v>39</v>
      </c>
      <c r="AD10" s="1664">
        <f>SUMIF($O$7:$O$419,"August",$N$7:$N$419)</f>
        <v>2068998</v>
      </c>
      <c r="AE10" s="1665">
        <f>SUMIF($U$7:$U$419,"August",$T$7:$T$419)</f>
        <v>0</v>
      </c>
      <c r="AF10" s="1666">
        <f>SUMIF($P$7:$P$427,"August",$N$7:$N$427)</f>
        <v>160176</v>
      </c>
      <c r="AG10" s="995">
        <f t="shared" si="0"/>
        <v>160176</v>
      </c>
    </row>
    <row r="11" spans="1:33" ht="18">
      <c r="A11" s="1042">
        <v>5</v>
      </c>
      <c r="B11" s="1125">
        <v>45698</v>
      </c>
      <c r="C11" s="1041" t="s">
        <v>178</v>
      </c>
      <c r="D11" s="1041" t="s">
        <v>4625</v>
      </c>
      <c r="E11" s="1041" t="s">
        <v>954</v>
      </c>
      <c r="F11" s="1041" t="s">
        <v>4626</v>
      </c>
      <c r="G11" s="1041">
        <v>9147424069</v>
      </c>
      <c r="H11" s="1139" t="s">
        <v>4627</v>
      </c>
      <c r="I11" s="1120" t="s">
        <v>4628</v>
      </c>
      <c r="J11" s="1041" t="s">
        <v>75</v>
      </c>
      <c r="K11" s="1041" t="s">
        <v>157</v>
      </c>
      <c r="L11" s="1041" t="s">
        <v>4629</v>
      </c>
      <c r="M11" s="1133">
        <v>45694</v>
      </c>
      <c r="N11" s="1042">
        <v>233880</v>
      </c>
      <c r="O11" s="1042" t="s">
        <v>18</v>
      </c>
      <c r="P11" s="1042" t="s">
        <v>18</v>
      </c>
      <c r="Q11" s="1054">
        <v>0.9</v>
      </c>
      <c r="R11" s="1137">
        <v>4700378891</v>
      </c>
      <c r="S11" s="1138">
        <v>45694</v>
      </c>
      <c r="T11" s="1042">
        <v>134649</v>
      </c>
      <c r="U11" s="1042" t="str">
        <f>TEXT(Table626893456791011121314[[#This Row],[PO Date]], "mmmm")</f>
        <v>February</v>
      </c>
      <c r="V11" s="1025">
        <f>Table626893456791011121314[[#This Row],[Offer Value]]-Table626893456791011121314[[#This Row],[PO Value]]</f>
        <v>99231</v>
      </c>
      <c r="W11" s="1126"/>
      <c r="X11" s="1042"/>
      <c r="Y11" s="1127" t="s">
        <v>1300</v>
      </c>
      <c r="Z11" s="1128"/>
      <c r="AA11" s="1278"/>
      <c r="AC11" s="203" t="s">
        <v>44</v>
      </c>
      <c r="AD11" s="356">
        <f>SUMIF($O$7:$O$419,"September",$N$7:$N$419)</f>
        <v>1673785</v>
      </c>
      <c r="AE11" s="895">
        <f>SUMIF($U$7:$U$419,"September",$T$7:$T$419)</f>
        <v>160800</v>
      </c>
      <c r="AF11" s="897">
        <f>SUMIF($P$7:$P$427,"September",$N$7:$N$427)</f>
        <v>180576</v>
      </c>
      <c r="AG11" s="995">
        <f t="shared" si="0"/>
        <v>19776</v>
      </c>
    </row>
    <row r="12" spans="1:33" s="1642" customFormat="1" ht="18">
      <c r="A12" s="1451">
        <v>6</v>
      </c>
      <c r="B12" s="1452">
        <v>45699</v>
      </c>
      <c r="C12" s="1453" t="s">
        <v>4630</v>
      </c>
      <c r="D12" s="1453" t="s">
        <v>4631</v>
      </c>
      <c r="E12" s="1453" t="s">
        <v>954</v>
      </c>
      <c r="F12" s="1453" t="s">
        <v>4632</v>
      </c>
      <c r="G12" s="1453">
        <v>9234000584</v>
      </c>
      <c r="H12" s="1454" t="s">
        <v>4633</v>
      </c>
      <c r="I12" s="1453" t="s">
        <v>3360</v>
      </c>
      <c r="J12" s="1455" t="s">
        <v>73</v>
      </c>
      <c r="K12" s="1455" t="s">
        <v>138</v>
      </c>
      <c r="L12" s="1455" t="s">
        <v>4634</v>
      </c>
      <c r="M12" s="1456">
        <v>45693</v>
      </c>
      <c r="N12" s="1451">
        <v>94854</v>
      </c>
      <c r="O12" s="1451" t="s">
        <v>18</v>
      </c>
      <c r="P12" s="1451" t="s">
        <v>37</v>
      </c>
      <c r="Q12" s="1377">
        <v>0.9</v>
      </c>
      <c r="R12" s="1457">
        <v>8200197699</v>
      </c>
      <c r="S12" s="1458">
        <v>45849</v>
      </c>
      <c r="T12" s="1451">
        <v>91060</v>
      </c>
      <c r="U12" s="1451" t="str">
        <f>TEXT(Table626893456791011121314[[#This Row],[PO Date]], "mmmm")</f>
        <v>July</v>
      </c>
      <c r="V12" s="1349">
        <f>Table626893456791011121314[[#This Row],[Offer Value]]-Table626893456791011121314[[#This Row],[PO Value]]</f>
        <v>3794</v>
      </c>
      <c r="W12" s="1451"/>
      <c r="X12" s="1451"/>
      <c r="Y12" s="1459"/>
      <c r="Z12" s="3507"/>
      <c r="AA12" s="3507"/>
      <c r="AC12" s="1663" t="s">
        <v>47</v>
      </c>
      <c r="AD12" s="1664">
        <f>SUMIF($O$7:$O$419,"October",$N$7:$N$419)</f>
        <v>1986767</v>
      </c>
      <c r="AE12" s="1665">
        <f>SUMIF($U$7:$U$419,"October",$T$7:$T$419)</f>
        <v>0</v>
      </c>
      <c r="AF12" s="1666">
        <f>SUMIF($P$7:$P$427,"October",$N$7:$N$427)</f>
        <v>869988</v>
      </c>
      <c r="AG12" s="995">
        <f t="shared" si="0"/>
        <v>869988</v>
      </c>
    </row>
    <row r="13" spans="1:33" s="1642" customFormat="1" ht="18.600000000000001" customHeight="1">
      <c r="A13" s="1451">
        <v>7</v>
      </c>
      <c r="B13" s="1452">
        <v>45720</v>
      </c>
      <c r="C13" s="1453" t="s">
        <v>792</v>
      </c>
      <c r="D13" s="1453" t="s">
        <v>4635</v>
      </c>
      <c r="E13" s="1453" t="s">
        <v>954</v>
      </c>
      <c r="F13" s="1453" t="s">
        <v>4636</v>
      </c>
      <c r="G13" s="1453">
        <v>7643991788</v>
      </c>
      <c r="H13" s="1454" t="s">
        <v>4637</v>
      </c>
      <c r="I13" s="1453" t="s">
        <v>4638</v>
      </c>
      <c r="J13" s="1455" t="s">
        <v>73</v>
      </c>
      <c r="K13" s="1455" t="s">
        <v>138</v>
      </c>
      <c r="L13" s="1455" t="s">
        <v>4639</v>
      </c>
      <c r="M13" s="1456">
        <v>45700</v>
      </c>
      <c r="N13" s="1451">
        <v>420413</v>
      </c>
      <c r="O13" s="1451" t="s">
        <v>18</v>
      </c>
      <c r="P13" s="1451" t="s">
        <v>28</v>
      </c>
      <c r="Q13" s="1377">
        <v>0.9</v>
      </c>
      <c r="R13" s="1457">
        <v>30078594</v>
      </c>
      <c r="S13" s="1458">
        <v>45755</v>
      </c>
      <c r="T13" s="1451">
        <v>420413</v>
      </c>
      <c r="U13" s="1451" t="str">
        <f>TEXT(Table626893456791011121314[[#This Row],[PO Date]], "mmmm")</f>
        <v>April</v>
      </c>
      <c r="V13" s="1349">
        <f>Table626893456791011121314[[#This Row],[Offer Value]]-Table626893456791011121314[[#This Row],[PO Value]]</f>
        <v>0</v>
      </c>
      <c r="W13" s="1451"/>
      <c r="X13" s="1451"/>
      <c r="Y13" s="1459"/>
      <c r="Z13" s="3508"/>
      <c r="AA13" s="3508"/>
      <c r="AC13" s="1663" t="s">
        <v>49</v>
      </c>
      <c r="AD13" s="1664">
        <f>SUMIF($O$7:$O$419,"November",$N$7:$N$419)</f>
        <v>100000</v>
      </c>
      <c r="AE13" s="1665">
        <f>SUMIF($U$7:$U$419,"November",$T$7:$T$419)</f>
        <v>989251</v>
      </c>
      <c r="AF13" s="1666">
        <f>SUMIF($P$7:$P$427,"November",$N$7:$N$427)</f>
        <v>3208676</v>
      </c>
      <c r="AG13" s="995">
        <f t="shared" si="0"/>
        <v>2219425</v>
      </c>
    </row>
    <row r="14" spans="1:33" ht="18.600000000000001" customHeight="1">
      <c r="A14" s="1451">
        <v>8</v>
      </c>
      <c r="B14" s="1452">
        <v>45720</v>
      </c>
      <c r="C14" s="1453" t="s">
        <v>792</v>
      </c>
      <c r="D14" s="1453" t="s">
        <v>4635</v>
      </c>
      <c r="E14" s="1453" t="s">
        <v>954</v>
      </c>
      <c r="F14" s="1453" t="s">
        <v>4636</v>
      </c>
      <c r="G14" s="1453">
        <v>7643991788</v>
      </c>
      <c r="H14" s="1454" t="s">
        <v>4637</v>
      </c>
      <c r="I14" s="1453" t="s">
        <v>4638</v>
      </c>
      <c r="J14" s="1455" t="s">
        <v>75</v>
      </c>
      <c r="K14" s="1455" t="s">
        <v>157</v>
      </c>
      <c r="L14" s="1455" t="s">
        <v>4640</v>
      </c>
      <c r="M14" s="1456">
        <v>45720</v>
      </c>
      <c r="N14" s="1451">
        <v>290412</v>
      </c>
      <c r="O14" s="1451" t="s">
        <v>25</v>
      </c>
      <c r="P14" s="1451" t="s">
        <v>25</v>
      </c>
      <c r="Q14" s="1377">
        <v>0.9</v>
      </c>
      <c r="R14" s="1457">
        <v>30078346</v>
      </c>
      <c r="S14" s="1458">
        <v>45742</v>
      </c>
      <c r="T14" s="1451">
        <v>272987</v>
      </c>
      <c r="U14" s="1451" t="str">
        <f>TEXT(Table626893456791011121314[[#This Row],[PO Date]], "mmmm")</f>
        <v>March</v>
      </c>
      <c r="V14" s="1349">
        <f>Table626893456791011121314[[#This Row],[Offer Value]]-Table626893456791011121314[[#This Row],[PO Value]]</f>
        <v>17425</v>
      </c>
      <c r="W14" s="1463" t="s">
        <v>4641</v>
      </c>
      <c r="X14" s="1451"/>
      <c r="Y14" s="1459"/>
      <c r="Z14" s="3508"/>
      <c r="AA14" s="3508"/>
      <c r="AC14" s="203" t="s">
        <v>62</v>
      </c>
      <c r="AD14" s="356">
        <f>SUMIF($O$7:$O$419,"December",$N$7:$N$419)</f>
        <v>0</v>
      </c>
      <c r="AE14" s="895">
        <f>SUMIF($U$7:$U$419,"December",$T$7:$T$419)</f>
        <v>0</v>
      </c>
      <c r="AF14" s="897">
        <f>SUMIF($P$7:$P$427,"December",$N$7:$N$427)</f>
        <v>3565273</v>
      </c>
      <c r="AG14" s="995">
        <f t="shared" si="0"/>
        <v>3565273</v>
      </c>
    </row>
    <row r="15" spans="1:33" s="1642" customFormat="1" ht="15.6">
      <c r="A15" s="1451">
        <v>9</v>
      </c>
      <c r="B15" s="1452">
        <v>45741</v>
      </c>
      <c r="C15" s="1453" t="s">
        <v>132</v>
      </c>
      <c r="D15" s="1453" t="s">
        <v>4635</v>
      </c>
      <c r="E15" s="1453" t="s">
        <v>954</v>
      </c>
      <c r="F15" s="1453" t="s">
        <v>4642</v>
      </c>
      <c r="G15" s="1453">
        <v>9234623645</v>
      </c>
      <c r="H15" s="1454" t="s">
        <v>4643</v>
      </c>
      <c r="I15" s="1453" t="s">
        <v>4644</v>
      </c>
      <c r="J15" s="1455" t="s">
        <v>73</v>
      </c>
      <c r="K15" s="1455" t="s">
        <v>138</v>
      </c>
      <c r="L15" s="1455" t="s">
        <v>4645</v>
      </c>
      <c r="M15" s="1456">
        <v>45741</v>
      </c>
      <c r="N15" s="1451">
        <v>640330</v>
      </c>
      <c r="O15" s="1451" t="s">
        <v>25</v>
      </c>
      <c r="P15" s="1451" t="s">
        <v>30</v>
      </c>
      <c r="Q15" s="1377">
        <v>0.9</v>
      </c>
      <c r="R15" s="1457">
        <v>3430061224</v>
      </c>
      <c r="S15" s="1458">
        <v>45800</v>
      </c>
      <c r="T15" s="1451">
        <v>582120</v>
      </c>
      <c r="U15" s="1451" t="str">
        <f>TEXT(Table626893456791011121314[[#This Row],[PO Date]], "mmmm")</f>
        <v>May</v>
      </c>
      <c r="V15" s="1349">
        <v>0</v>
      </c>
      <c r="W15" s="1451" t="s">
        <v>4646</v>
      </c>
      <c r="X15" s="1451"/>
      <c r="Y15" s="1459"/>
      <c r="Z15" s="3508"/>
      <c r="AA15" s="3508"/>
    </row>
    <row r="16" spans="1:33" ht="31.2">
      <c r="A16" s="106">
        <v>10</v>
      </c>
      <c r="B16" s="107">
        <v>45755</v>
      </c>
      <c r="C16" s="115" t="s">
        <v>4647</v>
      </c>
      <c r="D16" s="105" t="s">
        <v>4635</v>
      </c>
      <c r="E16" s="105" t="s">
        <v>954</v>
      </c>
      <c r="F16" s="105" t="s">
        <v>4648</v>
      </c>
      <c r="G16" s="105">
        <v>9234653642</v>
      </c>
      <c r="H16" s="250" t="s">
        <v>4649</v>
      </c>
      <c r="I16" s="105" t="s">
        <v>4650</v>
      </c>
      <c r="J16" s="108" t="s">
        <v>73</v>
      </c>
      <c r="K16" s="108" t="s">
        <v>138</v>
      </c>
      <c r="L16" s="108" t="s">
        <v>4651</v>
      </c>
      <c r="M16" s="112">
        <v>45743</v>
      </c>
      <c r="N16" s="106">
        <v>139698</v>
      </c>
      <c r="O16" s="106" t="s">
        <v>25</v>
      </c>
      <c r="P16" s="106" t="s">
        <v>39</v>
      </c>
      <c r="Q16" s="109">
        <v>0.7</v>
      </c>
      <c r="R16" s="521"/>
      <c r="S16" s="111"/>
      <c r="T16" s="106"/>
      <c r="U16" s="106" t="s">
        <v>7</v>
      </c>
      <c r="V16" s="284">
        <f>Table626893456791011121314[[#This Row],[Offer Value]]-Table626893456791011121314[[#This Row],[PO Value]]</f>
        <v>139698</v>
      </c>
      <c r="W16" s="106"/>
      <c r="X16" s="106"/>
      <c r="Y16" s="605"/>
      <c r="Z16" s="3509"/>
      <c r="AA16" s="3509"/>
    </row>
    <row r="17" spans="1:27" s="1642" customFormat="1" ht="45" customHeight="1">
      <c r="A17" s="1451">
        <v>11</v>
      </c>
      <c r="B17" s="1452">
        <v>45755</v>
      </c>
      <c r="C17" s="1455" t="s">
        <v>792</v>
      </c>
      <c r="D17" s="1455" t="s">
        <v>4635</v>
      </c>
      <c r="E17" s="1455" t="s">
        <v>954</v>
      </c>
      <c r="F17" s="1455" t="s">
        <v>4636</v>
      </c>
      <c r="G17" s="1453">
        <v>7643991788</v>
      </c>
      <c r="H17" s="1661" t="s">
        <v>4637</v>
      </c>
      <c r="I17" s="1453" t="s">
        <v>4638</v>
      </c>
      <c r="J17" s="1455" t="s">
        <v>75</v>
      </c>
      <c r="K17" s="1455" t="s">
        <v>157</v>
      </c>
      <c r="L17" s="1455" t="s">
        <v>4652</v>
      </c>
      <c r="M17" s="1456">
        <v>45753</v>
      </c>
      <c r="N17" s="1451">
        <v>264000</v>
      </c>
      <c r="O17" s="1451" t="s">
        <v>28</v>
      </c>
      <c r="P17" s="1451" t="s">
        <v>28</v>
      </c>
      <c r="Q17" s="1377">
        <v>0.9</v>
      </c>
      <c r="R17" s="1457">
        <v>30078733</v>
      </c>
      <c r="S17" s="1458">
        <v>45765</v>
      </c>
      <c r="T17" s="1451">
        <v>168960</v>
      </c>
      <c r="U17" s="1451" t="str">
        <f>TEXT(Table626893456791011121314[[#This Row],[PO Date]], "mmmm")</f>
        <v>April</v>
      </c>
      <c r="V17" s="1349">
        <f>Table626893456791011121314[[#This Row],[Offer Value]]-Table626893456791011121314[[#This Row],[PO Value]]</f>
        <v>95040</v>
      </c>
      <c r="W17" s="1451"/>
      <c r="X17" s="1451"/>
      <c r="Y17" s="1640"/>
      <c r="Z17" s="1662"/>
      <c r="AA17" s="1662"/>
    </row>
    <row r="18" spans="1:27" s="1642" customFormat="1" ht="15.6">
      <c r="A18" s="1451">
        <v>12</v>
      </c>
      <c r="B18" s="1452">
        <v>45781</v>
      </c>
      <c r="C18" s="1453" t="s">
        <v>792</v>
      </c>
      <c r="D18" s="1453" t="s">
        <v>4635</v>
      </c>
      <c r="E18" s="1641" t="s">
        <v>954</v>
      </c>
      <c r="F18" s="1641" t="s">
        <v>4636</v>
      </c>
      <c r="G18" s="1641">
        <v>7643991788</v>
      </c>
      <c r="H18" s="1661" t="s">
        <v>4637</v>
      </c>
      <c r="I18" s="1453" t="s">
        <v>4638</v>
      </c>
      <c r="J18" s="1455" t="s">
        <v>75</v>
      </c>
      <c r="K18" s="1455" t="s">
        <v>157</v>
      </c>
      <c r="L18" s="1455" t="s">
        <v>4653</v>
      </c>
      <c r="M18" s="1456">
        <v>45772</v>
      </c>
      <c r="N18" s="1451">
        <v>310000</v>
      </c>
      <c r="O18" s="1451" t="s">
        <v>30</v>
      </c>
      <c r="P18" s="1451" t="s">
        <v>37</v>
      </c>
      <c r="Q18" s="1377">
        <v>0.9</v>
      </c>
      <c r="R18" s="1457">
        <v>30079277</v>
      </c>
      <c r="S18" s="1458">
        <v>45805</v>
      </c>
      <c r="T18" s="1451">
        <v>291400</v>
      </c>
      <c r="U18" s="1451" t="str">
        <f>TEXT(Table626893456791011121314[[#This Row],[PO Date]], "mmmm")</f>
        <v>May</v>
      </c>
      <c r="V18" s="1349">
        <f>Table626893456791011121314[[#This Row],[Offer Value]]-Table626893456791011121314[[#This Row],[PO Value]]</f>
        <v>18600</v>
      </c>
      <c r="W18" s="1463"/>
      <c r="X18" s="1451"/>
      <c r="Y18" s="1459"/>
      <c r="Z18" s="3505"/>
      <c r="AA18" s="3505"/>
    </row>
    <row r="19" spans="1:27" s="1642" customFormat="1" ht="15.6">
      <c r="A19" s="1451">
        <v>13</v>
      </c>
      <c r="B19" s="1452">
        <v>45781</v>
      </c>
      <c r="C19" s="1453" t="s">
        <v>792</v>
      </c>
      <c r="D19" s="1453" t="s">
        <v>4635</v>
      </c>
      <c r="E19" s="1455" t="s">
        <v>954</v>
      </c>
      <c r="F19" s="1455" t="s">
        <v>4636</v>
      </c>
      <c r="G19" s="1641">
        <v>7643991788</v>
      </c>
      <c r="H19" s="1661" t="s">
        <v>4637</v>
      </c>
      <c r="I19" s="1453" t="s">
        <v>4638</v>
      </c>
      <c r="J19" s="1455" t="s">
        <v>75</v>
      </c>
      <c r="K19" s="1455" t="s">
        <v>157</v>
      </c>
      <c r="L19" s="1455" t="s">
        <v>4654</v>
      </c>
      <c r="M19" s="1456">
        <v>45778</v>
      </c>
      <c r="N19" s="1451">
        <v>22440</v>
      </c>
      <c r="O19" s="1451" t="s">
        <v>30</v>
      </c>
      <c r="P19" s="1451" t="s">
        <v>30</v>
      </c>
      <c r="Q19" s="1377">
        <v>0.9</v>
      </c>
      <c r="R19" s="1457">
        <v>30079005</v>
      </c>
      <c r="S19" s="1458">
        <v>45784</v>
      </c>
      <c r="T19" s="1451">
        <v>21542.400000000001</v>
      </c>
      <c r="U19" s="1451" t="str">
        <f>TEXT(Table626893456791011121314[[#This Row],[PO Date]], "mmmm")</f>
        <v>May</v>
      </c>
      <c r="V19" s="1349">
        <f>Table626893456791011121314[[#This Row],[Offer Value]]-Table626893456791011121314[[#This Row],[PO Value]]</f>
        <v>897.59999999999854</v>
      </c>
      <c r="W19" s="1463"/>
      <c r="X19" s="1451"/>
      <c r="Y19" s="1640"/>
      <c r="Z19" s="3505"/>
      <c r="AA19" s="3505"/>
    </row>
    <row r="20" spans="1:27" ht="15.6">
      <c r="A20" s="106">
        <v>14</v>
      </c>
      <c r="B20" s="107">
        <v>45804</v>
      </c>
      <c r="C20" s="105" t="s">
        <v>4599</v>
      </c>
      <c r="D20" s="105" t="s">
        <v>4600</v>
      </c>
      <c r="E20" s="105" t="s">
        <v>954</v>
      </c>
      <c r="F20" s="105" t="s">
        <v>4601</v>
      </c>
      <c r="G20" s="105">
        <v>9802902507</v>
      </c>
      <c r="H20" s="250" t="s">
        <v>4603</v>
      </c>
      <c r="I20" s="105" t="s">
        <v>4604</v>
      </c>
      <c r="J20" s="108" t="s">
        <v>75</v>
      </c>
      <c r="K20" s="108" t="s">
        <v>157</v>
      </c>
      <c r="L20" s="108" t="s">
        <v>4655</v>
      </c>
      <c r="M20" s="112">
        <v>45802</v>
      </c>
      <c r="N20" s="106">
        <v>44000</v>
      </c>
      <c r="O20" s="106" t="s">
        <v>30</v>
      </c>
      <c r="P20" s="106" t="s">
        <v>62</v>
      </c>
      <c r="Q20" s="109">
        <v>0.8</v>
      </c>
      <c r="R20" s="521"/>
      <c r="S20" s="111"/>
      <c r="T20" s="106"/>
      <c r="U20" s="106" t="str">
        <f>TEXT(Table626893456791011121314[[#This Row],[PO Date]], "mmmm")</f>
        <v>January</v>
      </c>
      <c r="V20" s="284">
        <f>Table626893456791011121314[[#This Row],[Offer Value]]-Table626893456791011121314[[#This Row],[PO Value]]</f>
        <v>44000</v>
      </c>
      <c r="W20" s="110"/>
      <c r="X20" s="106"/>
      <c r="Y20" s="605"/>
      <c r="Z20" s="3505"/>
      <c r="AA20" s="3505"/>
    </row>
    <row r="21" spans="1:27" ht="15.6">
      <c r="A21" s="106">
        <v>15</v>
      </c>
      <c r="B21" s="107">
        <v>45804</v>
      </c>
      <c r="C21" s="105" t="s">
        <v>132</v>
      </c>
      <c r="D21" s="105" t="s">
        <v>4635</v>
      </c>
      <c r="E21" s="105" t="s">
        <v>954</v>
      </c>
      <c r="F21" s="105" t="s">
        <v>4642</v>
      </c>
      <c r="G21" s="105">
        <v>923462345</v>
      </c>
      <c r="H21" s="250" t="s">
        <v>4643</v>
      </c>
      <c r="I21" s="105" t="s">
        <v>4644</v>
      </c>
      <c r="J21" s="108" t="s">
        <v>75</v>
      </c>
      <c r="K21" s="108" t="s">
        <v>157</v>
      </c>
      <c r="L21" s="108" t="s">
        <v>4656</v>
      </c>
      <c r="M21" s="112">
        <v>45801</v>
      </c>
      <c r="N21" s="106">
        <v>1214610</v>
      </c>
      <c r="O21" s="106" t="s">
        <v>30</v>
      </c>
      <c r="P21" s="106" t="s">
        <v>62</v>
      </c>
      <c r="Q21" s="109">
        <v>0.7</v>
      </c>
      <c r="R21" s="521"/>
      <c r="S21" s="111"/>
      <c r="T21" s="106"/>
      <c r="U21" s="106" t="str">
        <f>TEXT(Table626893456791011121314[[#This Row],[PO Date]], "mmmm")</f>
        <v>January</v>
      </c>
      <c r="V21" s="284">
        <f>Table626893456791011121314[[#This Row],[Offer Value]]-Table626893456791011121314[[#This Row],[PO Value]]</f>
        <v>1214610</v>
      </c>
      <c r="W21" s="110"/>
      <c r="X21" s="106"/>
      <c r="Y21" s="604"/>
      <c r="Z21" s="257"/>
      <c r="AA21" s="7"/>
    </row>
    <row r="22" spans="1:27" ht="15.6">
      <c r="A22" s="106"/>
      <c r="B22" s="107">
        <v>45804</v>
      </c>
      <c r="C22" s="105" t="s">
        <v>132</v>
      </c>
      <c r="D22" s="105" t="s">
        <v>4635</v>
      </c>
      <c r="E22" s="105" t="s">
        <v>954</v>
      </c>
      <c r="F22" s="105" t="s">
        <v>4642</v>
      </c>
      <c r="G22" s="105">
        <v>9234623645</v>
      </c>
      <c r="H22" s="250" t="s">
        <v>4643</v>
      </c>
      <c r="I22" s="105" t="s">
        <v>4657</v>
      </c>
      <c r="J22" s="108" t="s">
        <v>75</v>
      </c>
      <c r="K22" s="108" t="s">
        <v>157</v>
      </c>
      <c r="L22" s="108" t="s">
        <v>4656</v>
      </c>
      <c r="M22" s="112">
        <v>45801</v>
      </c>
      <c r="N22" s="106">
        <v>319896</v>
      </c>
      <c r="O22" s="106" t="s">
        <v>30</v>
      </c>
      <c r="P22" s="106" t="s">
        <v>62</v>
      </c>
      <c r="Q22" s="109">
        <v>0.9</v>
      </c>
      <c r="R22" s="521"/>
      <c r="S22" s="111"/>
      <c r="T22" s="106"/>
      <c r="U22" s="106" t="str">
        <f>TEXT(Table626893456791011121314[[#This Row],[PO Date]], "mmmm")</f>
        <v>January</v>
      </c>
      <c r="V22" s="284">
        <f>Table626893456791011121314[[#This Row],[Offer Value]]-Table626893456791011121314[[#This Row],[PO Value]]</f>
        <v>319896</v>
      </c>
      <c r="W22" s="110"/>
      <c r="X22" s="106"/>
      <c r="Y22" s="604"/>
      <c r="Z22" s="257"/>
      <c r="AA22" s="7"/>
    </row>
    <row r="23" spans="1:27" s="1267" customFormat="1" ht="109.2">
      <c r="A23" s="1106">
        <v>16</v>
      </c>
      <c r="B23" s="2712">
        <v>45861</v>
      </c>
      <c r="C23" s="1106" t="s">
        <v>4599</v>
      </c>
      <c r="D23" s="1106" t="s">
        <v>4600</v>
      </c>
      <c r="E23" s="1106" t="s">
        <v>954</v>
      </c>
      <c r="F23" s="1106" t="s">
        <v>4601</v>
      </c>
      <c r="G23" s="1106" t="s">
        <v>4658</v>
      </c>
      <c r="H23" s="2929" t="s">
        <v>4603</v>
      </c>
      <c r="I23" s="1106" t="s">
        <v>4604</v>
      </c>
      <c r="J23" s="2930" t="s">
        <v>73</v>
      </c>
      <c r="K23" s="2930" t="s">
        <v>138</v>
      </c>
      <c r="L23" s="2930" t="s">
        <v>4659</v>
      </c>
      <c r="M23" s="2931">
        <v>45838</v>
      </c>
      <c r="N23" s="1106">
        <v>361152</v>
      </c>
      <c r="O23" s="1106" t="s">
        <v>34</v>
      </c>
      <c r="P23" s="1106" t="s">
        <v>49</v>
      </c>
      <c r="Q23" s="2932">
        <v>0.9</v>
      </c>
      <c r="R23" s="2933" t="s">
        <v>4660</v>
      </c>
      <c r="S23" s="2931">
        <v>45943</v>
      </c>
      <c r="T23" s="1106">
        <v>350000</v>
      </c>
      <c r="U23" s="1106" t="s">
        <v>49</v>
      </c>
      <c r="V23" s="2691"/>
      <c r="W23" s="2930" t="s">
        <v>4661</v>
      </c>
      <c r="X23" s="1106"/>
      <c r="Y23" s="2934"/>
      <c r="Z23" s="2935"/>
      <c r="AA23" s="1278"/>
    </row>
    <row r="24" spans="1:27" s="1267" customFormat="1" ht="15.6">
      <c r="A24" s="1042">
        <v>17</v>
      </c>
      <c r="B24" s="1125">
        <v>45861</v>
      </c>
      <c r="C24" s="1120" t="s">
        <v>4599</v>
      </c>
      <c r="D24" s="1120" t="s">
        <v>4600</v>
      </c>
      <c r="E24" s="1120" t="s">
        <v>954</v>
      </c>
      <c r="F24" s="1120" t="s">
        <v>4662</v>
      </c>
      <c r="G24" s="1120" t="s">
        <v>4663</v>
      </c>
      <c r="H24" s="1142" t="s">
        <v>4664</v>
      </c>
      <c r="I24" s="1120" t="s">
        <v>4665</v>
      </c>
      <c r="J24" s="1041" t="s">
        <v>73</v>
      </c>
      <c r="K24" s="1041" t="s">
        <v>138</v>
      </c>
      <c r="L24" s="1041" t="s">
        <v>4666</v>
      </c>
      <c r="M24" s="1133">
        <v>45838</v>
      </c>
      <c r="N24" s="1042">
        <v>180576</v>
      </c>
      <c r="O24" s="1042" t="s">
        <v>34</v>
      </c>
      <c r="P24" s="1042" t="s">
        <v>44</v>
      </c>
      <c r="Q24" s="1054">
        <v>0.9</v>
      </c>
      <c r="R24" s="1137">
        <v>4500035457</v>
      </c>
      <c r="S24" s="1138">
        <v>45940</v>
      </c>
      <c r="T24" s="1042">
        <v>175000</v>
      </c>
      <c r="U24" s="1042" t="s">
        <v>49</v>
      </c>
      <c r="V24" s="1025">
        <f>Table626893456791011121314[[#This Row],[Offer Value]]-Table626893456791011121314[[#This Row],[PO Value]]</f>
        <v>5576</v>
      </c>
      <c r="W24" s="1126"/>
      <c r="X24" s="1042"/>
      <c r="Y24" s="1127"/>
      <c r="Z24" s="1128"/>
      <c r="AA24" s="1278"/>
    </row>
    <row r="25" spans="1:27" s="1267" customFormat="1" ht="93.6">
      <c r="A25" s="1042">
        <v>18</v>
      </c>
      <c r="B25" s="1125">
        <v>45728</v>
      </c>
      <c r="C25" s="1120" t="s">
        <v>4667</v>
      </c>
      <c r="D25" s="1120" t="s">
        <v>4635</v>
      </c>
      <c r="E25" s="1120" t="s">
        <v>954</v>
      </c>
      <c r="F25" s="1120" t="s">
        <v>4668</v>
      </c>
      <c r="G25" s="1120">
        <v>6572227315</v>
      </c>
      <c r="H25" s="1142" t="s">
        <v>4669</v>
      </c>
      <c r="I25" s="1120" t="s">
        <v>4670</v>
      </c>
      <c r="J25" s="1041" t="s">
        <v>75</v>
      </c>
      <c r="K25" s="1041" t="s">
        <v>138</v>
      </c>
      <c r="L25" s="1041" t="s">
        <v>4671</v>
      </c>
      <c r="M25" s="1133">
        <v>45728</v>
      </c>
      <c r="N25" s="1042">
        <v>363925</v>
      </c>
      <c r="O25" s="1042" t="s">
        <v>25</v>
      </c>
      <c r="P25" s="1042" t="s">
        <v>28</v>
      </c>
      <c r="Q25" s="1054">
        <v>0.9</v>
      </c>
      <c r="R25" s="1137" t="s">
        <v>4672</v>
      </c>
      <c r="S25" s="1138">
        <v>45742</v>
      </c>
      <c r="T25" s="1042">
        <v>356427</v>
      </c>
      <c r="U25" s="1042" t="str">
        <f>TEXT(Table626893456791011121314[[#This Row],[PO Date]], "mmmm")</f>
        <v>March</v>
      </c>
      <c r="V25" s="1025">
        <f>Table626893456791011121314[[#This Row],[Offer Value]]-Table626893456791011121314[[#This Row],[PO Value]]</f>
        <v>7498</v>
      </c>
      <c r="W25" s="1126" t="s">
        <v>4673</v>
      </c>
      <c r="X25" s="1042"/>
      <c r="Y25" s="1127"/>
      <c r="Z25" s="3506"/>
      <c r="AA25" s="3506"/>
    </row>
    <row r="26" spans="1:27" s="1267" customFormat="1" ht="15.6">
      <c r="A26" s="1042">
        <v>19</v>
      </c>
      <c r="B26" s="1125">
        <v>45900</v>
      </c>
      <c r="C26" s="1120"/>
      <c r="D26" s="1120" t="s">
        <v>4625</v>
      </c>
      <c r="E26" s="1120" t="s">
        <v>954</v>
      </c>
      <c r="F26" s="1120" t="s">
        <v>4674</v>
      </c>
      <c r="G26" s="1120">
        <v>9937996877</v>
      </c>
      <c r="H26" s="1142" t="s">
        <v>3912</v>
      </c>
      <c r="I26" s="1120" t="s">
        <v>3913</v>
      </c>
      <c r="J26" s="1041" t="s">
        <v>75</v>
      </c>
      <c r="K26" s="1041" t="s">
        <v>157</v>
      </c>
      <c r="L26" s="1041" t="s">
        <v>4675</v>
      </c>
      <c r="M26" s="1133">
        <v>45899</v>
      </c>
      <c r="N26" s="1042">
        <v>869988</v>
      </c>
      <c r="O26" s="1042" t="s">
        <v>39</v>
      </c>
      <c r="P26" s="1042" t="s">
        <v>47</v>
      </c>
      <c r="Q26" s="1054">
        <v>0.8</v>
      </c>
      <c r="R26" s="1137">
        <v>252620377</v>
      </c>
      <c r="S26" s="1138">
        <v>45901</v>
      </c>
      <c r="T26" s="1042">
        <v>160800</v>
      </c>
      <c r="U26" s="1042" t="str">
        <f>TEXT(Table626893456791011121314[[#This Row],[PO Date]], "mmmm")</f>
        <v>September</v>
      </c>
      <c r="V26" s="1025">
        <f>Table626893456791011121314[[#This Row],[Offer Value]]-Table626893456791011121314[[#This Row],[PO Value]]</f>
        <v>709188</v>
      </c>
      <c r="W26" s="1042" t="s">
        <v>4676</v>
      </c>
      <c r="X26" s="1042"/>
      <c r="Y26" s="1134"/>
      <c r="Z26" s="3506"/>
      <c r="AA26" s="3506"/>
    </row>
    <row r="27" spans="1:27" s="4" customFormat="1" ht="15.6">
      <c r="A27" s="817">
        <v>20</v>
      </c>
      <c r="B27" s="1465">
        <v>45900</v>
      </c>
      <c r="C27" s="1830"/>
      <c r="D27" s="1830" t="s">
        <v>4625</v>
      </c>
      <c r="E27" s="1830" t="s">
        <v>954</v>
      </c>
      <c r="F27" s="1830" t="s">
        <v>4674</v>
      </c>
      <c r="G27" s="1830">
        <v>9937996877</v>
      </c>
      <c r="H27" s="1448" t="s">
        <v>3912</v>
      </c>
      <c r="I27" s="1830" t="s">
        <v>3913</v>
      </c>
      <c r="J27" s="1832" t="s">
        <v>73</v>
      </c>
      <c r="K27" s="1832" t="s">
        <v>157</v>
      </c>
      <c r="L27" s="1832" t="s">
        <v>4677</v>
      </c>
      <c r="M27" s="2936">
        <v>45882</v>
      </c>
      <c r="N27" s="817">
        <v>696000</v>
      </c>
      <c r="O27" s="817" t="s">
        <v>39</v>
      </c>
      <c r="P27" s="817" t="s">
        <v>49</v>
      </c>
      <c r="Q27" s="860">
        <v>0.7</v>
      </c>
      <c r="R27" s="2937"/>
      <c r="S27" s="2938"/>
      <c r="T27" s="817"/>
      <c r="U27" s="817" t="str">
        <f>TEXT(Table626893456791011121314[[#This Row],[PO Date]], "mmmm")</f>
        <v>January</v>
      </c>
      <c r="V27" s="2299">
        <f>Table626893456791011121314[[#This Row],[Offer Value]]-Table626893456791011121314[[#This Row],[PO Value]]</f>
        <v>696000</v>
      </c>
      <c r="W27" s="817" t="s">
        <v>4678</v>
      </c>
      <c r="X27" s="817"/>
      <c r="Y27" s="2939"/>
      <c r="Z27" s="3506"/>
      <c r="AA27" s="3506"/>
    </row>
    <row r="28" spans="1:27" s="1267" customFormat="1" ht="22.5" customHeight="1">
      <c r="A28" s="1042">
        <v>21</v>
      </c>
      <c r="B28" s="1125">
        <v>45900</v>
      </c>
      <c r="C28" s="1120" t="s">
        <v>792</v>
      </c>
      <c r="D28" s="1120" t="s">
        <v>4635</v>
      </c>
      <c r="E28" s="1120" t="s">
        <v>954</v>
      </c>
      <c r="F28" s="1120" t="s">
        <v>4636</v>
      </c>
      <c r="G28" s="1140">
        <v>7643991788</v>
      </c>
      <c r="H28" s="1132" t="s">
        <v>4637</v>
      </c>
      <c r="I28" s="1120" t="s">
        <v>4638</v>
      </c>
      <c r="J28" s="1041" t="s">
        <v>75</v>
      </c>
      <c r="K28" s="1041" t="s">
        <v>157</v>
      </c>
      <c r="L28" s="1041" t="s">
        <v>4679</v>
      </c>
      <c r="M28" s="1133">
        <v>45863</v>
      </c>
      <c r="N28" s="1042">
        <v>20478</v>
      </c>
      <c r="O28" s="1042" t="s">
        <v>37</v>
      </c>
      <c r="P28" s="1042" t="s">
        <v>39</v>
      </c>
      <c r="Q28" s="1054">
        <v>0.9</v>
      </c>
      <c r="R28" s="1137">
        <v>30080060</v>
      </c>
      <c r="S28" s="1138">
        <v>45867</v>
      </c>
      <c r="T28" s="1042"/>
      <c r="U28" s="1042" t="str">
        <f>TEXT(Table626893456791011121314[[#This Row],[PO Date]], "mmmm")</f>
        <v>July</v>
      </c>
      <c r="V28" s="1025">
        <f>Table626893456791011121314[[#This Row],[Offer Value]]-Table626893456791011121314[[#This Row],[PO Value]]</f>
        <v>20478</v>
      </c>
      <c r="W28" s="1126" t="s">
        <v>4680</v>
      </c>
      <c r="X28" s="1042"/>
      <c r="Y28" s="1127"/>
      <c r="Z28" s="1128"/>
      <c r="AA28" s="1128"/>
    </row>
    <row r="29" spans="1:27" ht="15.6">
      <c r="A29" s="106">
        <v>22</v>
      </c>
      <c r="B29" s="107">
        <v>45900</v>
      </c>
      <c r="C29" s="108" t="s">
        <v>1190</v>
      </c>
      <c r="D29" s="108" t="s">
        <v>4612</v>
      </c>
      <c r="E29" s="108" t="s">
        <v>954</v>
      </c>
      <c r="F29" s="108" t="s">
        <v>4681</v>
      </c>
      <c r="G29" s="105">
        <v>9438221361</v>
      </c>
      <c r="H29" s="248" t="s">
        <v>4614</v>
      </c>
      <c r="I29" s="105" t="s">
        <v>4682</v>
      </c>
      <c r="J29" s="108" t="s">
        <v>73</v>
      </c>
      <c r="K29" s="108" t="s">
        <v>138</v>
      </c>
      <c r="L29" s="108" t="s">
        <v>4683</v>
      </c>
      <c r="M29" s="112">
        <v>45899</v>
      </c>
      <c r="N29" s="106">
        <v>503010</v>
      </c>
      <c r="O29" s="106" t="s">
        <v>39</v>
      </c>
      <c r="P29" s="106" t="s">
        <v>49</v>
      </c>
      <c r="Q29" s="109">
        <v>0.9</v>
      </c>
      <c r="R29" s="521"/>
      <c r="S29" s="111"/>
      <c r="T29" s="106"/>
      <c r="U29" s="106" t="str">
        <f>TEXT(Table626893456791011121314[[#This Row],[PO Date]], "mmmm")</f>
        <v>January</v>
      </c>
      <c r="V29" s="284">
        <f>Table626893456791011121314[[#This Row],[Offer Value]]-Table626893456791011121314[[#This Row],[PO Value]]</f>
        <v>503010</v>
      </c>
      <c r="W29" s="110"/>
      <c r="X29" s="106"/>
      <c r="Y29" s="604"/>
      <c r="Z29" s="257"/>
      <c r="AA29" s="257"/>
    </row>
    <row r="30" spans="1:27" s="1267" customFormat="1" ht="15.6">
      <c r="A30" s="1042">
        <v>23</v>
      </c>
      <c r="B30" s="1125">
        <v>45918</v>
      </c>
      <c r="C30" s="1120" t="s">
        <v>792</v>
      </c>
      <c r="D30" s="1120" t="s">
        <v>4635</v>
      </c>
      <c r="E30" s="1041" t="s">
        <v>954</v>
      </c>
      <c r="F30" s="1041" t="s">
        <v>4636</v>
      </c>
      <c r="G30" s="1140">
        <v>7643991788</v>
      </c>
      <c r="H30" s="1132" t="s">
        <v>4637</v>
      </c>
      <c r="I30" s="1041" t="s">
        <v>4638</v>
      </c>
      <c r="J30" s="1122" t="s">
        <v>75</v>
      </c>
      <c r="K30" s="1122" t="s">
        <v>157</v>
      </c>
      <c r="L30" s="1041" t="s">
        <v>4684</v>
      </c>
      <c r="M30" s="1133">
        <v>45907</v>
      </c>
      <c r="N30" s="1042">
        <v>985754</v>
      </c>
      <c r="O30" s="1042" t="s">
        <v>44</v>
      </c>
      <c r="P30" s="1042" t="s">
        <v>49</v>
      </c>
      <c r="Q30" s="1054">
        <v>0.9</v>
      </c>
      <c r="R30" s="1143">
        <v>30080489</v>
      </c>
      <c r="S30" s="1138">
        <v>45908</v>
      </c>
      <c r="T30" s="1042">
        <v>92675</v>
      </c>
      <c r="U30" s="1042" t="s">
        <v>49</v>
      </c>
      <c r="V30" s="1025">
        <f>Table626893456791011121314[[#This Row],[Offer Value]]-Table626893456791011121314[[#This Row],[PO Value]]</f>
        <v>893079</v>
      </c>
      <c r="W30" s="1126"/>
      <c r="X30" s="1149"/>
      <c r="Y30" s="1134"/>
      <c r="Z30" s="1128"/>
      <c r="AA30" s="1128"/>
    </row>
    <row r="31" spans="1:27" s="1267" customFormat="1" ht="15.6">
      <c r="A31" s="1042">
        <v>24</v>
      </c>
      <c r="B31" s="1125">
        <v>45918</v>
      </c>
      <c r="C31" s="1120" t="s">
        <v>132</v>
      </c>
      <c r="D31" s="1120" t="s">
        <v>4635</v>
      </c>
      <c r="E31" s="1041" t="s">
        <v>954</v>
      </c>
      <c r="F31" s="1041" t="s">
        <v>4642</v>
      </c>
      <c r="G31" s="1041">
        <v>9234623645</v>
      </c>
      <c r="H31" s="1139" t="s">
        <v>4643</v>
      </c>
      <c r="I31" s="1041" t="s">
        <v>4657</v>
      </c>
      <c r="J31" s="1122" t="s">
        <v>75</v>
      </c>
      <c r="K31" s="1122" t="s">
        <v>157</v>
      </c>
      <c r="L31" s="1041" t="s">
        <v>4685</v>
      </c>
      <c r="M31" s="1124">
        <v>45902</v>
      </c>
      <c r="N31" s="1042">
        <v>296200</v>
      </c>
      <c r="O31" s="1042" t="s">
        <v>44</v>
      </c>
      <c r="P31" s="1042" t="s">
        <v>49</v>
      </c>
      <c r="Q31" s="1054">
        <v>0.9</v>
      </c>
      <c r="R31" s="1137">
        <v>3410432865</v>
      </c>
      <c r="S31" s="1138">
        <v>45936</v>
      </c>
      <c r="T31" s="1042">
        <v>275576</v>
      </c>
      <c r="U31" s="1042" t="s">
        <v>49</v>
      </c>
      <c r="V31" s="1025">
        <f>Table626893456791011121314[[#This Row],[Offer Value]]-Table626893456791011121314[[#This Row],[PO Value]]</f>
        <v>20624</v>
      </c>
      <c r="W31" s="1126"/>
      <c r="X31" s="1042"/>
      <c r="Y31" s="1127"/>
      <c r="Z31" s="1128"/>
      <c r="AA31" s="1128"/>
    </row>
    <row r="32" spans="1:27" ht="62.4">
      <c r="A32" s="106">
        <v>25</v>
      </c>
      <c r="B32" s="107">
        <v>45918</v>
      </c>
      <c r="C32" s="105" t="s">
        <v>2737</v>
      </c>
      <c r="D32" s="105" t="s">
        <v>4686</v>
      </c>
      <c r="E32" s="105" t="s">
        <v>954</v>
      </c>
      <c r="F32" s="108" t="s">
        <v>4687</v>
      </c>
      <c r="G32" s="105">
        <v>9232122264</v>
      </c>
      <c r="H32" s="248" t="s">
        <v>4688</v>
      </c>
      <c r="I32" s="105" t="s">
        <v>4689</v>
      </c>
      <c r="J32" s="115" t="s">
        <v>75</v>
      </c>
      <c r="K32" s="115" t="s">
        <v>157</v>
      </c>
      <c r="L32" s="108" t="s">
        <v>4690</v>
      </c>
      <c r="M32" s="116">
        <v>45908</v>
      </c>
      <c r="N32" s="106">
        <v>125271</v>
      </c>
      <c r="O32" s="106" t="s">
        <v>44</v>
      </c>
      <c r="P32" s="106" t="s">
        <v>7</v>
      </c>
      <c r="Q32" s="109">
        <v>0.5</v>
      </c>
      <c r="R32" s="522"/>
      <c r="S32" s="111"/>
      <c r="T32" s="106"/>
      <c r="U32" s="106" t="str">
        <f>TEXT(Table626893456791011121314[[#This Row],[PO Date]], "mmmm")</f>
        <v>January</v>
      </c>
      <c r="V32" s="284">
        <f>Table626893456791011121314[[#This Row],[Offer Value]]-Table626893456791011121314[[#This Row],[PO Value]]</f>
        <v>125271</v>
      </c>
      <c r="W32" s="110" t="s">
        <v>4691</v>
      </c>
      <c r="X32" s="106"/>
      <c r="Y32" s="605"/>
      <c r="Z32" s="257"/>
      <c r="AA32" s="257"/>
    </row>
    <row r="33" spans="1:27" ht="27" customHeight="1">
      <c r="A33" s="106">
        <v>26</v>
      </c>
      <c r="B33" s="107">
        <v>45937</v>
      </c>
      <c r="C33" s="105" t="s">
        <v>1190</v>
      </c>
      <c r="D33" s="105" t="s">
        <v>4612</v>
      </c>
      <c r="E33" s="108" t="s">
        <v>954</v>
      </c>
      <c r="F33" s="108" t="s">
        <v>4692</v>
      </c>
      <c r="G33" s="108">
        <v>9437599462</v>
      </c>
      <c r="H33" s="251" t="s">
        <v>4693</v>
      </c>
      <c r="I33" s="108" t="s">
        <v>4615</v>
      </c>
      <c r="J33" s="115" t="s">
        <v>75</v>
      </c>
      <c r="K33" s="115" t="s">
        <v>157</v>
      </c>
      <c r="L33" s="113" t="s">
        <v>4694</v>
      </c>
      <c r="M33" s="116">
        <v>45932</v>
      </c>
      <c r="N33" s="106">
        <v>1986767</v>
      </c>
      <c r="O33" s="106" t="s">
        <v>47</v>
      </c>
      <c r="P33" s="106" t="s">
        <v>62</v>
      </c>
      <c r="Q33" s="109">
        <v>0.8</v>
      </c>
      <c r="R33" s="521"/>
      <c r="S33" s="111"/>
      <c r="T33" s="106"/>
      <c r="U33" s="106" t="str">
        <f>TEXT(Table626893456791011121314[[#This Row],[PO Date]], "mmmm")</f>
        <v>January</v>
      </c>
      <c r="V33" s="284">
        <f>Table626893456791011121314[[#This Row],[Offer Value]]-Table626893456791011121314[[#This Row],[PO Value]]</f>
        <v>1986767</v>
      </c>
      <c r="W33" s="110"/>
      <c r="X33" s="106"/>
      <c r="Y33" s="605"/>
      <c r="Z33" s="257"/>
      <c r="AA33" s="7"/>
    </row>
    <row r="34" spans="1:27" ht="43.5" customHeight="1">
      <c r="A34" s="106">
        <v>27</v>
      </c>
      <c r="B34" s="107">
        <v>45937</v>
      </c>
      <c r="C34" s="105" t="s">
        <v>4667</v>
      </c>
      <c r="D34" s="108" t="s">
        <v>4635</v>
      </c>
      <c r="E34" s="108" t="s">
        <v>954</v>
      </c>
      <c r="F34" s="2042" t="s">
        <v>4695</v>
      </c>
      <c r="G34" s="2042">
        <v>6299200456</v>
      </c>
      <c r="H34" s="251" t="s">
        <v>4696</v>
      </c>
      <c r="I34" s="108" t="s">
        <v>4670</v>
      </c>
      <c r="J34" s="115" t="s">
        <v>75</v>
      </c>
      <c r="K34" s="115" t="s">
        <v>157</v>
      </c>
      <c r="L34" s="113" t="s">
        <v>4697</v>
      </c>
      <c r="M34" s="116">
        <v>45924</v>
      </c>
      <c r="N34" s="106">
        <v>266560</v>
      </c>
      <c r="O34" s="106" t="s">
        <v>44</v>
      </c>
      <c r="P34" s="106" t="s">
        <v>49</v>
      </c>
      <c r="Q34" s="109">
        <v>0.7</v>
      </c>
      <c r="R34" s="521"/>
      <c r="S34" s="111"/>
      <c r="T34" s="106"/>
      <c r="U34" s="106" t="str">
        <f>TEXT(Table626893456791011121314[[#This Row],[PO Date]], "mmmm")</f>
        <v>January</v>
      </c>
      <c r="V34" s="284">
        <f>Table626893456791011121314[[#This Row],[Offer Value]]-Table626893456791011121314[[#This Row],[PO Value]]</f>
        <v>266560</v>
      </c>
      <c r="W34" s="110"/>
      <c r="X34" s="106"/>
      <c r="Y34" s="605"/>
      <c r="Z34" s="257"/>
      <c r="AA34" s="257"/>
    </row>
    <row r="35" spans="1:27" s="1267" customFormat="1" ht="31.2">
      <c r="A35" s="1042">
        <v>28</v>
      </c>
      <c r="B35" s="1125">
        <v>45978</v>
      </c>
      <c r="C35" s="1120" t="s">
        <v>178</v>
      </c>
      <c r="D35" s="1120" t="s">
        <v>4698</v>
      </c>
      <c r="E35" s="1041" t="s">
        <v>954</v>
      </c>
      <c r="F35" s="1120" t="s">
        <v>4699</v>
      </c>
      <c r="G35" s="1120">
        <v>9798766882</v>
      </c>
      <c r="H35" s="1132" t="s">
        <v>4700</v>
      </c>
      <c r="I35" s="1120" t="s">
        <v>4701</v>
      </c>
      <c r="J35" s="1122" t="s">
        <v>79</v>
      </c>
      <c r="K35" s="1122" t="s">
        <v>138</v>
      </c>
      <c r="L35" s="1140" t="s">
        <v>4702</v>
      </c>
      <c r="M35" s="1124">
        <v>45972</v>
      </c>
      <c r="N35" s="1042">
        <v>100000</v>
      </c>
      <c r="O35" s="1042" t="s">
        <v>49</v>
      </c>
      <c r="P35" s="1042" t="s">
        <v>49</v>
      </c>
      <c r="Q35" s="1054">
        <v>0.9</v>
      </c>
      <c r="R35" s="1137">
        <v>4200369833</v>
      </c>
      <c r="S35" s="1138">
        <v>45972</v>
      </c>
      <c r="T35" s="1042">
        <v>96000</v>
      </c>
      <c r="U35" s="1042" t="str">
        <f>TEXT(Table626893456791011121314[[#This Row],[PO Date]], "mmmm")</f>
        <v>November</v>
      </c>
      <c r="V35" s="1025">
        <f>Table626893456791011121314[[#This Row],[Offer Value]]-Table626893456791011121314[[#This Row],[PO Value]]</f>
        <v>4000</v>
      </c>
      <c r="W35" s="1126"/>
      <c r="X35" s="1042"/>
      <c r="Y35" s="1134"/>
      <c r="Z35" s="1128"/>
      <c r="AA35" s="1278"/>
    </row>
    <row r="36" spans="1:27" ht="15.6">
      <c r="A36" s="106"/>
      <c r="B36" s="107"/>
      <c r="C36" s="105"/>
      <c r="D36" s="105"/>
      <c r="E36" s="105"/>
      <c r="F36" s="108"/>
      <c r="G36" s="105"/>
      <c r="H36" s="248"/>
      <c r="I36" s="105"/>
      <c r="J36" s="115"/>
      <c r="K36" s="115"/>
      <c r="L36" s="113"/>
      <c r="M36" s="116"/>
      <c r="N36" s="106"/>
      <c r="O36" s="106"/>
      <c r="P36" s="106"/>
      <c r="Q36" s="109"/>
      <c r="R36" s="522"/>
      <c r="S36" s="111"/>
      <c r="T36" s="106"/>
      <c r="U36" s="106" t="str">
        <f>TEXT(Table626893456791011121314[[#This Row],[PO Date]], "mmmm")</f>
        <v>January</v>
      </c>
      <c r="V36" s="284">
        <f>Table626893456791011121314[[#This Row],[Offer Value]]-Table626893456791011121314[[#This Row],[PO Value]]</f>
        <v>0</v>
      </c>
      <c r="W36" s="110"/>
      <c r="X36" s="106"/>
      <c r="Y36" s="605"/>
      <c r="Z36" s="3505"/>
      <c r="AA36" s="3505"/>
    </row>
    <row r="37" spans="1:27" ht="15.6">
      <c r="A37" s="106"/>
      <c r="B37" s="107"/>
      <c r="C37" s="105"/>
      <c r="D37" s="105"/>
      <c r="E37" s="105"/>
      <c r="F37" s="105"/>
      <c r="G37" s="105"/>
      <c r="H37" s="248"/>
      <c r="I37" s="105"/>
      <c r="J37" s="115"/>
      <c r="K37" s="115"/>
      <c r="L37" s="113"/>
      <c r="M37" s="105"/>
      <c r="N37" s="106"/>
      <c r="O37" s="106"/>
      <c r="P37" s="106"/>
      <c r="Q37" s="109"/>
      <c r="R37" s="521"/>
      <c r="S37" s="111"/>
      <c r="T37" s="106"/>
      <c r="U37" s="106" t="str">
        <f>TEXT(Table626893456791011121314[[#This Row],[PO Date]], "mmmm")</f>
        <v>January</v>
      </c>
      <c r="V37" s="284">
        <f>Table626893456791011121314[[#This Row],[Offer Value]]-Table626893456791011121314[[#This Row],[PO Value]]</f>
        <v>0</v>
      </c>
      <c r="W37" s="110"/>
      <c r="X37" s="106"/>
      <c r="Y37" s="604"/>
      <c r="Z37" s="3505"/>
      <c r="AA37" s="3505"/>
    </row>
    <row r="38" spans="1:27" ht="15.6">
      <c r="A38" s="106"/>
      <c r="B38" s="107"/>
      <c r="C38" s="105"/>
      <c r="D38" s="105"/>
      <c r="E38" s="105"/>
      <c r="F38" s="105"/>
      <c r="G38" s="105"/>
      <c r="H38" s="248"/>
      <c r="I38" s="105"/>
      <c r="J38" s="115"/>
      <c r="K38" s="115"/>
      <c r="L38" s="113"/>
      <c r="M38" s="105"/>
      <c r="N38" s="106"/>
      <c r="O38" s="106"/>
      <c r="P38" s="106"/>
      <c r="Q38" s="109"/>
      <c r="R38" s="521"/>
      <c r="S38" s="111"/>
      <c r="T38" s="106"/>
      <c r="U38" s="106" t="str">
        <f>TEXT(Table626893456791011121314[[#This Row],[PO Date]], "mmmm")</f>
        <v>January</v>
      </c>
      <c r="V38" s="284">
        <f>Table626893456791011121314[[#This Row],[Offer Value]]-Table626893456791011121314[[#This Row],[PO Value]]</f>
        <v>0</v>
      </c>
      <c r="W38" s="110"/>
      <c r="X38" s="106"/>
      <c r="Y38" s="604"/>
      <c r="Z38" s="3505"/>
      <c r="AA38" s="3505"/>
    </row>
    <row r="39" spans="1:27" ht="15.6">
      <c r="A39" s="106"/>
      <c r="B39" s="107"/>
      <c r="C39" s="105"/>
      <c r="D39" s="108"/>
      <c r="E39" s="108"/>
      <c r="F39" s="108"/>
      <c r="G39" s="108"/>
      <c r="H39" s="251"/>
      <c r="I39" s="108"/>
      <c r="J39" s="108"/>
      <c r="K39" s="108"/>
      <c r="L39" s="113"/>
      <c r="M39" s="105"/>
      <c r="N39" s="106"/>
      <c r="O39" s="106"/>
      <c r="P39" s="106"/>
      <c r="Q39" s="109"/>
      <c r="R39" s="521"/>
      <c r="S39" s="111"/>
      <c r="T39" s="106"/>
      <c r="U39" s="106" t="str">
        <f>TEXT(Table626893456791011121314[[#This Row],[PO Date]], "mmmm")</f>
        <v>January</v>
      </c>
      <c r="V39" s="284">
        <f>Table626893456791011121314[[#This Row],[Offer Value]]-Table626893456791011121314[[#This Row],[PO Value]]</f>
        <v>0</v>
      </c>
      <c r="W39" s="110"/>
      <c r="X39" s="106"/>
      <c r="Y39" s="605"/>
      <c r="Z39" s="257"/>
      <c r="AA39" s="7"/>
    </row>
    <row r="40" spans="1:27" ht="15.6">
      <c r="A40" s="106"/>
      <c r="B40" s="107"/>
      <c r="C40" s="105"/>
      <c r="D40" s="108"/>
      <c r="E40" s="108"/>
      <c r="F40" s="108"/>
      <c r="G40" s="108"/>
      <c r="H40" s="251"/>
      <c r="I40" s="108"/>
      <c r="J40" s="108"/>
      <c r="K40" s="108"/>
      <c r="L40" s="113"/>
      <c r="M40" s="105"/>
      <c r="N40" s="106"/>
      <c r="O40" s="106"/>
      <c r="P40" s="106"/>
      <c r="Q40" s="109"/>
      <c r="R40" s="521"/>
      <c r="S40" s="111"/>
      <c r="T40" s="106"/>
      <c r="U40" s="106" t="str">
        <f>TEXT(Table626893456791011121314[[#This Row],[PO Date]], "mmmm")</f>
        <v>January</v>
      </c>
      <c r="V40" s="284">
        <f>Table626893456791011121314[[#This Row],[Offer Value]]-Table626893456791011121314[[#This Row],[PO Value]]</f>
        <v>0</v>
      </c>
      <c r="W40" s="110"/>
      <c r="X40" s="106"/>
      <c r="Y40" s="605"/>
      <c r="Z40" s="3505"/>
      <c r="AA40" s="3505"/>
    </row>
    <row r="41" spans="1:27" ht="15.6">
      <c r="A41" s="106"/>
      <c r="B41" s="107"/>
      <c r="C41" s="105"/>
      <c r="D41" s="108"/>
      <c r="E41" s="108"/>
      <c r="F41" s="108"/>
      <c r="G41" s="108"/>
      <c r="H41" s="251"/>
      <c r="I41" s="105"/>
      <c r="J41" s="115"/>
      <c r="K41" s="115"/>
      <c r="L41" s="113"/>
      <c r="M41" s="105"/>
      <c r="N41" s="106"/>
      <c r="O41" s="106"/>
      <c r="P41" s="106"/>
      <c r="Q41" s="109"/>
      <c r="R41" s="521"/>
      <c r="S41" s="111"/>
      <c r="T41" s="106"/>
      <c r="U41" s="106" t="str">
        <f>TEXT(Table626893456791011121314[[#This Row],[PO Date]], "mmmm")</f>
        <v>January</v>
      </c>
      <c r="V41" s="284">
        <f>Table626893456791011121314[[#This Row],[Offer Value]]-Table626893456791011121314[[#This Row],[PO Value]]</f>
        <v>0</v>
      </c>
      <c r="W41" s="106"/>
      <c r="X41" s="453"/>
      <c r="Y41" s="605"/>
      <c r="Z41" s="3505"/>
      <c r="AA41" s="3505"/>
    </row>
    <row r="42" spans="1:27" ht="15.6">
      <c r="A42" s="106"/>
      <c r="B42" s="107"/>
      <c r="C42" s="105"/>
      <c r="D42" s="108"/>
      <c r="E42" s="108"/>
      <c r="F42" s="108"/>
      <c r="G42" s="108"/>
      <c r="H42" s="251"/>
      <c r="I42" s="105"/>
      <c r="J42" s="115"/>
      <c r="K42" s="115"/>
      <c r="L42" s="113"/>
      <c r="M42" s="105"/>
      <c r="N42" s="106"/>
      <c r="O42" s="106"/>
      <c r="P42" s="106"/>
      <c r="Q42" s="109"/>
      <c r="R42" s="521"/>
      <c r="S42" s="111"/>
      <c r="T42" s="106"/>
      <c r="U42" s="106" t="str">
        <f>TEXT(Table626893456791011121314[[#This Row],[PO Date]], "mmmm")</f>
        <v>January</v>
      </c>
      <c r="V42" s="284">
        <f>Table626893456791011121314[[#This Row],[Offer Value]]-Table626893456791011121314[[#This Row],[PO Value]]</f>
        <v>0</v>
      </c>
      <c r="W42" s="106"/>
      <c r="X42" s="453"/>
      <c r="Y42" s="604"/>
      <c r="Z42" s="257"/>
      <c r="AA42" s="257"/>
    </row>
    <row r="43" spans="1:27" ht="27.6" customHeight="1">
      <c r="A43" s="106"/>
      <c r="B43" s="107"/>
      <c r="C43" s="105"/>
      <c r="D43" s="108"/>
      <c r="E43" s="108"/>
      <c r="F43" s="108"/>
      <c r="G43" s="108"/>
      <c r="H43" s="251"/>
      <c r="I43" s="105"/>
      <c r="J43" s="115"/>
      <c r="K43" s="115"/>
      <c r="L43" s="113"/>
      <c r="M43" s="105"/>
      <c r="N43" s="106"/>
      <c r="O43" s="106"/>
      <c r="P43" s="106"/>
      <c r="Q43" s="109"/>
      <c r="R43" s="521"/>
      <c r="S43" s="111"/>
      <c r="T43" s="106"/>
      <c r="U43" s="106" t="str">
        <f>TEXT(Table626893456791011121314[[#This Row],[PO Date]], "mmmm")</f>
        <v>January</v>
      </c>
      <c r="V43" s="284">
        <f>Table626893456791011121314[[#This Row],[Offer Value]]-Table626893456791011121314[[#This Row],[PO Value]]</f>
        <v>0</v>
      </c>
      <c r="W43" s="106"/>
      <c r="X43" s="106"/>
      <c r="Y43" s="604"/>
      <c r="Z43" s="257"/>
      <c r="AA43" s="257"/>
    </row>
    <row r="44" spans="1:27" ht="15.6">
      <c r="A44" s="106"/>
      <c r="B44" s="107"/>
      <c r="C44" s="108"/>
      <c r="D44" s="105"/>
      <c r="E44" s="105"/>
      <c r="F44" s="105"/>
      <c r="G44" s="105"/>
      <c r="H44" s="248"/>
      <c r="I44" s="105"/>
      <c r="J44" s="108"/>
      <c r="K44" s="108"/>
      <c r="L44" s="108"/>
      <c r="M44" s="112"/>
      <c r="N44" s="106"/>
      <c r="O44" s="106"/>
      <c r="P44" s="106"/>
      <c r="Q44" s="109"/>
      <c r="R44" s="521"/>
      <c r="S44" s="111"/>
      <c r="T44" s="106"/>
      <c r="U44" s="106" t="str">
        <f>TEXT(Table626893456791011121314[[#This Row],[PO Date]], "mmmm")</f>
        <v>January</v>
      </c>
      <c r="V44" s="284">
        <f>Table626893456791011121314[[#This Row],[Offer Value]]-Table626893456791011121314[[#This Row],[PO Value]]</f>
        <v>0</v>
      </c>
      <c r="W44" s="106"/>
      <c r="X44" s="106"/>
      <c r="Y44" s="605"/>
      <c r="Z44" s="257"/>
      <c r="AA44" s="257"/>
    </row>
    <row r="45" spans="1:27" ht="15.6">
      <c r="A45" s="106"/>
      <c r="B45" s="107"/>
      <c r="C45" s="105"/>
      <c r="D45" s="105"/>
      <c r="E45" s="108"/>
      <c r="F45" s="108"/>
      <c r="G45" s="108"/>
      <c r="H45" s="251"/>
      <c r="I45" s="108"/>
      <c r="J45" s="115"/>
      <c r="K45" s="115"/>
      <c r="L45" s="113"/>
      <c r="M45" s="105"/>
      <c r="N45" s="106"/>
      <c r="O45" s="106"/>
      <c r="P45" s="106"/>
      <c r="Q45" s="109"/>
      <c r="R45" s="521"/>
      <c r="S45" s="111"/>
      <c r="T45" s="106"/>
      <c r="U45" s="106" t="str">
        <f>TEXT(Table626893456791011121314[[#This Row],[PO Date]], "mmmm")</f>
        <v>January</v>
      </c>
      <c r="V45" s="284">
        <f>Table626893456791011121314[[#This Row],[Offer Value]]-Table626893456791011121314[[#This Row],[PO Value]]</f>
        <v>0</v>
      </c>
      <c r="W45" s="106"/>
      <c r="X45" s="106"/>
      <c r="Y45" s="604"/>
      <c r="Z45" s="257"/>
      <c r="AA45" s="257"/>
    </row>
    <row r="46" spans="1:27" ht="15.6">
      <c r="A46" s="106"/>
      <c r="B46" s="107"/>
      <c r="C46" s="105"/>
      <c r="D46" s="105"/>
      <c r="E46" s="108"/>
      <c r="F46" s="108"/>
      <c r="G46" s="108"/>
      <c r="H46" s="251"/>
      <c r="I46" s="108"/>
      <c r="J46" s="115"/>
      <c r="K46" s="115"/>
      <c r="L46" s="113"/>
      <c r="M46" s="105"/>
      <c r="N46" s="106"/>
      <c r="O46" s="106"/>
      <c r="P46" s="106"/>
      <c r="Q46" s="109"/>
      <c r="R46" s="521"/>
      <c r="S46" s="111"/>
      <c r="T46" s="106"/>
      <c r="U46" s="106" t="str">
        <f>TEXT(Table626893456791011121314[[#This Row],[PO Date]], "mmmm")</f>
        <v>January</v>
      </c>
      <c r="V46" s="284">
        <f>Table626893456791011121314[[#This Row],[Offer Value]]-Table626893456791011121314[[#This Row],[PO Value]]</f>
        <v>0</v>
      </c>
      <c r="W46" s="106"/>
      <c r="X46" s="106"/>
      <c r="Y46" s="604"/>
      <c r="Z46" s="7"/>
      <c r="AA46" s="7"/>
    </row>
    <row r="47" spans="1:27" ht="15.6">
      <c r="A47" s="106"/>
      <c r="B47" s="107"/>
      <c r="C47" s="113"/>
      <c r="D47" s="113"/>
      <c r="E47" s="113"/>
      <c r="F47" s="113"/>
      <c r="G47" s="113"/>
      <c r="H47" s="248"/>
      <c r="I47" s="113"/>
      <c r="J47" s="108"/>
      <c r="K47" s="108"/>
      <c r="L47" s="113"/>
      <c r="M47" s="114"/>
      <c r="N47" s="106"/>
      <c r="O47" s="106"/>
      <c r="P47" s="106"/>
      <c r="Q47" s="109"/>
      <c r="R47" s="289"/>
      <c r="S47" s="107"/>
      <c r="T47" s="106"/>
      <c r="U47" s="106" t="str">
        <f>TEXT(Table626893456791011121314[[#This Row],[PO Date]], "mmmm")</f>
        <v>January</v>
      </c>
      <c r="V47" s="284">
        <f>Table626893456791011121314[[#This Row],[Offer Value]]-Table626893456791011121314[[#This Row],[PO Value]]</f>
        <v>0</v>
      </c>
      <c r="W47" s="106"/>
      <c r="X47" s="453"/>
      <c r="Y47" s="604"/>
      <c r="Z47" s="7"/>
      <c r="AA47" s="7"/>
    </row>
    <row r="48" spans="1:27" ht="15.6">
      <c r="A48" s="106"/>
      <c r="B48" s="107"/>
      <c r="C48" s="113"/>
      <c r="D48" s="113"/>
      <c r="E48" s="113"/>
      <c r="F48" s="113"/>
      <c r="G48" s="113"/>
      <c r="H48" s="248"/>
      <c r="I48" s="113"/>
      <c r="J48" s="108"/>
      <c r="K48" s="108"/>
      <c r="L48" s="113"/>
      <c r="M48" s="114"/>
      <c r="N48" s="106"/>
      <c r="O48" s="106"/>
      <c r="P48" s="106"/>
      <c r="Q48" s="109"/>
      <c r="R48" s="289"/>
      <c r="S48" s="107"/>
      <c r="T48" s="106"/>
      <c r="U48" s="106" t="str">
        <f>TEXT(Table626893456791011121314[[#This Row],[PO Date]], "mmmm")</f>
        <v>January</v>
      </c>
      <c r="V48" s="284">
        <f>Table626893456791011121314[[#This Row],[Offer Value]]-Table626893456791011121314[[#This Row],[PO Value]]</f>
        <v>0</v>
      </c>
      <c r="W48" s="106"/>
      <c r="X48" s="453"/>
      <c r="Y48" s="604"/>
      <c r="Z48" s="7"/>
      <c r="AA48" s="7"/>
    </row>
    <row r="49" spans="1:27" ht="15.6">
      <c r="A49" s="106"/>
      <c r="B49" s="107"/>
      <c r="C49" s="113"/>
      <c r="D49" s="113"/>
      <c r="E49" s="113"/>
      <c r="F49" s="113"/>
      <c r="G49" s="113"/>
      <c r="H49" s="248"/>
      <c r="I49" s="113"/>
      <c r="J49" s="108"/>
      <c r="K49" s="108"/>
      <c r="L49" s="113"/>
      <c r="M49" s="114"/>
      <c r="N49" s="106"/>
      <c r="O49" s="106"/>
      <c r="P49" s="106"/>
      <c r="Q49" s="109"/>
      <c r="R49" s="289"/>
      <c r="S49" s="107"/>
      <c r="T49" s="106"/>
      <c r="U49" s="106" t="str">
        <f>TEXT(Table626893456791011121314[[#This Row],[PO Date]], "mmmm")</f>
        <v>January</v>
      </c>
      <c r="V49" s="284">
        <f>Table626893456791011121314[[#This Row],[Offer Value]]-Table626893456791011121314[[#This Row],[PO Value]]</f>
        <v>0</v>
      </c>
      <c r="W49" s="106"/>
      <c r="X49" s="106"/>
      <c r="Y49" s="604"/>
      <c r="Z49" s="7"/>
      <c r="AA49" s="7"/>
    </row>
    <row r="50" spans="1:27" ht="15.6">
      <c r="A50" s="106"/>
      <c r="B50" s="107"/>
      <c r="C50" s="113"/>
      <c r="D50" s="113"/>
      <c r="E50" s="113"/>
      <c r="F50" s="113"/>
      <c r="G50" s="113"/>
      <c r="H50" s="248"/>
      <c r="I50" s="113"/>
      <c r="J50" s="108"/>
      <c r="K50" s="108"/>
      <c r="L50" s="113"/>
      <c r="M50" s="114"/>
      <c r="N50" s="106"/>
      <c r="O50" s="106"/>
      <c r="P50" s="106"/>
      <c r="Q50" s="109"/>
      <c r="R50" s="289"/>
      <c r="S50" s="107"/>
      <c r="T50" s="106"/>
      <c r="U50" s="106" t="str">
        <f>TEXT(Table626893456791011121314[[#This Row],[PO Date]], "mmmm")</f>
        <v>January</v>
      </c>
      <c r="V50" s="284">
        <f>Table626893456791011121314[[#This Row],[Offer Value]]-Table626893456791011121314[[#This Row],[PO Value]]</f>
        <v>0</v>
      </c>
      <c r="W50" s="106"/>
      <c r="X50" s="106"/>
      <c r="Y50" s="604"/>
      <c r="Z50" s="7"/>
      <c r="AA50" s="7"/>
    </row>
    <row r="51" spans="1:27" ht="15.6">
      <c r="A51" s="106"/>
      <c r="B51" s="107"/>
      <c r="C51" s="113"/>
      <c r="D51" s="113"/>
      <c r="E51" s="113"/>
      <c r="F51" s="113"/>
      <c r="G51" s="113"/>
      <c r="H51" s="248"/>
      <c r="I51" s="113"/>
      <c r="J51" s="108"/>
      <c r="K51" s="108"/>
      <c r="L51" s="113"/>
      <c r="M51" s="114"/>
      <c r="N51" s="106"/>
      <c r="O51" s="106"/>
      <c r="P51" s="106"/>
      <c r="Q51" s="109"/>
      <c r="R51" s="289"/>
      <c r="S51" s="107"/>
      <c r="T51" s="106"/>
      <c r="U51" s="106" t="str">
        <f>TEXT(Table626893456791011121314[[#This Row],[PO Date]], "mmmm")</f>
        <v>January</v>
      </c>
      <c r="V51" s="284">
        <f>Table626893456791011121314[[#This Row],[Offer Value]]-Table626893456791011121314[[#This Row],[PO Value]]</f>
        <v>0</v>
      </c>
      <c r="W51" s="106"/>
      <c r="X51" s="106"/>
      <c r="Y51" s="604"/>
      <c r="Z51" s="7"/>
      <c r="AA51" s="7"/>
    </row>
    <row r="52" spans="1:27" ht="15.6">
      <c r="A52" s="106"/>
      <c r="B52" s="107"/>
      <c r="C52" s="113"/>
      <c r="D52" s="113"/>
      <c r="E52" s="113"/>
      <c r="F52" s="113"/>
      <c r="G52" s="113"/>
      <c r="H52" s="248"/>
      <c r="I52" s="113"/>
      <c r="J52" s="108"/>
      <c r="K52" s="108"/>
      <c r="L52" s="113"/>
      <c r="M52" s="114"/>
      <c r="N52" s="106"/>
      <c r="O52" s="106"/>
      <c r="P52" s="106"/>
      <c r="Q52" s="109"/>
      <c r="R52" s="289"/>
      <c r="S52" s="107"/>
      <c r="T52" s="106"/>
      <c r="U52" s="106" t="str">
        <f>TEXT(Table626893456791011121314[[#This Row],[PO Date]], "mmmm")</f>
        <v>January</v>
      </c>
      <c r="V52" s="284">
        <f>Table626893456791011121314[[#This Row],[Offer Value]]-Table626893456791011121314[[#This Row],[PO Value]]</f>
        <v>0</v>
      </c>
      <c r="W52" s="106"/>
      <c r="X52" s="106"/>
      <c r="Y52" s="604"/>
      <c r="Z52" s="7"/>
      <c r="AA52" s="7"/>
    </row>
    <row r="53" spans="1:27" ht="15.6">
      <c r="A53" s="106"/>
      <c r="B53" s="107"/>
      <c r="C53" s="113"/>
      <c r="D53" s="113"/>
      <c r="E53" s="113"/>
      <c r="F53" s="113"/>
      <c r="G53" s="113"/>
      <c r="H53" s="248"/>
      <c r="I53" s="113"/>
      <c r="J53" s="108"/>
      <c r="K53" s="108"/>
      <c r="L53" s="113"/>
      <c r="M53" s="114"/>
      <c r="N53" s="106"/>
      <c r="O53" s="106"/>
      <c r="P53" s="106"/>
      <c r="Q53" s="109"/>
      <c r="R53" s="289"/>
      <c r="S53" s="107"/>
      <c r="T53" s="106"/>
      <c r="U53" s="106" t="str">
        <f>TEXT(Table626893456791011121314[[#This Row],[PO Date]], "mmmm")</f>
        <v>January</v>
      </c>
      <c r="V53" s="284">
        <f>Table626893456791011121314[[#This Row],[Offer Value]]-Table626893456791011121314[[#This Row],[PO Value]]</f>
        <v>0</v>
      </c>
      <c r="W53" s="106"/>
      <c r="X53" s="106"/>
      <c r="Y53" s="604"/>
      <c r="Z53" s="7"/>
      <c r="AA53" s="7"/>
    </row>
    <row r="54" spans="1:27" ht="15.6">
      <c r="A54" s="106"/>
      <c r="B54" s="107"/>
      <c r="C54" s="113"/>
      <c r="D54" s="113"/>
      <c r="E54" s="113"/>
      <c r="F54" s="113"/>
      <c r="G54" s="113"/>
      <c r="H54" s="248"/>
      <c r="I54" s="113"/>
      <c r="J54" s="108"/>
      <c r="K54" s="108"/>
      <c r="L54" s="113"/>
      <c r="M54" s="114"/>
      <c r="N54" s="106"/>
      <c r="O54" s="106"/>
      <c r="P54" s="106"/>
      <c r="Q54" s="109"/>
      <c r="R54" s="289"/>
      <c r="S54" s="107"/>
      <c r="T54" s="106"/>
      <c r="U54" s="106" t="str">
        <f>TEXT(Table626893456791011121314[[#This Row],[PO Date]], "mmmm")</f>
        <v>January</v>
      </c>
      <c r="V54" s="284">
        <f>Table626893456791011121314[[#This Row],[Offer Value]]-Table626893456791011121314[[#This Row],[PO Value]]</f>
        <v>0</v>
      </c>
      <c r="W54" s="106"/>
      <c r="X54" s="453"/>
      <c r="Y54" s="604"/>
      <c r="Z54" s="7"/>
      <c r="AA54" s="7"/>
    </row>
    <row r="55" spans="1:27" ht="15.6">
      <c r="A55" s="106"/>
      <c r="B55" s="107"/>
      <c r="C55" s="113"/>
      <c r="D55" s="113"/>
      <c r="E55" s="113"/>
      <c r="F55" s="113"/>
      <c r="G55" s="113"/>
      <c r="H55" s="248"/>
      <c r="I55" s="113"/>
      <c r="J55" s="108"/>
      <c r="K55" s="108"/>
      <c r="L55" s="113"/>
      <c r="M55" s="114"/>
      <c r="N55" s="106"/>
      <c r="O55" s="106"/>
      <c r="P55" s="106"/>
      <c r="Q55" s="109"/>
      <c r="R55" s="289"/>
      <c r="S55" s="107"/>
      <c r="T55" s="106"/>
      <c r="U55" s="106" t="str">
        <f>TEXT(Table626893456791011121314[[#This Row],[PO Date]], "mmmm")</f>
        <v>January</v>
      </c>
      <c r="V55" s="284">
        <f>Table626893456791011121314[[#This Row],[Offer Value]]-Table626893456791011121314[[#This Row],[PO Value]]</f>
        <v>0</v>
      </c>
      <c r="W55" s="106"/>
      <c r="X55" s="453"/>
      <c r="Y55" s="604"/>
      <c r="Z55" s="7"/>
      <c r="AA55" s="7"/>
    </row>
    <row r="56" spans="1:27" ht="15.6">
      <c r="A56" s="106"/>
      <c r="B56" s="107"/>
      <c r="C56" s="113"/>
      <c r="D56" s="113"/>
      <c r="E56" s="113"/>
      <c r="F56" s="113"/>
      <c r="G56" s="113"/>
      <c r="H56" s="248"/>
      <c r="I56" s="113"/>
      <c r="J56" s="108"/>
      <c r="K56" s="108"/>
      <c r="L56" s="113"/>
      <c r="M56" s="114"/>
      <c r="N56" s="106"/>
      <c r="O56" s="106"/>
      <c r="P56" s="106"/>
      <c r="Q56" s="109"/>
      <c r="R56" s="289"/>
      <c r="S56" s="107"/>
      <c r="T56" s="106"/>
      <c r="U56" s="106" t="str">
        <f>TEXT(Table626893456791011121314[[#This Row],[PO Date]], "mmmm")</f>
        <v>January</v>
      </c>
      <c r="V56" s="284">
        <f>Table626893456791011121314[[#This Row],[Offer Value]]-Table626893456791011121314[[#This Row],[PO Value]]</f>
        <v>0</v>
      </c>
      <c r="W56" s="106"/>
      <c r="X56" s="106"/>
      <c r="Y56" s="604"/>
      <c r="Z56" s="7"/>
      <c r="AA56" s="7"/>
    </row>
    <row r="57" spans="1:27" ht="15.6">
      <c r="A57" s="106"/>
      <c r="B57" s="107"/>
      <c r="C57" s="105"/>
      <c r="D57" s="105"/>
      <c r="E57" s="105"/>
      <c r="F57" s="105"/>
      <c r="G57" s="105"/>
      <c r="H57" s="248"/>
      <c r="I57" s="105"/>
      <c r="J57" s="115"/>
      <c r="K57" s="115"/>
      <c r="L57" s="113"/>
      <c r="M57" s="116"/>
      <c r="N57" s="106"/>
      <c r="O57" s="106"/>
      <c r="P57" s="106"/>
      <c r="Q57" s="109"/>
      <c r="R57" s="256"/>
      <c r="S57" s="107"/>
      <c r="T57" s="106"/>
      <c r="U57" s="106" t="str">
        <f>TEXT(Table626893456791011121314[[#This Row],[PO Date]], "mmmm")</f>
        <v>January</v>
      </c>
      <c r="V57" s="284">
        <f>Table626893456791011121314[[#This Row],[Offer Value]]-Table626893456791011121314[[#This Row],[PO Value]]</f>
        <v>0</v>
      </c>
      <c r="W57" s="106"/>
      <c r="X57" s="106"/>
      <c r="Y57" s="604"/>
      <c r="Z57" s="7"/>
      <c r="AA57" s="7"/>
    </row>
    <row r="58" spans="1:27" ht="15.6">
      <c r="A58" s="106"/>
      <c r="B58" s="107"/>
      <c r="C58" s="105"/>
      <c r="D58" s="105"/>
      <c r="E58" s="105"/>
      <c r="F58" s="105"/>
      <c r="G58" s="105"/>
      <c r="H58" s="248"/>
      <c r="I58" s="105"/>
      <c r="J58" s="115"/>
      <c r="K58" s="115"/>
      <c r="L58" s="113"/>
      <c r="M58" s="116"/>
      <c r="N58" s="106"/>
      <c r="O58" s="106"/>
      <c r="P58" s="106"/>
      <c r="Q58" s="109"/>
      <c r="R58" s="289"/>
      <c r="S58" s="107"/>
      <c r="T58" s="106"/>
      <c r="U58" s="106" t="str">
        <f>TEXT(Table626893456791011121314[[#This Row],[PO Date]], "mmmm")</f>
        <v>January</v>
      </c>
      <c r="V58" s="284">
        <f>Table626893456791011121314[[#This Row],[Offer Value]]-Table626893456791011121314[[#This Row],[PO Value]]</f>
        <v>0</v>
      </c>
      <c r="W58" s="106"/>
      <c r="X58" s="106"/>
      <c r="Y58" s="605"/>
      <c r="Z58" s="7"/>
      <c r="AA58" s="7"/>
    </row>
    <row r="59" spans="1:27" ht="15.6">
      <c r="A59" s="106"/>
      <c r="B59" s="107"/>
      <c r="C59" s="105"/>
      <c r="D59" s="105"/>
      <c r="E59" s="108"/>
      <c r="F59" s="105"/>
      <c r="G59" s="105"/>
      <c r="H59" s="248"/>
      <c r="I59" s="105"/>
      <c r="J59" s="108"/>
      <c r="K59" s="115"/>
      <c r="L59" s="113"/>
      <c r="M59" s="105"/>
      <c r="N59" s="106"/>
      <c r="O59" s="106"/>
      <c r="P59" s="106"/>
      <c r="Q59" s="109"/>
      <c r="R59" s="256"/>
      <c r="S59" s="107"/>
      <c r="T59" s="106"/>
      <c r="U59" s="106" t="str">
        <f>TEXT(Table626893456791011121314[[#This Row],[PO Date]], "mmmm")</f>
        <v>January</v>
      </c>
      <c r="V59" s="284">
        <f>Table626893456791011121314[[#This Row],[Offer Value]]-Table626893456791011121314[[#This Row],[PO Value]]</f>
        <v>0</v>
      </c>
      <c r="W59" s="106"/>
      <c r="X59" s="106"/>
      <c r="Y59" s="605"/>
      <c r="Z59" s="7"/>
      <c r="AA59" s="7"/>
    </row>
    <row r="60" spans="1:27" ht="15.6">
      <c r="A60" s="106"/>
      <c r="B60" s="107"/>
      <c r="C60" s="105"/>
      <c r="D60" s="105"/>
      <c r="E60" s="108"/>
      <c r="F60" s="105"/>
      <c r="G60" s="105"/>
      <c r="H60" s="248"/>
      <c r="I60" s="105"/>
      <c r="J60" s="108"/>
      <c r="K60" s="115"/>
      <c r="L60" s="113"/>
      <c r="M60" s="105"/>
      <c r="N60" s="106"/>
      <c r="O60" s="106"/>
      <c r="P60" s="106"/>
      <c r="Q60" s="109"/>
      <c r="R60" s="289"/>
      <c r="S60" s="107"/>
      <c r="T60" s="106"/>
      <c r="U60" s="106" t="str">
        <f>TEXT(Table626893456791011121314[[#This Row],[PO Date]], "mmmm")</f>
        <v>January</v>
      </c>
      <c r="V60" s="284">
        <f>Table626893456791011121314[[#This Row],[Offer Value]]-Table626893456791011121314[[#This Row],[PO Value]]</f>
        <v>0</v>
      </c>
      <c r="W60" s="106"/>
      <c r="X60" s="106"/>
      <c r="Y60" s="605"/>
      <c r="Z60" s="7"/>
      <c r="AA60" s="7"/>
    </row>
    <row r="61" spans="1:27" ht="15.6">
      <c r="A61" s="106"/>
      <c r="B61" s="107"/>
      <c r="C61" s="105"/>
      <c r="D61" s="105"/>
      <c r="E61" s="108"/>
      <c r="F61" s="105"/>
      <c r="G61" s="105"/>
      <c r="H61" s="248"/>
      <c r="I61" s="105"/>
      <c r="J61" s="108"/>
      <c r="K61" s="115"/>
      <c r="L61" s="113"/>
      <c r="M61" s="105"/>
      <c r="N61" s="106"/>
      <c r="O61" s="106"/>
      <c r="P61" s="106"/>
      <c r="Q61" s="109"/>
      <c r="R61" s="256"/>
      <c r="S61" s="107"/>
      <c r="T61" s="106"/>
      <c r="U61" s="106" t="str">
        <f>TEXT(Table626893456791011121314[[#This Row],[PO Date]], "mmmm")</f>
        <v>January</v>
      </c>
      <c r="V61" s="284">
        <f>Table626893456791011121314[[#This Row],[Offer Value]]-Table626893456791011121314[[#This Row],[PO Value]]</f>
        <v>0</v>
      </c>
      <c r="W61" s="106"/>
      <c r="X61" s="106"/>
      <c r="Y61" s="605"/>
      <c r="Z61" s="7"/>
      <c r="AA61" s="7"/>
    </row>
    <row r="62" spans="1:27" ht="15.6">
      <c r="A62" s="106"/>
      <c r="B62" s="107"/>
      <c r="C62" s="108"/>
      <c r="D62" s="108"/>
      <c r="E62" s="108"/>
      <c r="F62" s="108"/>
      <c r="G62" s="105"/>
      <c r="H62" s="250"/>
      <c r="I62" s="108"/>
      <c r="J62" s="108"/>
      <c r="K62" s="108"/>
      <c r="L62" s="108"/>
      <c r="M62" s="112"/>
      <c r="N62" s="106"/>
      <c r="O62" s="106"/>
      <c r="P62" s="106"/>
      <c r="Q62" s="109"/>
      <c r="R62" s="521"/>
      <c r="S62" s="111"/>
      <c r="T62" s="106"/>
      <c r="U62" s="106" t="str">
        <f>TEXT(Table626893456791011121314[[#This Row],[PO Date]], "mmmm")</f>
        <v>January</v>
      </c>
      <c r="V62" s="284">
        <f>Table626893456791011121314[[#This Row],[Offer Value]]-Table626893456791011121314[[#This Row],[PO Value]]</f>
        <v>0</v>
      </c>
      <c r="W62" s="106"/>
      <c r="X62" s="106"/>
      <c r="Y62" s="604"/>
      <c r="Z62" s="7"/>
      <c r="AA62" s="7"/>
    </row>
    <row r="63" spans="1:27" ht="15.6">
      <c r="A63" s="106"/>
      <c r="B63" s="107"/>
      <c r="C63" s="105"/>
      <c r="D63" s="105"/>
      <c r="E63" s="108"/>
      <c r="F63" s="108"/>
      <c r="G63" s="105"/>
      <c r="H63" s="250"/>
      <c r="I63" s="108"/>
      <c r="J63" s="115"/>
      <c r="K63" s="115"/>
      <c r="L63" s="113"/>
      <c r="M63" s="105"/>
      <c r="N63" s="106"/>
      <c r="O63" s="106"/>
      <c r="P63" s="106"/>
      <c r="Q63" s="109"/>
      <c r="R63" s="521"/>
      <c r="S63" s="111"/>
      <c r="T63" s="106"/>
      <c r="U63" s="106" t="str">
        <f>TEXT(Table626893456791011121314[[#This Row],[PO Date]], "mmmm")</f>
        <v>January</v>
      </c>
      <c r="V63" s="284">
        <f>Table626893456791011121314[[#This Row],[Offer Value]]-Table626893456791011121314[[#This Row],[PO Value]]</f>
        <v>0</v>
      </c>
      <c r="W63" s="106"/>
      <c r="X63" s="106"/>
      <c r="Y63" s="605"/>
      <c r="Z63" s="7"/>
      <c r="AA63" s="7"/>
    </row>
    <row r="64" spans="1:27" ht="15.6">
      <c r="A64" s="106"/>
      <c r="B64" s="107"/>
      <c r="C64" s="108"/>
      <c r="D64" s="108"/>
      <c r="E64" s="108"/>
      <c r="F64" s="108"/>
      <c r="G64" s="108"/>
      <c r="H64" s="251"/>
      <c r="I64" s="108"/>
      <c r="J64" s="108"/>
      <c r="K64" s="108"/>
      <c r="L64" s="108"/>
      <c r="M64" s="112"/>
      <c r="N64" s="106"/>
      <c r="O64" s="106"/>
      <c r="P64" s="106"/>
      <c r="Q64" s="109"/>
      <c r="R64" s="521"/>
      <c r="S64" s="111"/>
      <c r="T64" s="106"/>
      <c r="U64" s="106" t="str">
        <f>TEXT(Table626893456791011121314[[#This Row],[PO Date]], "mmmm")</f>
        <v>January</v>
      </c>
      <c r="V64" s="284">
        <f>Table626893456791011121314[[#This Row],[Offer Value]]-Table626893456791011121314[[#This Row],[PO Value]]</f>
        <v>0</v>
      </c>
      <c r="W64" s="106"/>
      <c r="X64" s="106"/>
      <c r="Y64" s="605"/>
      <c r="Z64" s="7"/>
      <c r="AA64" s="7"/>
    </row>
    <row r="65" spans="1:27" ht="15.6">
      <c r="A65" s="106"/>
      <c r="B65" s="107"/>
      <c r="C65" s="108"/>
      <c r="D65" s="108"/>
      <c r="E65" s="108"/>
      <c r="F65" s="108"/>
      <c r="G65" s="108"/>
      <c r="H65" s="251"/>
      <c r="I65" s="108"/>
      <c r="J65" s="108"/>
      <c r="K65" s="108"/>
      <c r="L65" s="108"/>
      <c r="M65" s="112"/>
      <c r="N65" s="106"/>
      <c r="O65" s="106"/>
      <c r="P65" s="106"/>
      <c r="Q65" s="109"/>
      <c r="R65" s="521"/>
      <c r="S65" s="111"/>
      <c r="T65" s="106"/>
      <c r="U65" s="106" t="str">
        <f>TEXT(Table626893456791011121314[[#This Row],[PO Date]], "mmmm")</f>
        <v>January</v>
      </c>
      <c r="V65" s="284">
        <f>Table626893456791011121314[[#This Row],[Offer Value]]-Table626893456791011121314[[#This Row],[PO Value]]</f>
        <v>0</v>
      </c>
      <c r="W65" s="106"/>
      <c r="X65" s="106"/>
      <c r="Y65" s="605"/>
      <c r="Z65" s="7"/>
      <c r="AA65" s="7"/>
    </row>
    <row r="66" spans="1:27" ht="15.6">
      <c r="A66" s="106"/>
      <c r="B66" s="107"/>
      <c r="C66" s="108"/>
      <c r="D66" s="108"/>
      <c r="E66" s="108"/>
      <c r="F66" s="108"/>
      <c r="G66" s="108"/>
      <c r="H66" s="606"/>
      <c r="I66" s="108"/>
      <c r="J66" s="108"/>
      <c r="K66" s="108"/>
      <c r="L66" s="108"/>
      <c r="M66" s="108"/>
      <c r="N66" s="106"/>
      <c r="O66" s="106"/>
      <c r="P66" s="106"/>
      <c r="Q66" s="109"/>
      <c r="R66" s="256"/>
      <c r="S66" s="107"/>
      <c r="T66" s="106"/>
      <c r="U66" s="106" t="str">
        <f>TEXT(Table626893456791011121314[[#This Row],[PO Date]], "mmmm")</f>
        <v>January</v>
      </c>
      <c r="V66" s="284">
        <f>Table626893456791011121314[[#This Row],[Offer Value]]-Table626893456791011121314[[#This Row],[PO Value]]</f>
        <v>0</v>
      </c>
      <c r="W66" s="106"/>
      <c r="X66" s="106"/>
      <c r="Y66" s="604"/>
      <c r="Z66" s="7"/>
      <c r="AA66" s="7"/>
    </row>
    <row r="67" spans="1:27" ht="15.6">
      <c r="A67" s="106"/>
      <c r="B67" s="107"/>
      <c r="C67" s="108"/>
      <c r="D67" s="108"/>
      <c r="E67" s="108"/>
      <c r="F67" s="108"/>
      <c r="G67" s="108"/>
      <c r="H67" s="251"/>
      <c r="I67" s="108"/>
      <c r="J67" s="108"/>
      <c r="K67" s="108"/>
      <c r="L67" s="108"/>
      <c r="M67" s="108"/>
      <c r="N67" s="106"/>
      <c r="O67" s="106"/>
      <c r="P67" s="106"/>
      <c r="Q67" s="109"/>
      <c r="R67" s="289"/>
      <c r="S67" s="107"/>
      <c r="T67" s="106"/>
      <c r="U67" s="106" t="str">
        <f>TEXT(Table626893456791011121314[[#This Row],[PO Date]], "mmmm")</f>
        <v>January</v>
      </c>
      <c r="V67" s="284">
        <f>Table626893456791011121314[[#This Row],[Offer Value]]-Table626893456791011121314[[#This Row],[PO Value]]</f>
        <v>0</v>
      </c>
      <c r="W67" s="106"/>
      <c r="X67" s="106"/>
      <c r="Y67" s="604"/>
      <c r="Z67" s="7"/>
      <c r="AA67" s="7"/>
    </row>
    <row r="68" spans="1:27" ht="15.6">
      <c r="A68" s="106"/>
      <c r="B68" s="107"/>
      <c r="C68" s="108"/>
      <c r="D68" s="108"/>
      <c r="E68" s="108"/>
      <c r="F68" s="108"/>
      <c r="G68" s="108"/>
      <c r="H68" s="251"/>
      <c r="I68" s="108"/>
      <c r="J68" s="108"/>
      <c r="K68" s="108"/>
      <c r="L68" s="108"/>
      <c r="M68" s="112"/>
      <c r="N68" s="106"/>
      <c r="O68" s="106"/>
      <c r="P68" s="106"/>
      <c r="Q68" s="109"/>
      <c r="R68" s="521"/>
      <c r="S68" s="111"/>
      <c r="T68" s="106"/>
      <c r="U68" s="106" t="str">
        <f>TEXT(Table626893456791011121314[[#This Row],[PO Date]], "mmmm")</f>
        <v>January</v>
      </c>
      <c r="V68" s="284">
        <f>Table626893456791011121314[[#This Row],[Offer Value]]-Table626893456791011121314[[#This Row],[PO Value]]</f>
        <v>0</v>
      </c>
      <c r="W68" s="106"/>
      <c r="X68" s="106"/>
      <c r="Y68" s="604"/>
      <c r="Z68" s="7"/>
      <c r="AA68" s="7"/>
    </row>
    <row r="69" spans="1:27" ht="15.6">
      <c r="A69" s="106"/>
      <c r="B69" s="107"/>
      <c r="C69" s="108"/>
      <c r="D69" s="105"/>
      <c r="E69" s="105"/>
      <c r="F69" s="105"/>
      <c r="G69" s="105"/>
      <c r="H69" s="248"/>
      <c r="I69" s="105"/>
      <c r="J69" s="108"/>
      <c r="K69" s="108"/>
      <c r="L69" s="108"/>
      <c r="M69" s="112"/>
      <c r="N69" s="106"/>
      <c r="O69" s="106"/>
      <c r="P69" s="106"/>
      <c r="Q69" s="109"/>
      <c r="R69" s="256"/>
      <c r="S69" s="107"/>
      <c r="T69" s="607"/>
      <c r="U69" s="106" t="str">
        <f>TEXT(Table626893456791011121314[[#This Row],[PO Date]], "mmmm")</f>
        <v>January</v>
      </c>
      <c r="V69" s="284">
        <f>Table626893456791011121314[[#This Row],[Offer Value]]-Table626893456791011121314[[#This Row],[PO Value]]</f>
        <v>0</v>
      </c>
      <c r="W69" s="106"/>
      <c r="X69" s="106"/>
      <c r="Y69" s="605"/>
      <c r="Z69" s="7"/>
      <c r="AA69" s="7"/>
    </row>
    <row r="70" spans="1:27" ht="15.6">
      <c r="A70" s="106"/>
      <c r="B70" s="107"/>
      <c r="C70" s="108"/>
      <c r="D70" s="108"/>
      <c r="E70" s="108"/>
      <c r="F70" s="108"/>
      <c r="G70" s="105"/>
      <c r="H70" s="248"/>
      <c r="I70" s="108"/>
      <c r="J70" s="108"/>
      <c r="K70" s="108"/>
      <c r="L70" s="108"/>
      <c r="M70" s="112"/>
      <c r="N70" s="106"/>
      <c r="O70" s="106"/>
      <c r="P70" s="106"/>
      <c r="Q70" s="109"/>
      <c r="R70" s="256"/>
      <c r="S70" s="107"/>
      <c r="T70" s="607"/>
      <c r="U70" s="106" t="str">
        <f>TEXT(Table626893456791011121314[[#This Row],[PO Date]], "mmmm")</f>
        <v>January</v>
      </c>
      <c r="V70" s="284">
        <f>Table626893456791011121314[[#This Row],[Offer Value]]-Table626893456791011121314[[#This Row],[PO Value]]</f>
        <v>0</v>
      </c>
      <c r="W70" s="106"/>
      <c r="X70" s="106"/>
      <c r="Y70" s="605"/>
      <c r="Z70" s="7"/>
      <c r="AA70" s="7"/>
    </row>
    <row r="71" spans="1:27" ht="15.6">
      <c r="A71" s="106"/>
      <c r="B71" s="107"/>
      <c r="C71" s="108"/>
      <c r="D71" s="108"/>
      <c r="E71" s="108"/>
      <c r="F71" s="108"/>
      <c r="G71" s="105"/>
      <c r="H71" s="248"/>
      <c r="I71" s="108"/>
      <c r="J71" s="108"/>
      <c r="K71" s="108"/>
      <c r="L71" s="108"/>
      <c r="M71" s="112"/>
      <c r="N71" s="106"/>
      <c r="O71" s="106"/>
      <c r="P71" s="106"/>
      <c r="Q71" s="109"/>
      <c r="R71" s="256"/>
      <c r="S71" s="107"/>
      <c r="T71" s="607"/>
      <c r="U71" s="106" t="str">
        <f>TEXT(Table626893456791011121314[[#This Row],[PO Date]], "mmmm")</f>
        <v>January</v>
      </c>
      <c r="V71" s="284">
        <f>Table626893456791011121314[[#This Row],[Offer Value]]-Table626893456791011121314[[#This Row],[PO Value]]</f>
        <v>0</v>
      </c>
      <c r="W71" s="106"/>
      <c r="X71" s="106"/>
      <c r="Y71" s="605"/>
      <c r="Z71" s="7"/>
      <c r="AA71" s="7"/>
    </row>
    <row r="72" spans="1:27" ht="15.6">
      <c r="A72" s="106"/>
      <c r="B72" s="107"/>
      <c r="C72" s="108"/>
      <c r="D72" s="108"/>
      <c r="E72" s="108"/>
      <c r="F72" s="108"/>
      <c r="G72" s="105"/>
      <c r="H72" s="248"/>
      <c r="I72" s="108"/>
      <c r="J72" s="108"/>
      <c r="K72" s="108"/>
      <c r="L72" s="108"/>
      <c r="M72" s="112"/>
      <c r="N72" s="106"/>
      <c r="O72" s="106"/>
      <c r="P72" s="106"/>
      <c r="Q72" s="109"/>
      <c r="R72" s="256"/>
      <c r="S72" s="107"/>
      <c r="T72" s="607"/>
      <c r="U72" s="106" t="str">
        <f>TEXT(Table626893456791011121314[[#This Row],[PO Date]], "mmmm")</f>
        <v>January</v>
      </c>
      <c r="V72" s="284">
        <f>Table626893456791011121314[[#This Row],[Offer Value]]-Table626893456791011121314[[#This Row],[PO Value]]</f>
        <v>0</v>
      </c>
      <c r="W72" s="106"/>
      <c r="X72" s="106"/>
      <c r="Y72" s="605"/>
      <c r="Z72" s="7"/>
      <c r="AA72" s="7"/>
    </row>
    <row r="73" spans="1:27" ht="15.6">
      <c r="A73" s="106"/>
      <c r="B73" s="301"/>
      <c r="C73" s="178"/>
      <c r="D73" s="178"/>
      <c r="E73" s="178"/>
      <c r="F73" s="178"/>
      <c r="G73" s="303"/>
      <c r="H73" s="182"/>
      <c r="I73" s="178"/>
      <c r="J73" s="178"/>
      <c r="K73" s="178"/>
      <c r="L73" s="178"/>
      <c r="M73" s="317"/>
      <c r="N73" s="300"/>
      <c r="O73" s="300"/>
      <c r="P73" s="300"/>
      <c r="Q73" s="306"/>
      <c r="R73" s="608"/>
      <c r="S73" s="315"/>
      <c r="T73" s="300"/>
      <c r="U73" s="300" t="str">
        <f>TEXT(Table626893456791011121314[[#This Row],[PO Date]], "mmmm")</f>
        <v>January</v>
      </c>
      <c r="V73" s="284">
        <f>Table626893456791011121314[[#This Row],[Offer Value]]-Table626893456791011121314[[#This Row],[PO Value]]</f>
        <v>0</v>
      </c>
      <c r="W73" s="300"/>
      <c r="X73" s="300"/>
      <c r="Y73" s="609"/>
      <c r="Z73" s="7"/>
      <c r="AA73" s="7"/>
    </row>
    <row r="74" spans="1:27" ht="15.6">
      <c r="A74" s="106"/>
      <c r="B74" s="301"/>
      <c r="C74" s="178"/>
      <c r="D74" s="178"/>
      <c r="E74" s="178"/>
      <c r="F74" s="178"/>
      <c r="G74" s="178"/>
      <c r="H74" s="316"/>
      <c r="I74" s="178"/>
      <c r="J74" s="178"/>
      <c r="K74" s="178"/>
      <c r="L74" s="178"/>
      <c r="M74" s="317"/>
      <c r="N74" s="300"/>
      <c r="O74" s="300"/>
      <c r="P74" s="300"/>
      <c r="Q74" s="306"/>
      <c r="R74" s="608"/>
      <c r="S74" s="320"/>
      <c r="T74" s="300"/>
      <c r="U74" s="300" t="str">
        <f>TEXT(Table626893456791011121314[[#This Row],[PO Date]], "mmmm")</f>
        <v>January</v>
      </c>
      <c r="V74" s="284">
        <f>Table626893456791011121314[[#This Row],[Offer Value]]-Table626893456791011121314[[#This Row],[PO Value]]</f>
        <v>0</v>
      </c>
      <c r="W74" s="300"/>
      <c r="X74" s="300"/>
      <c r="Y74" s="610"/>
      <c r="Z74" s="7"/>
      <c r="AA74" s="7"/>
    </row>
    <row r="75" spans="1:27" ht="15.6">
      <c r="A75" s="106"/>
      <c r="B75" s="301"/>
      <c r="C75" s="178"/>
      <c r="D75" s="303"/>
      <c r="E75" s="178"/>
      <c r="F75" s="178"/>
      <c r="G75" s="303"/>
      <c r="H75" s="182"/>
      <c r="I75" s="178"/>
      <c r="J75" s="178"/>
      <c r="K75" s="178"/>
      <c r="L75" s="178"/>
      <c r="M75" s="317"/>
      <c r="N75" s="300"/>
      <c r="O75" s="300"/>
      <c r="P75" s="300"/>
      <c r="Q75" s="306"/>
      <c r="R75" s="608"/>
      <c r="S75" s="315"/>
      <c r="T75" s="300"/>
      <c r="U75" s="300" t="str">
        <f>TEXT(Table626893456791011121314[[#This Row],[PO Date]], "mmmm")</f>
        <v>January</v>
      </c>
      <c r="V75" s="284">
        <f>Table626893456791011121314[[#This Row],[Offer Value]]-Table626893456791011121314[[#This Row],[PO Value]]</f>
        <v>0</v>
      </c>
      <c r="W75" s="300"/>
      <c r="X75" s="300"/>
      <c r="Y75" s="610"/>
      <c r="Z75" s="7"/>
      <c r="AA75" s="7"/>
    </row>
    <row r="76" spans="1:27" ht="15.6">
      <c r="A76" s="106"/>
      <c r="B76" s="301"/>
      <c r="C76" s="178"/>
      <c r="D76" s="303"/>
      <c r="E76" s="178"/>
      <c r="F76" s="178"/>
      <c r="G76" s="303"/>
      <c r="H76" s="182"/>
      <c r="I76" s="178"/>
      <c r="J76" s="178"/>
      <c r="K76" s="178"/>
      <c r="L76" s="178"/>
      <c r="M76" s="317"/>
      <c r="N76" s="300"/>
      <c r="O76" s="300"/>
      <c r="P76" s="300"/>
      <c r="Q76" s="306"/>
      <c r="R76" s="608"/>
      <c r="S76" s="315"/>
      <c r="T76" s="300"/>
      <c r="U76" s="300" t="str">
        <f>TEXT(Table626893456791011121314[[#This Row],[PO Date]], "mmmm")</f>
        <v>January</v>
      </c>
      <c r="V76" s="284">
        <f>Table626893456791011121314[[#This Row],[Offer Value]]-Table626893456791011121314[[#This Row],[PO Value]]</f>
        <v>0</v>
      </c>
      <c r="W76" s="300"/>
      <c r="X76" s="300"/>
      <c r="Y76" s="610"/>
      <c r="Z76" s="7"/>
      <c r="AA76" s="7"/>
    </row>
    <row r="77" spans="1:27" ht="15.6">
      <c r="A77" s="106"/>
      <c r="B77" s="301"/>
      <c r="C77" s="178"/>
      <c r="D77" s="178"/>
      <c r="E77" s="178"/>
      <c r="F77" s="178"/>
      <c r="G77" s="178"/>
      <c r="H77" s="316"/>
      <c r="I77" s="178"/>
      <c r="J77" s="178"/>
      <c r="K77" s="178"/>
      <c r="L77" s="457"/>
      <c r="M77" s="317"/>
      <c r="N77" s="300"/>
      <c r="O77" s="300"/>
      <c r="P77" s="300"/>
      <c r="Q77" s="306"/>
      <c r="R77" s="608"/>
      <c r="S77" s="315"/>
      <c r="T77" s="300"/>
      <c r="U77" s="300" t="str">
        <f>TEXT(Table626893456791011121314[[#This Row],[PO Date]], "mmmm")</f>
        <v>January</v>
      </c>
      <c r="V77" s="284">
        <f>Table626893456791011121314[[#This Row],[Offer Value]]-Table626893456791011121314[[#This Row],[PO Value]]</f>
        <v>0</v>
      </c>
      <c r="W77" s="300"/>
      <c r="X77" s="300"/>
      <c r="Y77" s="610"/>
      <c r="Z77" s="7"/>
      <c r="AA77" s="7"/>
    </row>
    <row r="78" spans="1:27" ht="15.6">
      <c r="A78" s="106"/>
      <c r="B78" s="300"/>
      <c r="C78" s="178"/>
      <c r="D78" s="178"/>
      <c r="E78" s="178"/>
      <c r="F78" s="178"/>
      <c r="G78" s="178"/>
      <c r="H78" s="316"/>
      <c r="I78" s="178"/>
      <c r="J78" s="178"/>
      <c r="K78" s="178"/>
      <c r="L78" s="457"/>
      <c r="M78" s="317"/>
      <c r="N78" s="300"/>
      <c r="O78" s="300"/>
      <c r="P78" s="300"/>
      <c r="Q78" s="306"/>
      <c r="R78" s="608"/>
      <c r="S78" s="315"/>
      <c r="T78" s="300"/>
      <c r="U78" s="300" t="str">
        <f>TEXT(Table626893456791011121314[[#This Row],[PO Date]], "mmmm")</f>
        <v>January</v>
      </c>
      <c r="V78" s="284">
        <f>Table626893456791011121314[[#This Row],[Offer Value]]-Table626893456791011121314[[#This Row],[PO Value]]</f>
        <v>0</v>
      </c>
      <c r="W78" s="300"/>
      <c r="X78" s="300"/>
      <c r="Y78" s="610"/>
      <c r="Z78" s="7"/>
      <c r="AA78" s="7"/>
    </row>
    <row r="79" spans="1:27" ht="15.6">
      <c r="A79" s="106"/>
      <c r="B79" s="300"/>
      <c r="C79" s="178"/>
      <c r="D79" s="178"/>
      <c r="E79" s="178"/>
      <c r="F79" s="178"/>
      <c r="G79" s="178"/>
      <c r="H79" s="316"/>
      <c r="I79" s="178"/>
      <c r="J79" s="178"/>
      <c r="K79" s="178"/>
      <c r="L79" s="457"/>
      <c r="M79" s="317"/>
      <c r="N79" s="300"/>
      <c r="O79" s="300"/>
      <c r="P79" s="300"/>
      <c r="Q79" s="306"/>
      <c r="R79" s="608"/>
      <c r="S79" s="315"/>
      <c r="T79" s="300"/>
      <c r="U79" s="300" t="str">
        <f>TEXT(Table626893456791011121314[[#This Row],[PO Date]], "mmmm")</f>
        <v>January</v>
      </c>
      <c r="V79" s="284">
        <f>Table626893456791011121314[[#This Row],[Offer Value]]-Table626893456791011121314[[#This Row],[PO Value]]</f>
        <v>0</v>
      </c>
      <c r="W79" s="300"/>
      <c r="X79" s="300"/>
      <c r="Y79" s="610"/>
      <c r="Z79" s="7"/>
      <c r="AA79" s="7"/>
    </row>
    <row r="80" spans="1:27" ht="15.6">
      <c r="A80" s="106"/>
      <c r="B80" s="300"/>
      <c r="C80" s="178"/>
      <c r="D80" s="178"/>
      <c r="E80" s="178"/>
      <c r="F80" s="178"/>
      <c r="G80" s="178"/>
      <c r="H80" s="316"/>
      <c r="I80" s="178"/>
      <c r="J80" s="178"/>
      <c r="K80" s="178"/>
      <c r="L80" s="457"/>
      <c r="M80" s="317"/>
      <c r="N80" s="300"/>
      <c r="O80" s="300"/>
      <c r="P80" s="300"/>
      <c r="Q80" s="306"/>
      <c r="R80" s="608"/>
      <c r="S80" s="315"/>
      <c r="T80" s="300"/>
      <c r="U80" s="300" t="str">
        <f>TEXT(Table626893456791011121314[[#This Row],[PO Date]], "mmmm")</f>
        <v>January</v>
      </c>
      <c r="V80" s="284">
        <f>Table626893456791011121314[[#This Row],[Offer Value]]-Table626893456791011121314[[#This Row],[PO Value]]</f>
        <v>0</v>
      </c>
      <c r="W80" s="300"/>
      <c r="X80" s="300"/>
      <c r="Y80" s="610"/>
      <c r="Z80" s="7"/>
      <c r="AA80" s="7"/>
    </row>
    <row r="81" spans="1:27" ht="15.6">
      <c r="A81" s="106"/>
      <c r="B81" s="300"/>
      <c r="C81" s="178"/>
      <c r="D81" s="178"/>
      <c r="E81" s="178"/>
      <c r="F81" s="178"/>
      <c r="G81" s="178"/>
      <c r="H81" s="316"/>
      <c r="I81" s="178"/>
      <c r="J81" s="178"/>
      <c r="K81" s="178"/>
      <c r="L81" s="457"/>
      <c r="M81" s="317"/>
      <c r="N81" s="300"/>
      <c r="O81" s="300"/>
      <c r="P81" s="300"/>
      <c r="Q81" s="306"/>
      <c r="R81" s="608"/>
      <c r="S81" s="315"/>
      <c r="T81" s="300"/>
      <c r="U81" s="300" t="str">
        <f>TEXT(Table626893456791011121314[[#This Row],[PO Date]], "mmmm")</f>
        <v>January</v>
      </c>
      <c r="V81" s="284">
        <f>Table626893456791011121314[[#This Row],[Offer Value]]-Table626893456791011121314[[#This Row],[PO Value]]</f>
        <v>0</v>
      </c>
      <c r="W81" s="300"/>
      <c r="X81" s="300"/>
      <c r="Y81" s="610"/>
      <c r="Z81" s="7"/>
      <c r="AA81" s="7"/>
    </row>
    <row r="82" spans="1:27" ht="15.6">
      <c r="A82" s="106"/>
      <c r="B82" s="300"/>
      <c r="C82" s="178"/>
      <c r="D82" s="178"/>
      <c r="E82" s="178"/>
      <c r="F82" s="178"/>
      <c r="G82" s="178"/>
      <c r="H82" s="316"/>
      <c r="I82" s="178"/>
      <c r="J82" s="178"/>
      <c r="K82" s="178"/>
      <c r="L82" s="178"/>
      <c r="M82" s="178"/>
      <c r="N82" s="300"/>
      <c r="O82" s="300"/>
      <c r="P82" s="300"/>
      <c r="Q82" s="306"/>
      <c r="R82" s="608"/>
      <c r="S82" s="315"/>
      <c r="T82" s="300"/>
      <c r="U82" s="300" t="str">
        <f>TEXT(Table626893456791011121314[[#This Row],[PO Date]], "mmmm")</f>
        <v>January</v>
      </c>
      <c r="V82" s="284">
        <f>Table626893456791011121314[[#This Row],[Offer Value]]-Table626893456791011121314[[#This Row],[PO Value]]</f>
        <v>0</v>
      </c>
      <c r="W82" s="300"/>
      <c r="X82" s="300"/>
      <c r="Y82" s="610"/>
      <c r="Z82" s="7"/>
      <c r="AA82" s="7"/>
    </row>
    <row r="83" spans="1:27" ht="15.6">
      <c r="A83" s="106"/>
      <c r="B83" s="300"/>
      <c r="C83" s="178"/>
      <c r="D83" s="178"/>
      <c r="E83" s="178"/>
      <c r="F83" s="178"/>
      <c r="G83" s="178"/>
      <c r="H83" s="316"/>
      <c r="I83" s="178"/>
      <c r="J83" s="178"/>
      <c r="K83" s="178"/>
      <c r="L83" s="178"/>
      <c r="M83" s="300"/>
      <c r="N83" s="300"/>
      <c r="O83" s="300"/>
      <c r="P83" s="300"/>
      <c r="Q83" s="306"/>
      <c r="R83" s="608"/>
      <c r="S83" s="315"/>
      <c r="T83" s="300"/>
      <c r="U83" s="315" t="str">
        <f>TEXT(Table626893456791011121314[[#This Row],[PO Date]], "mmmm")</f>
        <v>January</v>
      </c>
      <c r="V83" s="284">
        <f>Table626893456791011121314[[#This Row],[Offer Value]]-Table626893456791011121314[[#This Row],[PO Value]]</f>
        <v>0</v>
      </c>
      <c r="W83" s="300"/>
      <c r="X83" s="300"/>
      <c r="Y83" s="610"/>
      <c r="Z83" s="7"/>
      <c r="AA83" s="7"/>
    </row>
    <row r="84" spans="1:27" ht="15.6">
      <c r="A84" s="106"/>
      <c r="B84" s="300"/>
      <c r="C84" s="178"/>
      <c r="D84" s="178"/>
      <c r="E84" s="178"/>
      <c r="F84" s="178"/>
      <c r="G84" s="303"/>
      <c r="H84" s="182"/>
      <c r="I84" s="178"/>
      <c r="J84" s="178"/>
      <c r="K84" s="178"/>
      <c r="L84" s="178"/>
      <c r="M84" s="300"/>
      <c r="N84" s="300"/>
      <c r="O84" s="300"/>
      <c r="P84" s="300"/>
      <c r="Q84" s="306"/>
      <c r="R84" s="608"/>
      <c r="S84" s="315"/>
      <c r="T84" s="300"/>
      <c r="U84" s="315" t="str">
        <f>TEXT(Table626893456791011121314[[#This Row],[PO Date]], "mmmm")</f>
        <v>January</v>
      </c>
      <c r="V84" s="284">
        <f>Table626893456791011121314[[#This Row],[Offer Value]]-Table626893456791011121314[[#This Row],[PO Value]]</f>
        <v>0</v>
      </c>
      <c r="W84" s="300"/>
      <c r="X84" s="300"/>
      <c r="Y84" s="610"/>
      <c r="Z84" s="7"/>
      <c r="AA84" s="7"/>
    </row>
    <row r="85" spans="1:27" ht="15.6">
      <c r="A85" s="106"/>
      <c r="B85" s="300"/>
      <c r="C85" s="178"/>
      <c r="D85" s="178"/>
      <c r="E85" s="178"/>
      <c r="F85" s="178"/>
      <c r="G85" s="178"/>
      <c r="H85" s="316"/>
      <c r="I85" s="178"/>
      <c r="J85" s="178"/>
      <c r="K85" s="178"/>
      <c r="L85" s="178"/>
      <c r="M85" s="300"/>
      <c r="N85" s="300"/>
      <c r="O85" s="300"/>
      <c r="P85" s="300"/>
      <c r="Q85" s="306"/>
      <c r="R85" s="608"/>
      <c r="S85" s="315"/>
      <c r="T85" s="300"/>
      <c r="U85" s="315" t="str">
        <f>TEXT(Table626893456791011121314[[#This Row],[PO Date]], "mmmm")</f>
        <v>January</v>
      </c>
      <c r="V85" s="284">
        <f>Table626893456791011121314[[#This Row],[Offer Value]]-Table626893456791011121314[[#This Row],[PO Value]]</f>
        <v>0</v>
      </c>
      <c r="W85" s="300"/>
      <c r="X85" s="300"/>
      <c r="Y85" s="609"/>
      <c r="Z85" s="7"/>
      <c r="AA85" s="7"/>
    </row>
    <row r="86" spans="1:27" ht="15.6">
      <c r="A86" s="106"/>
      <c r="B86" s="300"/>
      <c r="C86" s="178"/>
      <c r="D86" s="178"/>
      <c r="E86" s="178"/>
      <c r="F86" s="178"/>
      <c r="G86" s="178"/>
      <c r="H86" s="316"/>
      <c r="I86" s="178"/>
      <c r="J86" s="178"/>
      <c r="K86" s="178"/>
      <c r="L86" s="457"/>
      <c r="M86" s="300"/>
      <c r="N86" s="300"/>
      <c r="O86" s="300"/>
      <c r="P86" s="300"/>
      <c r="Q86" s="306"/>
      <c r="R86" s="608"/>
      <c r="S86" s="315"/>
      <c r="T86" s="300"/>
      <c r="U86" s="315" t="str">
        <f>TEXT(Table626893456791011121314[[#This Row],[PO Date]], "mmmm")</f>
        <v>January</v>
      </c>
      <c r="V86" s="284">
        <f>Table626893456791011121314[[#This Row],[Offer Value]]-Table626893456791011121314[[#This Row],[PO Value]]</f>
        <v>0</v>
      </c>
      <c r="W86" s="300"/>
      <c r="X86" s="300"/>
      <c r="Y86" s="610"/>
      <c r="Z86" s="7"/>
      <c r="AA86" s="7"/>
    </row>
    <row r="87" spans="1:27" ht="15.6">
      <c r="A87" s="106"/>
      <c r="B87" s="300"/>
      <c r="C87" s="178"/>
      <c r="D87" s="178"/>
      <c r="E87" s="178"/>
      <c r="F87" s="178"/>
      <c r="G87" s="178"/>
      <c r="H87" s="316"/>
      <c r="I87" s="178"/>
      <c r="J87" s="178"/>
      <c r="K87" s="178"/>
      <c r="L87" s="457"/>
      <c r="M87" s="300"/>
      <c r="N87" s="300"/>
      <c r="O87" s="300"/>
      <c r="P87" s="300"/>
      <c r="Q87" s="306"/>
      <c r="R87" s="608"/>
      <c r="S87" s="315"/>
      <c r="T87" s="300"/>
      <c r="U87" s="315" t="str">
        <f>TEXT(Table626893456791011121314[[#This Row],[PO Date]], "mmmm")</f>
        <v>January</v>
      </c>
      <c r="V87" s="284">
        <f>Table626893456791011121314[[#This Row],[Offer Value]]-Table626893456791011121314[[#This Row],[PO Value]]</f>
        <v>0</v>
      </c>
      <c r="W87" s="300"/>
      <c r="X87" s="300"/>
      <c r="Y87" s="610"/>
      <c r="Z87" s="7"/>
      <c r="AA87" s="7"/>
    </row>
    <row r="88" spans="1:27" ht="15.6">
      <c r="A88" s="106"/>
      <c r="B88" s="300"/>
      <c r="C88" s="178"/>
      <c r="D88" s="178"/>
      <c r="E88" s="178"/>
      <c r="F88" s="178"/>
      <c r="G88" s="178"/>
      <c r="H88" s="316"/>
      <c r="I88" s="178"/>
      <c r="J88" s="178"/>
      <c r="K88" s="178"/>
      <c r="L88" s="457"/>
      <c r="M88" s="300"/>
      <c r="N88" s="300"/>
      <c r="O88" s="300"/>
      <c r="P88" s="300"/>
      <c r="Q88" s="306"/>
      <c r="R88" s="608"/>
      <c r="S88" s="315"/>
      <c r="T88" s="300"/>
      <c r="U88" s="315" t="str">
        <f>TEXT(Table626893456791011121314[[#This Row],[PO Date]], "mmmm")</f>
        <v>January</v>
      </c>
      <c r="V88" s="284">
        <f>Table626893456791011121314[[#This Row],[Offer Value]]-Table626893456791011121314[[#This Row],[PO Value]]</f>
        <v>0</v>
      </c>
      <c r="W88" s="300"/>
      <c r="X88" s="300"/>
      <c r="Y88" s="609"/>
      <c r="Z88" s="7"/>
      <c r="AA88" s="7"/>
    </row>
    <row r="89" spans="1:27" ht="15.6">
      <c r="A89" s="106"/>
      <c r="B89" s="300"/>
      <c r="C89" s="178"/>
      <c r="D89" s="178"/>
      <c r="E89" s="178"/>
      <c r="F89" s="178"/>
      <c r="G89" s="178"/>
      <c r="H89" s="316"/>
      <c r="I89" s="178"/>
      <c r="J89" s="178"/>
      <c r="K89" s="178"/>
      <c r="L89" s="457"/>
      <c r="M89" s="300"/>
      <c r="N89" s="300"/>
      <c r="O89" s="300"/>
      <c r="P89" s="300"/>
      <c r="Q89" s="306"/>
      <c r="R89" s="608"/>
      <c r="S89" s="315"/>
      <c r="T89" s="300"/>
      <c r="U89" s="315" t="str">
        <f>TEXT(Table626893456791011121314[[#This Row],[PO Date]], "mmmm")</f>
        <v>January</v>
      </c>
      <c r="V89" s="284">
        <f>Table626893456791011121314[[#This Row],[Offer Value]]-Table626893456791011121314[[#This Row],[PO Value]]</f>
        <v>0</v>
      </c>
      <c r="W89" s="300"/>
      <c r="X89" s="300"/>
      <c r="Y89" s="609"/>
      <c r="Z89" s="7"/>
      <c r="AA89" s="7"/>
    </row>
    <row r="90" spans="1:27" ht="15.6">
      <c r="A90" s="106"/>
      <c r="B90" s="300"/>
      <c r="C90" s="178"/>
      <c r="D90" s="303"/>
      <c r="E90" s="303"/>
      <c r="F90" s="303"/>
      <c r="G90" s="303"/>
      <c r="H90" s="182"/>
      <c r="I90" s="178"/>
      <c r="J90" s="178"/>
      <c r="K90" s="178"/>
      <c r="L90" s="457"/>
      <c r="M90" s="300"/>
      <c r="N90" s="300"/>
      <c r="O90" s="300"/>
      <c r="P90" s="300"/>
      <c r="Q90" s="306"/>
      <c r="R90" s="608"/>
      <c r="S90" s="315"/>
      <c r="T90" s="300"/>
      <c r="U90" s="300" t="str">
        <f>TEXT(Table626893456791011121314[[#This Row],[PO Date]], "mmmm")</f>
        <v>January</v>
      </c>
      <c r="V90" s="284">
        <f>Table626893456791011121314[[#This Row],[Offer Value]]-Table626893456791011121314[[#This Row],[PO Value]]</f>
        <v>0</v>
      </c>
      <c r="W90" s="300"/>
      <c r="X90" s="300"/>
      <c r="Y90" s="609"/>
      <c r="Z90" s="7"/>
      <c r="AA90" s="7"/>
    </row>
    <row r="91" spans="1:27" ht="15.6">
      <c r="A91" s="106"/>
      <c r="B91" s="300"/>
      <c r="C91" s="178"/>
      <c r="D91" s="303"/>
      <c r="E91" s="303"/>
      <c r="F91" s="303"/>
      <c r="G91" s="303"/>
      <c r="H91" s="182"/>
      <c r="I91" s="178"/>
      <c r="J91" s="178"/>
      <c r="K91" s="178"/>
      <c r="L91" s="457"/>
      <c r="M91" s="300"/>
      <c r="N91" s="300"/>
      <c r="O91" s="300"/>
      <c r="P91" s="300"/>
      <c r="Q91" s="306"/>
      <c r="R91" s="608"/>
      <c r="S91" s="315"/>
      <c r="T91" s="300"/>
      <c r="U91" s="300" t="str">
        <f>TEXT(Table626893456791011121314[[#This Row],[PO Date]], "mmmm")</f>
        <v>January</v>
      </c>
      <c r="V91" s="284">
        <f>Table626893456791011121314[[#This Row],[Offer Value]]-Table626893456791011121314[[#This Row],[PO Value]]</f>
        <v>0</v>
      </c>
      <c r="W91" s="300"/>
      <c r="X91" s="300"/>
      <c r="Y91" s="609"/>
      <c r="Z91" s="7"/>
      <c r="AA91" s="7"/>
    </row>
    <row r="92" spans="1:27" ht="15.6">
      <c r="A92" s="106"/>
      <c r="B92" s="300"/>
      <c r="C92" s="178"/>
      <c r="D92" s="178"/>
      <c r="E92" s="178"/>
      <c r="F92" s="303"/>
      <c r="G92" s="178"/>
      <c r="H92" s="316"/>
      <c r="I92" s="178"/>
      <c r="J92" s="178"/>
      <c r="K92" s="178"/>
      <c r="L92" s="457"/>
      <c r="M92" s="300"/>
      <c r="N92" s="300"/>
      <c r="O92" s="300"/>
      <c r="P92" s="300"/>
      <c r="Q92" s="306"/>
      <c r="R92" s="608"/>
      <c r="S92" s="320"/>
      <c r="T92" s="300"/>
      <c r="U92" s="315" t="str">
        <f>TEXT(Table626893456791011121314[[#This Row],[PO Date]], "mmmm")</f>
        <v>January</v>
      </c>
      <c r="V92" s="284">
        <f>Table626893456791011121314[[#This Row],[Offer Value]]-Table626893456791011121314[[#This Row],[PO Value]]</f>
        <v>0</v>
      </c>
      <c r="W92" s="300"/>
      <c r="X92" s="300"/>
      <c r="Y92" s="610"/>
      <c r="Z92" s="7"/>
      <c r="AA92" s="7"/>
    </row>
    <row r="93" spans="1:27" ht="15.6">
      <c r="A93" s="106"/>
      <c r="B93" s="300"/>
      <c r="C93" s="178"/>
      <c r="D93" s="178"/>
      <c r="E93" s="178"/>
      <c r="F93" s="303"/>
      <c r="G93" s="178"/>
      <c r="H93" s="316"/>
      <c r="I93" s="178"/>
      <c r="J93" s="178"/>
      <c r="K93" s="178"/>
      <c r="L93" s="457"/>
      <c r="M93" s="300"/>
      <c r="N93" s="300"/>
      <c r="O93" s="300"/>
      <c r="P93" s="300"/>
      <c r="Q93" s="306"/>
      <c r="R93" s="608"/>
      <c r="S93" s="320"/>
      <c r="T93" s="300"/>
      <c r="U93" s="315" t="str">
        <f>TEXT(Table626893456791011121314[[#This Row],[PO Date]], "mmmm")</f>
        <v>January</v>
      </c>
      <c r="V93" s="284">
        <f>Table626893456791011121314[[#This Row],[Offer Value]]-Table626893456791011121314[[#This Row],[PO Value]]</f>
        <v>0</v>
      </c>
      <c r="W93" s="300"/>
      <c r="X93" s="300"/>
      <c r="Y93" s="610"/>
      <c r="Z93" s="7"/>
      <c r="AA93" s="7"/>
    </row>
    <row r="94" spans="1:27" ht="15.6">
      <c r="A94" s="106"/>
      <c r="B94" s="300"/>
      <c r="C94" s="178"/>
      <c r="D94" s="178"/>
      <c r="E94" s="178"/>
      <c r="F94" s="303"/>
      <c r="G94" s="178"/>
      <c r="H94" s="316"/>
      <c r="I94" s="178"/>
      <c r="J94" s="178"/>
      <c r="K94" s="178"/>
      <c r="L94" s="457"/>
      <c r="M94" s="300"/>
      <c r="N94" s="300"/>
      <c r="O94" s="300"/>
      <c r="P94" s="300"/>
      <c r="Q94" s="306"/>
      <c r="R94" s="608"/>
      <c r="S94" s="320"/>
      <c r="T94" s="300"/>
      <c r="U94" s="315" t="str">
        <f>TEXT(Table626893456791011121314[[#This Row],[PO Date]], "mmmm")</f>
        <v>January</v>
      </c>
      <c r="V94" s="284">
        <f>Table626893456791011121314[[#This Row],[Offer Value]]-Table626893456791011121314[[#This Row],[PO Value]]</f>
        <v>0</v>
      </c>
      <c r="W94" s="300"/>
      <c r="X94" s="300"/>
      <c r="Y94" s="610"/>
      <c r="Z94" s="7"/>
      <c r="AA94" s="7"/>
    </row>
    <row r="95" spans="1:27" ht="15.6">
      <c r="A95" s="106"/>
      <c r="B95" s="300"/>
      <c r="C95" s="178"/>
      <c r="D95" s="178"/>
      <c r="E95" s="178"/>
      <c r="F95" s="303"/>
      <c r="G95" s="178"/>
      <c r="H95" s="316"/>
      <c r="I95" s="178"/>
      <c r="J95" s="178"/>
      <c r="K95" s="178"/>
      <c r="L95" s="457"/>
      <c r="M95" s="300"/>
      <c r="N95" s="300"/>
      <c r="O95" s="300"/>
      <c r="P95" s="300"/>
      <c r="Q95" s="306"/>
      <c r="R95" s="608"/>
      <c r="S95" s="320"/>
      <c r="T95" s="300"/>
      <c r="U95" s="315" t="str">
        <f>TEXT(Table626893456791011121314[[#This Row],[PO Date]], "mmmm")</f>
        <v>January</v>
      </c>
      <c r="V95" s="284">
        <f>Table626893456791011121314[[#This Row],[Offer Value]]-Table626893456791011121314[[#This Row],[PO Value]]</f>
        <v>0</v>
      </c>
      <c r="W95" s="300"/>
      <c r="X95" s="300"/>
      <c r="Y95" s="610"/>
      <c r="Z95" s="7"/>
      <c r="AA95" s="7"/>
    </row>
    <row r="96" spans="1:27" ht="15.6">
      <c r="A96" s="106"/>
      <c r="B96" s="300"/>
      <c r="C96" s="178"/>
      <c r="D96" s="178"/>
      <c r="E96" s="178"/>
      <c r="F96" s="303"/>
      <c r="G96" s="178"/>
      <c r="H96" s="316"/>
      <c r="I96" s="178"/>
      <c r="J96" s="178"/>
      <c r="K96" s="178"/>
      <c r="L96" s="457"/>
      <c r="M96" s="300"/>
      <c r="N96" s="300"/>
      <c r="O96" s="300"/>
      <c r="P96" s="300"/>
      <c r="Q96" s="306"/>
      <c r="R96" s="608"/>
      <c r="S96" s="320"/>
      <c r="T96" s="300"/>
      <c r="U96" s="315" t="str">
        <f>TEXT(Table626893456791011121314[[#This Row],[PO Date]], "mmmm")</f>
        <v>January</v>
      </c>
      <c r="V96" s="284">
        <f>Table626893456791011121314[[#This Row],[Offer Value]]-Table626893456791011121314[[#This Row],[PO Value]]</f>
        <v>0</v>
      </c>
      <c r="W96" s="300"/>
      <c r="X96" s="300"/>
      <c r="Y96" s="610"/>
      <c r="Z96" s="7"/>
      <c r="AA96" s="7"/>
    </row>
    <row r="97" spans="1:27" ht="15.6">
      <c r="A97" s="106"/>
      <c r="B97" s="300"/>
      <c r="C97" s="178"/>
      <c r="D97" s="178"/>
      <c r="E97" s="178"/>
      <c r="F97" s="303"/>
      <c r="G97" s="178"/>
      <c r="H97" s="316"/>
      <c r="I97" s="178"/>
      <c r="J97" s="178"/>
      <c r="K97" s="178"/>
      <c r="L97" s="457"/>
      <c r="M97" s="300"/>
      <c r="N97" s="300"/>
      <c r="O97" s="300"/>
      <c r="P97" s="300"/>
      <c r="Q97" s="306"/>
      <c r="R97" s="608"/>
      <c r="S97" s="320"/>
      <c r="T97" s="300"/>
      <c r="U97" s="315" t="str">
        <f>TEXT(Table626893456791011121314[[#This Row],[PO Date]], "mmmm")</f>
        <v>January</v>
      </c>
      <c r="V97" s="284">
        <f>Table626893456791011121314[[#This Row],[Offer Value]]-Table626893456791011121314[[#This Row],[PO Value]]</f>
        <v>0</v>
      </c>
      <c r="W97" s="300"/>
      <c r="X97" s="300"/>
      <c r="Y97" s="610"/>
      <c r="Z97" s="7"/>
      <c r="AA97" s="7"/>
    </row>
    <row r="98" spans="1:27" ht="15.6">
      <c r="A98" s="106"/>
      <c r="B98" s="300"/>
      <c r="C98" s="178"/>
      <c r="D98" s="178"/>
      <c r="E98" s="178"/>
      <c r="F98" s="178"/>
      <c r="G98" s="178"/>
      <c r="H98" s="316"/>
      <c r="I98" s="178"/>
      <c r="J98" s="178"/>
      <c r="K98" s="178"/>
      <c r="L98" s="457"/>
      <c r="M98" s="300"/>
      <c r="N98" s="300"/>
      <c r="O98" s="300"/>
      <c r="P98" s="300"/>
      <c r="Q98" s="306"/>
      <c r="R98" s="608"/>
      <c r="S98" s="315"/>
      <c r="T98" s="300"/>
      <c r="U98" s="315" t="str">
        <f>TEXT(Table626893456791011121314[[#This Row],[PO Date]], "mmmm")</f>
        <v>January</v>
      </c>
      <c r="V98" s="284">
        <f>Table626893456791011121314[[#This Row],[Offer Value]]-Table626893456791011121314[[#This Row],[PO Value]]</f>
        <v>0</v>
      </c>
      <c r="W98" s="300"/>
      <c r="X98" s="300"/>
      <c r="Y98" s="610"/>
      <c r="Z98" s="7"/>
      <c r="AA98" s="7"/>
    </row>
    <row r="99" spans="1:27" ht="15.6">
      <c r="A99" s="106"/>
      <c r="B99" s="300"/>
      <c r="C99" s="178"/>
      <c r="D99" s="178"/>
      <c r="E99" s="178"/>
      <c r="F99" s="178"/>
      <c r="G99" s="178"/>
      <c r="H99" s="316"/>
      <c r="I99" s="178"/>
      <c r="J99" s="178"/>
      <c r="K99" s="178"/>
      <c r="L99" s="457"/>
      <c r="M99" s="300"/>
      <c r="N99" s="300"/>
      <c r="O99" s="300"/>
      <c r="P99" s="300"/>
      <c r="Q99" s="306"/>
      <c r="R99" s="608"/>
      <c r="S99" s="315"/>
      <c r="T99" s="300"/>
      <c r="U99" s="315" t="str">
        <f>TEXT(Table626893456791011121314[[#This Row],[PO Date]], "mmmm")</f>
        <v>January</v>
      </c>
      <c r="V99" s="284">
        <f>Table626893456791011121314[[#This Row],[Offer Value]]-Table626893456791011121314[[#This Row],[PO Value]]</f>
        <v>0</v>
      </c>
      <c r="W99" s="300"/>
      <c r="X99" s="300"/>
      <c r="Y99" s="610"/>
      <c r="Z99" s="7"/>
      <c r="AA99" s="7"/>
    </row>
    <row r="100" spans="1:27" ht="15.6">
      <c r="A100" s="106"/>
      <c r="B100" s="300"/>
      <c r="C100" s="178"/>
      <c r="D100" s="178"/>
      <c r="E100" s="178"/>
      <c r="F100" s="178"/>
      <c r="G100" s="178"/>
      <c r="H100" s="316"/>
      <c r="I100" s="178"/>
      <c r="J100" s="178"/>
      <c r="K100" s="178"/>
      <c r="L100" s="457"/>
      <c r="M100" s="300"/>
      <c r="N100" s="300"/>
      <c r="O100" s="300"/>
      <c r="P100" s="300"/>
      <c r="Q100" s="306"/>
      <c r="R100" s="608"/>
      <c r="S100" s="315"/>
      <c r="T100" s="300"/>
      <c r="U100" s="315" t="str">
        <f>TEXT(Table626893456791011121314[[#This Row],[PO Date]], "mmmm")</f>
        <v>January</v>
      </c>
      <c r="V100" s="284">
        <f>Table626893456791011121314[[#This Row],[Offer Value]]-Table626893456791011121314[[#This Row],[PO Value]]</f>
        <v>0</v>
      </c>
      <c r="W100" s="300"/>
      <c r="X100" s="300"/>
      <c r="Y100" s="610"/>
      <c r="Z100" s="7"/>
      <c r="AA100" s="7"/>
    </row>
    <row r="101" spans="1:27" ht="15.6">
      <c r="A101" s="106"/>
      <c r="B101" s="300"/>
      <c r="C101" s="178"/>
      <c r="D101" s="178"/>
      <c r="E101" s="178"/>
      <c r="F101" s="178"/>
      <c r="G101" s="178"/>
      <c r="H101" s="316"/>
      <c r="I101" s="304"/>
      <c r="J101" s="178"/>
      <c r="K101" s="178"/>
      <c r="L101" s="457"/>
      <c r="M101" s="300"/>
      <c r="N101" s="300"/>
      <c r="O101" s="300"/>
      <c r="P101" s="300"/>
      <c r="Q101" s="306"/>
      <c r="R101" s="608"/>
      <c r="S101" s="315"/>
      <c r="T101" s="300"/>
      <c r="U101" s="315" t="str">
        <f>TEXT(Table626893456791011121314[[#This Row],[PO Date]], "mmmm")</f>
        <v>January</v>
      </c>
      <c r="V101" s="284">
        <f>Table626893456791011121314[[#This Row],[Offer Value]]-Table626893456791011121314[[#This Row],[PO Value]]</f>
        <v>0</v>
      </c>
      <c r="W101" s="300"/>
      <c r="X101" s="300"/>
      <c r="Y101" s="610"/>
      <c r="Z101" s="7"/>
      <c r="AA101" s="7"/>
    </row>
    <row r="102" spans="1:27" ht="15.6">
      <c r="A102" s="106"/>
      <c r="B102" s="300"/>
      <c r="C102" s="304"/>
      <c r="D102" s="304"/>
      <c r="E102" s="304"/>
      <c r="F102" s="178"/>
      <c r="G102" s="304"/>
      <c r="H102" s="182"/>
      <c r="I102" s="304"/>
      <c r="J102" s="178"/>
      <c r="K102" s="178"/>
      <c r="L102" s="457"/>
      <c r="M102" s="300"/>
      <c r="N102" s="300"/>
      <c r="O102" s="300"/>
      <c r="P102" s="300"/>
      <c r="Q102" s="306"/>
      <c r="R102" s="302"/>
      <c r="S102" s="301"/>
      <c r="T102" s="300"/>
      <c r="U102" s="300" t="str">
        <f>TEXT(Table626893456791011121314[[#This Row],[PO Date]], "mmmm")</f>
        <v>January</v>
      </c>
      <c r="V102" s="284">
        <f>Table626893456791011121314[[#This Row],[Offer Value]]-Table626893456791011121314[[#This Row],[PO Value]]</f>
        <v>0</v>
      </c>
      <c r="W102" s="300"/>
      <c r="X102" s="300"/>
      <c r="Y102" s="610"/>
      <c r="Z102" s="7"/>
      <c r="AA102" s="7"/>
    </row>
    <row r="103" spans="1:27" ht="15.6">
      <c r="A103" s="106"/>
      <c r="B103" s="300"/>
      <c r="C103" s="304"/>
      <c r="D103" s="304"/>
      <c r="E103" s="304"/>
      <c r="F103" s="178"/>
      <c r="G103" s="304"/>
      <c r="H103" s="182"/>
      <c r="I103" s="304"/>
      <c r="J103" s="178"/>
      <c r="K103" s="178"/>
      <c r="L103" s="457"/>
      <c r="M103" s="300"/>
      <c r="N103" s="300"/>
      <c r="O103" s="300"/>
      <c r="P103" s="300"/>
      <c r="Q103" s="306"/>
      <c r="R103" s="302"/>
      <c r="S103" s="301"/>
      <c r="T103" s="300"/>
      <c r="U103" s="300" t="str">
        <f>TEXT(Table626893456791011121314[[#This Row],[PO Date]], "mmmm")</f>
        <v>January</v>
      </c>
      <c r="V103" s="284">
        <f>Table626893456791011121314[[#This Row],[Offer Value]]-Table626893456791011121314[[#This Row],[PO Value]]</f>
        <v>0</v>
      </c>
      <c r="W103" s="300"/>
      <c r="X103" s="300"/>
      <c r="Y103" s="610"/>
      <c r="Z103" s="7"/>
      <c r="AA103" s="7"/>
    </row>
    <row r="104" spans="1:27" ht="15.6">
      <c r="A104" s="106"/>
      <c r="B104" s="300"/>
      <c r="C104" s="304"/>
      <c r="D104" s="304"/>
      <c r="E104" s="304"/>
      <c r="F104" s="178"/>
      <c r="G104" s="304"/>
      <c r="H104" s="182"/>
      <c r="I104" s="304"/>
      <c r="J104" s="178"/>
      <c r="K104" s="178"/>
      <c r="L104" s="457"/>
      <c r="M104" s="300"/>
      <c r="N104" s="300"/>
      <c r="O104" s="300"/>
      <c r="P104" s="300"/>
      <c r="Q104" s="306"/>
      <c r="R104" s="302"/>
      <c r="S104" s="301"/>
      <c r="T104" s="300"/>
      <c r="U104" s="300" t="str">
        <f>TEXT(Table626893456791011121314[[#This Row],[PO Date]], "mmmm")</f>
        <v>January</v>
      </c>
      <c r="V104" s="284">
        <f>Table626893456791011121314[[#This Row],[Offer Value]]-Table626893456791011121314[[#This Row],[PO Value]]</f>
        <v>0</v>
      </c>
      <c r="W104" s="300"/>
      <c r="X104" s="300"/>
      <c r="Y104" s="610"/>
      <c r="Z104" s="7"/>
      <c r="AA104" s="7"/>
    </row>
    <row r="105" spans="1:27" ht="15.6">
      <c r="A105" s="106"/>
      <c r="B105" s="300"/>
      <c r="C105" s="304"/>
      <c r="D105" s="304"/>
      <c r="E105" s="304"/>
      <c r="F105" s="178"/>
      <c r="G105" s="304"/>
      <c r="H105" s="182"/>
      <c r="I105" s="304"/>
      <c r="J105" s="178"/>
      <c r="K105" s="178"/>
      <c r="L105" s="457"/>
      <c r="M105" s="300"/>
      <c r="N105" s="300"/>
      <c r="O105" s="300"/>
      <c r="P105" s="300"/>
      <c r="Q105" s="306"/>
      <c r="R105" s="302"/>
      <c r="S105" s="301"/>
      <c r="T105" s="300"/>
      <c r="U105" s="300" t="str">
        <f>TEXT(Table626893456791011121314[[#This Row],[PO Date]], "mmmm")</f>
        <v>January</v>
      </c>
      <c r="V105" s="284">
        <f>Table626893456791011121314[[#This Row],[Offer Value]]-Table626893456791011121314[[#This Row],[PO Value]]</f>
        <v>0</v>
      </c>
      <c r="W105" s="300"/>
      <c r="X105" s="300"/>
      <c r="Y105" s="610"/>
      <c r="Z105" s="7"/>
      <c r="AA105" s="7"/>
    </row>
    <row r="106" spans="1:27" ht="15.6">
      <c r="A106" s="106"/>
      <c r="B106" s="301"/>
      <c r="C106" s="304"/>
      <c r="D106" s="304"/>
      <c r="E106" s="304"/>
      <c r="F106" s="304"/>
      <c r="G106" s="304"/>
      <c r="H106" s="182"/>
      <c r="I106" s="304"/>
      <c r="J106" s="178"/>
      <c r="K106" s="178"/>
      <c r="L106" s="178"/>
      <c r="M106" s="317"/>
      <c r="N106" s="300"/>
      <c r="O106" s="300"/>
      <c r="P106" s="300"/>
      <c r="Q106" s="306"/>
      <c r="R106" s="302"/>
      <c r="S106" s="301"/>
      <c r="T106" s="300"/>
      <c r="U106" s="300" t="str">
        <f>TEXT(Table626893456791011121314[[#This Row],[PO Date]], "mmmm")</f>
        <v>January</v>
      </c>
      <c r="V106" s="284">
        <f>Table626893456791011121314[[#This Row],[Offer Value]]-Table626893456791011121314[[#This Row],[PO Value]]</f>
        <v>0</v>
      </c>
      <c r="W106" s="300"/>
      <c r="X106" s="300"/>
      <c r="Y106" s="611"/>
      <c r="Z106" s="7"/>
      <c r="AA106" s="7"/>
    </row>
    <row r="107" spans="1:27" ht="15.6">
      <c r="A107" s="106"/>
      <c r="B107" s="301"/>
      <c r="C107" s="304"/>
      <c r="D107" s="178"/>
      <c r="E107" s="178"/>
      <c r="F107" s="178"/>
      <c r="G107" s="178"/>
      <c r="H107" s="316"/>
      <c r="I107" s="178"/>
      <c r="J107" s="178"/>
      <c r="K107" s="178"/>
      <c r="L107" s="178"/>
      <c r="M107" s="317"/>
      <c r="N107" s="300"/>
      <c r="O107" s="300"/>
      <c r="P107" s="300"/>
      <c r="Q107" s="306"/>
      <c r="R107" s="302"/>
      <c r="S107" s="300"/>
      <c r="T107" s="300"/>
      <c r="U107" s="300" t="str">
        <f>TEXT(Table626893456791011121314[[#This Row],[PO Date]], "mmmm")</f>
        <v>January</v>
      </c>
      <c r="V107" s="284">
        <f>Table626893456791011121314[[#This Row],[Offer Value]]-Table626893456791011121314[[#This Row],[PO Value]]</f>
        <v>0</v>
      </c>
      <c r="W107" s="300"/>
      <c r="X107" s="300"/>
      <c r="Y107" s="611"/>
      <c r="Z107" s="7"/>
      <c r="AA107" s="7"/>
    </row>
    <row r="108" spans="1:27" ht="15.6">
      <c r="A108" s="106"/>
      <c r="B108" s="301"/>
      <c r="C108" s="304"/>
      <c r="D108" s="304"/>
      <c r="E108" s="178"/>
      <c r="F108" s="178"/>
      <c r="G108" s="178"/>
      <c r="H108" s="316"/>
      <c r="I108" s="178"/>
      <c r="J108" s="178"/>
      <c r="K108" s="178"/>
      <c r="L108" s="178"/>
      <c r="M108" s="317"/>
      <c r="N108" s="300"/>
      <c r="O108" s="300"/>
      <c r="P108" s="300"/>
      <c r="Q108" s="306"/>
      <c r="R108" s="302"/>
      <c r="S108" s="300"/>
      <c r="T108" s="300"/>
      <c r="U108" s="300" t="str">
        <f>TEXT(Table626893456791011121314[[#This Row],[PO Date]], "mmmm")</f>
        <v>January</v>
      </c>
      <c r="V108" s="284">
        <f>Table626893456791011121314[[#This Row],[Offer Value]]-Table626893456791011121314[[#This Row],[PO Value]]</f>
        <v>0</v>
      </c>
      <c r="W108" s="300"/>
      <c r="X108" s="300"/>
      <c r="Y108" s="611"/>
      <c r="Z108" s="7"/>
      <c r="AA108" s="7"/>
    </row>
    <row r="109" spans="1:27" ht="15.6">
      <c r="A109" s="106"/>
      <c r="B109" s="301"/>
      <c r="C109" s="304"/>
      <c r="D109" s="304"/>
      <c r="E109" s="304"/>
      <c r="F109" s="304"/>
      <c r="G109" s="304"/>
      <c r="H109" s="182"/>
      <c r="I109" s="303"/>
      <c r="J109" s="178"/>
      <c r="K109" s="178"/>
      <c r="L109" s="178"/>
      <c r="M109" s="317"/>
      <c r="N109" s="300"/>
      <c r="O109" s="300"/>
      <c r="P109" s="300"/>
      <c r="Q109" s="306"/>
      <c r="R109" s="302"/>
      <c r="S109" s="300"/>
      <c r="T109" s="300"/>
      <c r="U109" s="300" t="str">
        <f>TEXT(Table626893456791011121314[[#This Row],[PO Date]], "mmmm")</f>
        <v>January</v>
      </c>
      <c r="V109" s="284">
        <f>Table626893456791011121314[[#This Row],[Offer Value]]-Table626893456791011121314[[#This Row],[PO Value]]</f>
        <v>0</v>
      </c>
      <c r="W109" s="300"/>
      <c r="X109" s="300"/>
      <c r="Y109" s="611"/>
      <c r="Z109" s="7"/>
      <c r="AA109" s="7"/>
    </row>
    <row r="110" spans="1:27" ht="15.6">
      <c r="A110" s="106"/>
      <c r="B110" s="301"/>
      <c r="C110" s="304"/>
      <c r="D110" s="304"/>
      <c r="E110" s="304"/>
      <c r="F110" s="304"/>
      <c r="G110" s="304"/>
      <c r="H110" s="182"/>
      <c r="I110" s="303"/>
      <c r="J110" s="178"/>
      <c r="K110" s="178"/>
      <c r="L110" s="178"/>
      <c r="M110" s="317"/>
      <c r="N110" s="300"/>
      <c r="O110" s="300"/>
      <c r="P110" s="300"/>
      <c r="Q110" s="306"/>
      <c r="R110" s="302"/>
      <c r="S110" s="300"/>
      <c r="T110" s="300"/>
      <c r="U110" s="300" t="str">
        <f>TEXT(Table626893456791011121314[[#This Row],[PO Date]], "mmmm")</f>
        <v>January</v>
      </c>
      <c r="V110" s="284">
        <f>Table626893456791011121314[[#This Row],[Offer Value]]-Table626893456791011121314[[#This Row],[PO Value]]</f>
        <v>0</v>
      </c>
      <c r="W110" s="300"/>
      <c r="X110" s="300"/>
      <c r="Y110" s="611"/>
      <c r="Z110" s="7"/>
      <c r="AA110" s="7"/>
    </row>
    <row r="111" spans="1:27" ht="15.6">
      <c r="A111" s="106"/>
      <c r="B111" s="300"/>
      <c r="C111" s="304"/>
      <c r="D111" s="178"/>
      <c r="E111" s="178"/>
      <c r="F111" s="178"/>
      <c r="G111" s="303"/>
      <c r="H111" s="182"/>
      <c r="I111" s="178"/>
      <c r="J111" s="178"/>
      <c r="K111" s="178"/>
      <c r="L111" s="178"/>
      <c r="M111" s="178"/>
      <c r="N111" s="300"/>
      <c r="O111" s="300"/>
      <c r="P111" s="300"/>
      <c r="Q111" s="306"/>
      <c r="R111" s="302"/>
      <c r="S111" s="300"/>
      <c r="T111" s="300"/>
      <c r="U111" s="300" t="str">
        <f>TEXT(Table626893456791011121314[[#This Row],[PO Date]], "mmmm")</f>
        <v>January</v>
      </c>
      <c r="V111" s="284">
        <f>Table626893456791011121314[[#This Row],[Offer Value]]-Table626893456791011121314[[#This Row],[PO Value]]</f>
        <v>0</v>
      </c>
      <c r="W111" s="300"/>
      <c r="X111" s="300"/>
      <c r="Y111" s="611"/>
      <c r="Z111" s="7"/>
      <c r="AA111" s="7"/>
    </row>
    <row r="112" spans="1:27" ht="15.6">
      <c r="A112" s="106"/>
      <c r="B112" s="300"/>
      <c r="C112" s="304"/>
      <c r="D112" s="303"/>
      <c r="E112" s="303"/>
      <c r="F112" s="303"/>
      <c r="G112" s="303"/>
      <c r="H112" s="182"/>
      <c r="I112" s="304"/>
      <c r="J112" s="178"/>
      <c r="K112" s="178"/>
      <c r="L112" s="178"/>
      <c r="M112" s="178"/>
      <c r="N112" s="300"/>
      <c r="O112" s="300"/>
      <c r="P112" s="300"/>
      <c r="Q112" s="306"/>
      <c r="R112" s="302"/>
      <c r="S112" s="300"/>
      <c r="T112" s="300"/>
      <c r="U112" s="300" t="str">
        <f>TEXT(Table626893456791011121314[[#This Row],[PO Date]], "mmmm")</f>
        <v>January</v>
      </c>
      <c r="V112" s="284">
        <f>Table626893456791011121314[[#This Row],[Offer Value]]-Table626893456791011121314[[#This Row],[PO Value]]</f>
        <v>0</v>
      </c>
      <c r="W112" s="300"/>
      <c r="X112" s="300"/>
      <c r="Y112" s="611"/>
      <c r="Z112" s="7"/>
      <c r="AA112" s="7"/>
    </row>
    <row r="113" spans="1:27" ht="15.6">
      <c r="A113" s="106"/>
      <c r="B113" s="300"/>
      <c r="C113" s="304"/>
      <c r="D113" s="304"/>
      <c r="E113" s="304"/>
      <c r="F113" s="304"/>
      <c r="G113" s="304"/>
      <c r="H113" s="182"/>
      <c r="I113" s="304"/>
      <c r="J113" s="178"/>
      <c r="K113" s="178"/>
      <c r="L113" s="178"/>
      <c r="M113" s="178"/>
      <c r="N113" s="300"/>
      <c r="O113" s="300"/>
      <c r="P113" s="300"/>
      <c r="Q113" s="306"/>
      <c r="R113" s="302"/>
      <c r="S113" s="301"/>
      <c r="T113" s="300"/>
      <c r="U113" s="300" t="str">
        <f>TEXT(Table626893456791011121314[[#This Row],[PO Date]], "mmmm")</f>
        <v>January</v>
      </c>
      <c r="V113" s="284">
        <f>Table626893456791011121314[[#This Row],[Offer Value]]-Table626893456791011121314[[#This Row],[PO Value]]</f>
        <v>0</v>
      </c>
      <c r="W113" s="300"/>
      <c r="X113" s="300"/>
      <c r="Y113" s="612"/>
      <c r="Z113" s="7"/>
      <c r="AA113" s="7"/>
    </row>
    <row r="114" spans="1:27" ht="15.6">
      <c r="A114" s="106"/>
      <c r="B114" s="300"/>
      <c r="C114" s="304"/>
      <c r="D114" s="304"/>
      <c r="E114" s="304"/>
      <c r="F114" s="304"/>
      <c r="G114" s="304"/>
      <c r="H114" s="182"/>
      <c r="I114" s="304"/>
      <c r="J114" s="178"/>
      <c r="K114" s="178"/>
      <c r="L114" s="178"/>
      <c r="M114" s="178"/>
      <c r="N114" s="300"/>
      <c r="O114" s="300"/>
      <c r="P114" s="300"/>
      <c r="Q114" s="306"/>
      <c r="R114" s="302"/>
      <c r="S114" s="300"/>
      <c r="T114" s="300"/>
      <c r="U114" s="300" t="str">
        <f>TEXT(Table626893456791011121314[[#This Row],[PO Date]], "mmmm")</f>
        <v>January</v>
      </c>
      <c r="V114" s="284">
        <f>Table626893456791011121314[[#This Row],[Offer Value]]-Table626893456791011121314[[#This Row],[PO Value]]</f>
        <v>0</v>
      </c>
      <c r="W114" s="300"/>
      <c r="X114" s="300"/>
      <c r="Y114" s="611"/>
      <c r="Z114" s="7"/>
      <c r="AA114" s="7"/>
    </row>
    <row r="115" spans="1:27" ht="15.6">
      <c r="A115" s="106"/>
      <c r="B115" s="301"/>
      <c r="C115" s="304"/>
      <c r="D115" s="304"/>
      <c r="E115" s="304"/>
      <c r="F115" s="304"/>
      <c r="G115" s="304"/>
      <c r="H115" s="182"/>
      <c r="I115" s="303"/>
      <c r="J115" s="178"/>
      <c r="K115" s="178"/>
      <c r="L115" s="178"/>
      <c r="M115" s="317"/>
      <c r="N115" s="300"/>
      <c r="O115" s="300"/>
      <c r="P115" s="300"/>
      <c r="Q115" s="306"/>
      <c r="R115" s="302"/>
      <c r="S115" s="301"/>
      <c r="T115" s="300"/>
      <c r="U115" s="300" t="str">
        <f>TEXT(Table626893456791011121314[[#This Row],[PO Date]], "mmmm")</f>
        <v>January</v>
      </c>
      <c r="V115" s="284">
        <f>Table626893456791011121314[[#This Row],[Offer Value]]-Table626893456791011121314[[#This Row],[PO Value]]</f>
        <v>0</v>
      </c>
      <c r="W115" s="300"/>
      <c r="X115" s="300"/>
      <c r="Y115" s="612"/>
      <c r="Z115" s="7"/>
      <c r="AA115" s="7"/>
    </row>
    <row r="116" spans="1:27" ht="15.6">
      <c r="A116" s="106"/>
      <c r="B116" s="301"/>
      <c r="C116" s="304"/>
      <c r="D116" s="303"/>
      <c r="E116" s="304"/>
      <c r="F116" s="304"/>
      <c r="G116" s="304"/>
      <c r="H116" s="182"/>
      <c r="I116" s="304"/>
      <c r="J116" s="178"/>
      <c r="K116" s="178"/>
      <c r="L116" s="457"/>
      <c r="M116" s="305"/>
      <c r="N116" s="300"/>
      <c r="O116" s="300"/>
      <c r="P116" s="300"/>
      <c r="Q116" s="306"/>
      <c r="R116" s="302"/>
      <c r="S116" s="301"/>
      <c r="T116" s="300"/>
      <c r="U116" s="300" t="str">
        <f>TEXT(Table626893456791011121314[[#This Row],[PO Date]], "mmmm")</f>
        <v>January</v>
      </c>
      <c r="V116" s="284">
        <f>Table626893456791011121314[[#This Row],[Offer Value]]-Table626893456791011121314[[#This Row],[PO Value]]</f>
        <v>0</v>
      </c>
      <c r="W116" s="300"/>
      <c r="X116" s="300"/>
      <c r="Y116" s="611"/>
      <c r="Z116" s="7"/>
      <c r="AA116" s="7"/>
    </row>
    <row r="117" spans="1:27" ht="15.6">
      <c r="A117" s="106"/>
      <c r="B117" s="300"/>
      <c r="C117" s="304"/>
      <c r="D117" s="303"/>
      <c r="E117" s="304"/>
      <c r="F117" s="304"/>
      <c r="G117" s="304"/>
      <c r="H117" s="182"/>
      <c r="I117" s="304"/>
      <c r="J117" s="178"/>
      <c r="K117" s="178"/>
      <c r="L117" s="457"/>
      <c r="M117" s="305"/>
      <c r="N117" s="300"/>
      <c r="O117" s="300"/>
      <c r="P117" s="300"/>
      <c r="Q117" s="306"/>
      <c r="R117" s="302"/>
      <c r="S117" s="301"/>
      <c r="T117" s="300"/>
      <c r="U117" s="300" t="str">
        <f>TEXT(Table626893456791011121314[[#This Row],[PO Date]], "mmmm")</f>
        <v>January</v>
      </c>
      <c r="V117" s="284">
        <f>Table626893456791011121314[[#This Row],[Offer Value]]-Table626893456791011121314[[#This Row],[PO Value]]</f>
        <v>0</v>
      </c>
      <c r="W117" s="300"/>
      <c r="X117" s="300"/>
      <c r="Y117" s="611"/>
      <c r="Z117" s="7"/>
      <c r="AA117" s="7"/>
    </row>
    <row r="118" spans="1:27" ht="15.6">
      <c r="A118" s="106"/>
      <c r="B118" s="300"/>
      <c r="C118" s="304"/>
      <c r="D118" s="303"/>
      <c r="E118" s="304"/>
      <c r="F118" s="304"/>
      <c r="G118" s="304"/>
      <c r="H118" s="182"/>
      <c r="I118" s="304"/>
      <c r="J118" s="178"/>
      <c r="K118" s="178"/>
      <c r="L118" s="457"/>
      <c r="M118" s="305"/>
      <c r="N118" s="300"/>
      <c r="O118" s="300"/>
      <c r="P118" s="300"/>
      <c r="Q118" s="306"/>
      <c r="R118" s="302"/>
      <c r="S118" s="301"/>
      <c r="T118" s="300"/>
      <c r="U118" s="300" t="str">
        <f>TEXT(Table626893456791011121314[[#This Row],[PO Date]], "mmmm")</f>
        <v>January</v>
      </c>
      <c r="V118" s="284">
        <f>Table626893456791011121314[[#This Row],[Offer Value]]-Table626893456791011121314[[#This Row],[PO Value]]</f>
        <v>0</v>
      </c>
      <c r="W118" s="300"/>
      <c r="X118" s="300"/>
      <c r="Y118" s="611"/>
      <c r="Z118" s="7"/>
      <c r="AA118" s="7"/>
    </row>
    <row r="119" spans="1:27" ht="15.6">
      <c r="A119" s="106"/>
      <c r="B119" s="300"/>
      <c r="C119" s="304"/>
      <c r="D119" s="303"/>
      <c r="E119" s="304"/>
      <c r="F119" s="304"/>
      <c r="G119" s="304"/>
      <c r="H119" s="182"/>
      <c r="I119" s="304"/>
      <c r="J119" s="178"/>
      <c r="K119" s="178"/>
      <c r="L119" s="457"/>
      <c r="M119" s="305"/>
      <c r="N119" s="300"/>
      <c r="O119" s="300"/>
      <c r="P119" s="300"/>
      <c r="Q119" s="306"/>
      <c r="R119" s="302"/>
      <c r="S119" s="301"/>
      <c r="T119" s="300"/>
      <c r="U119" s="300" t="str">
        <f>TEXT(Table626893456791011121314[[#This Row],[PO Date]], "mmmm")</f>
        <v>January</v>
      </c>
      <c r="V119" s="284">
        <f>Table626893456791011121314[[#This Row],[Offer Value]]-Table626893456791011121314[[#This Row],[PO Value]]</f>
        <v>0</v>
      </c>
      <c r="W119" s="300"/>
      <c r="X119" s="300"/>
      <c r="Y119" s="611"/>
      <c r="Z119" s="7"/>
      <c r="AA119" s="7"/>
    </row>
    <row r="120" spans="1:27" ht="15.6">
      <c r="A120" s="106"/>
      <c r="B120" s="300"/>
      <c r="C120" s="304"/>
      <c r="D120" s="303"/>
      <c r="E120" s="304"/>
      <c r="F120" s="304"/>
      <c r="G120" s="304"/>
      <c r="H120" s="182"/>
      <c r="I120" s="304"/>
      <c r="J120" s="178"/>
      <c r="K120" s="178"/>
      <c r="L120" s="457"/>
      <c r="M120" s="305"/>
      <c r="N120" s="300"/>
      <c r="O120" s="300"/>
      <c r="P120" s="300"/>
      <c r="Q120" s="306"/>
      <c r="R120" s="302"/>
      <c r="S120" s="301"/>
      <c r="T120" s="300"/>
      <c r="U120" s="300" t="str">
        <f>TEXT(Table626893456791011121314[[#This Row],[PO Date]], "mmmm")</f>
        <v>January</v>
      </c>
      <c r="V120" s="284">
        <f>Table626893456791011121314[[#This Row],[Offer Value]]-Table626893456791011121314[[#This Row],[PO Value]]</f>
        <v>0</v>
      </c>
      <c r="W120" s="300"/>
      <c r="X120" s="300"/>
      <c r="Y120" s="611"/>
      <c r="Z120" s="7"/>
      <c r="AA120" s="7"/>
    </row>
    <row r="121" spans="1:27" ht="15.6">
      <c r="A121" s="106"/>
      <c r="B121" s="300"/>
      <c r="C121" s="304"/>
      <c r="D121" s="304"/>
      <c r="E121" s="304"/>
      <c r="F121" s="304"/>
      <c r="G121" s="304"/>
      <c r="H121" s="182"/>
      <c r="I121" s="304"/>
      <c r="J121" s="178"/>
      <c r="K121" s="178"/>
      <c r="L121" s="457"/>
      <c r="M121" s="304"/>
      <c r="N121" s="300"/>
      <c r="O121" s="300"/>
      <c r="P121" s="300"/>
      <c r="Q121" s="306"/>
      <c r="R121" s="302"/>
      <c r="S121" s="301"/>
      <c r="T121" s="300"/>
      <c r="U121" s="300" t="str">
        <f>TEXT(Table626893456791011121314[[#This Row],[PO Date]], "mmmm")</f>
        <v>January</v>
      </c>
      <c r="V121" s="284">
        <f>Table626893456791011121314[[#This Row],[Offer Value]]-Table626893456791011121314[[#This Row],[PO Value]]</f>
        <v>0</v>
      </c>
      <c r="W121" s="300"/>
      <c r="X121" s="300"/>
      <c r="Y121" s="611"/>
      <c r="Z121" s="7"/>
      <c r="AA121" s="7"/>
    </row>
    <row r="122" spans="1:27" ht="15.6">
      <c r="A122" s="106"/>
      <c r="B122" s="300"/>
      <c r="C122" s="304"/>
      <c r="D122" s="304"/>
      <c r="E122" s="304"/>
      <c r="F122" s="304"/>
      <c r="G122" s="304"/>
      <c r="H122" s="182"/>
      <c r="I122" s="304"/>
      <c r="J122" s="178"/>
      <c r="K122" s="178"/>
      <c r="L122" s="457"/>
      <c r="M122" s="304"/>
      <c r="N122" s="300"/>
      <c r="O122" s="300"/>
      <c r="P122" s="300"/>
      <c r="Q122" s="306"/>
      <c r="R122" s="302"/>
      <c r="S122" s="301"/>
      <c r="T122" s="300"/>
      <c r="U122" s="300" t="str">
        <f>TEXT(Table626893456791011121314[[#This Row],[PO Date]], "mmmm")</f>
        <v>January</v>
      </c>
      <c r="V122" s="284">
        <f>Table626893456791011121314[[#This Row],[Offer Value]]-Table626893456791011121314[[#This Row],[PO Value]]</f>
        <v>0</v>
      </c>
      <c r="W122" s="300"/>
      <c r="X122" s="300"/>
      <c r="Y122" s="612"/>
      <c r="Z122" s="7"/>
      <c r="AA122" s="7"/>
    </row>
    <row r="123" spans="1:27" ht="15.6">
      <c r="A123" s="106"/>
      <c r="B123" s="300"/>
      <c r="C123" s="304"/>
      <c r="D123" s="304"/>
      <c r="E123" s="304"/>
      <c r="F123" s="304"/>
      <c r="G123" s="304"/>
      <c r="H123" s="182"/>
      <c r="I123" s="304"/>
      <c r="J123" s="178"/>
      <c r="K123" s="178"/>
      <c r="L123" s="457"/>
      <c r="M123" s="304"/>
      <c r="N123" s="300"/>
      <c r="O123" s="300"/>
      <c r="P123" s="300"/>
      <c r="Q123" s="306"/>
      <c r="R123" s="302"/>
      <c r="S123" s="301"/>
      <c r="T123" s="300"/>
      <c r="U123" s="300" t="str">
        <f>TEXT(Table626893456791011121314[[#This Row],[PO Date]], "mmmm")</f>
        <v>January</v>
      </c>
      <c r="V123" s="284">
        <f>Table626893456791011121314[[#This Row],[Offer Value]]-Table626893456791011121314[[#This Row],[PO Value]]</f>
        <v>0</v>
      </c>
      <c r="W123" s="300"/>
      <c r="X123" s="300"/>
      <c r="Y123" s="612"/>
      <c r="Z123" s="7"/>
      <c r="AA123" s="7"/>
    </row>
    <row r="124" spans="1:27" ht="15.6">
      <c r="A124" s="106"/>
      <c r="B124" s="300"/>
      <c r="C124" s="304"/>
      <c r="D124" s="304"/>
      <c r="E124" s="304"/>
      <c r="F124" s="304"/>
      <c r="G124" s="304"/>
      <c r="H124" s="182"/>
      <c r="I124" s="304"/>
      <c r="J124" s="178"/>
      <c r="K124" s="178"/>
      <c r="L124" s="457"/>
      <c r="M124" s="304"/>
      <c r="N124" s="300"/>
      <c r="O124" s="300"/>
      <c r="P124" s="300"/>
      <c r="Q124" s="306"/>
      <c r="R124" s="302"/>
      <c r="S124" s="301"/>
      <c r="T124" s="300"/>
      <c r="U124" s="300" t="str">
        <f>TEXT(Table626893456791011121314[[#This Row],[PO Date]], "mmmm")</f>
        <v>January</v>
      </c>
      <c r="V124" s="284">
        <f>Table626893456791011121314[[#This Row],[Offer Value]]-Table626893456791011121314[[#This Row],[PO Value]]</f>
        <v>0</v>
      </c>
      <c r="W124" s="300"/>
      <c r="X124" s="300"/>
      <c r="Y124" s="612"/>
      <c r="Z124" s="7"/>
      <c r="AA124" s="7"/>
    </row>
    <row r="125" spans="1:27" ht="15.6">
      <c r="A125" s="106"/>
      <c r="B125" s="300"/>
      <c r="C125" s="304"/>
      <c r="D125" s="304"/>
      <c r="E125" s="304"/>
      <c r="F125" s="304"/>
      <c r="G125" s="304"/>
      <c r="H125" s="182"/>
      <c r="I125" s="303"/>
      <c r="J125" s="178"/>
      <c r="K125" s="178"/>
      <c r="L125" s="457"/>
      <c r="M125" s="304"/>
      <c r="N125" s="300"/>
      <c r="O125" s="300"/>
      <c r="P125" s="300"/>
      <c r="Q125" s="306"/>
      <c r="R125" s="302"/>
      <c r="S125" s="301"/>
      <c r="T125" s="300"/>
      <c r="U125" s="300" t="str">
        <f>TEXT(Table626893456791011121314[[#This Row],[PO Date]], "mmmm")</f>
        <v>January</v>
      </c>
      <c r="V125" s="284">
        <f>Table626893456791011121314[[#This Row],[Offer Value]]-Table626893456791011121314[[#This Row],[PO Value]]</f>
        <v>0</v>
      </c>
      <c r="W125" s="300"/>
      <c r="X125" s="300"/>
      <c r="Y125" s="612"/>
      <c r="Z125" s="7"/>
      <c r="AA125" s="7"/>
    </row>
    <row r="126" spans="1:27" ht="15.6">
      <c r="A126" s="106"/>
      <c r="B126" s="300"/>
      <c r="C126" s="304"/>
      <c r="D126" s="304"/>
      <c r="E126" s="304"/>
      <c r="F126" s="304"/>
      <c r="G126" s="304"/>
      <c r="H126" s="182"/>
      <c r="I126" s="304"/>
      <c r="J126" s="178"/>
      <c r="K126" s="178"/>
      <c r="L126" s="457"/>
      <c r="M126" s="304"/>
      <c r="N126" s="300"/>
      <c r="O126" s="300"/>
      <c r="P126" s="300"/>
      <c r="Q126" s="306"/>
      <c r="R126" s="302"/>
      <c r="S126" s="301"/>
      <c r="T126" s="300"/>
      <c r="U126" s="300" t="str">
        <f>TEXT(Table626893456791011121314[[#This Row],[PO Date]], "mmmm")</f>
        <v>January</v>
      </c>
      <c r="V126" s="284">
        <f>Table626893456791011121314[[#This Row],[Offer Value]]-Table626893456791011121314[[#This Row],[PO Value]]</f>
        <v>0</v>
      </c>
      <c r="W126" s="300"/>
      <c r="X126" s="300"/>
      <c r="Y126" s="612"/>
      <c r="Z126" s="7"/>
      <c r="AA126" s="7"/>
    </row>
    <row r="127" spans="1:27" ht="15.6">
      <c r="A127" s="106"/>
      <c r="B127" s="300"/>
      <c r="C127" s="304"/>
      <c r="D127" s="304"/>
      <c r="E127" s="304"/>
      <c r="F127" s="304"/>
      <c r="G127" s="304"/>
      <c r="H127" s="182"/>
      <c r="I127" s="304"/>
      <c r="J127" s="178"/>
      <c r="K127" s="178"/>
      <c r="L127" s="457"/>
      <c r="M127" s="304"/>
      <c r="N127" s="300"/>
      <c r="O127" s="300"/>
      <c r="P127" s="300"/>
      <c r="Q127" s="306"/>
      <c r="R127" s="302"/>
      <c r="S127" s="301"/>
      <c r="T127" s="300"/>
      <c r="U127" s="300" t="str">
        <f>TEXT(Table626893456791011121314[[#This Row],[PO Date]], "mmmm")</f>
        <v>January</v>
      </c>
      <c r="V127" s="284">
        <f>Table626893456791011121314[[#This Row],[Offer Value]]-Table626893456791011121314[[#This Row],[PO Value]]</f>
        <v>0</v>
      </c>
      <c r="W127" s="300"/>
      <c r="X127" s="300"/>
      <c r="Y127" s="612"/>
      <c r="Z127" s="7"/>
      <c r="AA127" s="7"/>
    </row>
    <row r="128" spans="1:27" ht="15.6">
      <c r="A128" s="106"/>
      <c r="B128" s="300"/>
      <c r="C128" s="304"/>
      <c r="D128" s="304"/>
      <c r="E128" s="304"/>
      <c r="F128" s="304"/>
      <c r="G128" s="304"/>
      <c r="H128" s="182"/>
      <c r="I128" s="304"/>
      <c r="J128" s="178"/>
      <c r="K128" s="178"/>
      <c r="L128" s="457"/>
      <c r="M128" s="304"/>
      <c r="N128" s="300"/>
      <c r="O128" s="300"/>
      <c r="P128" s="300"/>
      <c r="Q128" s="306"/>
      <c r="R128" s="302"/>
      <c r="S128" s="301"/>
      <c r="T128" s="300"/>
      <c r="U128" s="300" t="str">
        <f>TEXT(Table626893456791011121314[[#This Row],[PO Date]], "mmmm")</f>
        <v>January</v>
      </c>
      <c r="V128" s="284">
        <f>Table626893456791011121314[[#This Row],[Offer Value]]-Table626893456791011121314[[#This Row],[PO Value]]</f>
        <v>0</v>
      </c>
      <c r="W128" s="300"/>
      <c r="X128" s="300"/>
      <c r="Y128" s="612"/>
      <c r="Z128" s="7"/>
      <c r="AA128" s="7"/>
    </row>
    <row r="129" spans="1:27" ht="15.6">
      <c r="A129" s="106"/>
      <c r="B129" s="300"/>
      <c r="C129" s="304"/>
      <c r="D129" s="304"/>
      <c r="E129" s="304"/>
      <c r="F129" s="304"/>
      <c r="G129" s="304"/>
      <c r="H129" s="182"/>
      <c r="I129" s="304"/>
      <c r="J129" s="178"/>
      <c r="K129" s="178"/>
      <c r="L129" s="457"/>
      <c r="M129" s="304"/>
      <c r="N129" s="300"/>
      <c r="O129" s="300"/>
      <c r="P129" s="300"/>
      <c r="Q129" s="306"/>
      <c r="R129" s="302"/>
      <c r="S129" s="301"/>
      <c r="T129" s="300"/>
      <c r="U129" s="300" t="str">
        <f>TEXT(Table626893456791011121314[[#This Row],[PO Date]], "mmmm")</f>
        <v>January</v>
      </c>
      <c r="V129" s="284">
        <f>Table626893456791011121314[[#This Row],[Offer Value]]-Table626893456791011121314[[#This Row],[PO Value]]</f>
        <v>0</v>
      </c>
      <c r="W129" s="300"/>
      <c r="X129" s="300"/>
      <c r="Y129" s="612"/>
      <c r="Z129" s="7"/>
      <c r="AA129" s="7"/>
    </row>
    <row r="130" spans="1:27" ht="15.6">
      <c r="A130" s="106"/>
      <c r="B130" s="300"/>
      <c r="C130" s="304"/>
      <c r="D130" s="304"/>
      <c r="E130" s="304"/>
      <c r="F130" s="304"/>
      <c r="G130" s="304"/>
      <c r="H130" s="182"/>
      <c r="I130" s="304"/>
      <c r="J130" s="178"/>
      <c r="K130" s="178"/>
      <c r="L130" s="457"/>
      <c r="M130" s="304"/>
      <c r="N130" s="300"/>
      <c r="O130" s="300"/>
      <c r="P130" s="300"/>
      <c r="Q130" s="306"/>
      <c r="R130" s="302"/>
      <c r="S130" s="301"/>
      <c r="T130" s="300"/>
      <c r="U130" s="300" t="str">
        <f>TEXT(Table626893456791011121314[[#This Row],[PO Date]], "mmmm")</f>
        <v>January</v>
      </c>
      <c r="V130" s="284">
        <f>Table626893456791011121314[[#This Row],[Offer Value]]-Table626893456791011121314[[#This Row],[PO Value]]</f>
        <v>0</v>
      </c>
      <c r="W130" s="300"/>
      <c r="X130" s="300"/>
      <c r="Y130" s="612"/>
      <c r="Z130" s="7"/>
      <c r="AA130" s="7"/>
    </row>
    <row r="131" spans="1:27" ht="15.6">
      <c r="A131" s="106"/>
      <c r="B131" s="300"/>
      <c r="C131" s="304"/>
      <c r="D131" s="304"/>
      <c r="E131" s="304"/>
      <c r="F131" s="304"/>
      <c r="G131" s="304"/>
      <c r="H131" s="182"/>
      <c r="I131" s="304"/>
      <c r="J131" s="178"/>
      <c r="K131" s="178"/>
      <c r="L131" s="457"/>
      <c r="M131" s="304"/>
      <c r="N131" s="300"/>
      <c r="O131" s="300"/>
      <c r="P131" s="300"/>
      <c r="Q131" s="306"/>
      <c r="R131" s="302"/>
      <c r="S131" s="301"/>
      <c r="T131" s="300"/>
      <c r="U131" s="300" t="str">
        <f>TEXT(Table626893456791011121314[[#This Row],[PO Date]], "mmmm")</f>
        <v>January</v>
      </c>
      <c r="V131" s="284">
        <f>Table626893456791011121314[[#This Row],[Offer Value]]-Table626893456791011121314[[#This Row],[PO Value]]</f>
        <v>0</v>
      </c>
      <c r="W131" s="300"/>
      <c r="X131" s="300"/>
      <c r="Y131" s="612"/>
      <c r="Z131" s="7"/>
      <c r="AA131" s="7"/>
    </row>
    <row r="132" spans="1:27" ht="15.6">
      <c r="A132" s="106"/>
      <c r="B132" s="300"/>
      <c r="C132" s="304"/>
      <c r="D132" s="304"/>
      <c r="E132" s="304"/>
      <c r="F132" s="304"/>
      <c r="G132" s="304"/>
      <c r="H132" s="182"/>
      <c r="I132" s="304"/>
      <c r="J132" s="178"/>
      <c r="K132" s="178"/>
      <c r="L132" s="178"/>
      <c r="M132" s="304"/>
      <c r="N132" s="300"/>
      <c r="O132" s="300"/>
      <c r="P132" s="300"/>
      <c r="Q132" s="306"/>
      <c r="R132" s="302"/>
      <c r="S132" s="301"/>
      <c r="T132" s="300"/>
      <c r="U132" s="300" t="str">
        <f>TEXT(Table626893456791011121314[[#This Row],[PO Date]], "mmmm")</f>
        <v>January</v>
      </c>
      <c r="V132" s="284">
        <f>Table626893456791011121314[[#This Row],[Offer Value]]-Table626893456791011121314[[#This Row],[PO Value]]</f>
        <v>0</v>
      </c>
      <c r="W132" s="300"/>
      <c r="X132" s="300"/>
      <c r="Y132" s="613"/>
      <c r="Z132" s="7"/>
      <c r="AA132" s="7"/>
    </row>
    <row r="133" spans="1:27" ht="15.6">
      <c r="A133" s="106"/>
      <c r="B133" s="300"/>
      <c r="C133" s="304"/>
      <c r="D133" s="304"/>
      <c r="E133" s="304"/>
      <c r="F133" s="304"/>
      <c r="G133" s="304"/>
      <c r="H133" s="182"/>
      <c r="I133" s="304"/>
      <c r="J133" s="178"/>
      <c r="K133" s="178"/>
      <c r="L133" s="457"/>
      <c r="M133" s="304"/>
      <c r="N133" s="300"/>
      <c r="O133" s="300"/>
      <c r="P133" s="300"/>
      <c r="Q133" s="306"/>
      <c r="R133" s="302"/>
      <c r="S133" s="301"/>
      <c r="T133" s="300"/>
      <c r="U133" s="300" t="str">
        <f>TEXT(Table626893456791011121314[[#This Row],[PO Date]], "mmmm")</f>
        <v>January</v>
      </c>
      <c r="V133" s="284">
        <f>Table626893456791011121314[[#This Row],[Offer Value]]-Table626893456791011121314[[#This Row],[PO Value]]</f>
        <v>0</v>
      </c>
      <c r="W133" s="300"/>
      <c r="X133" s="300"/>
      <c r="Y133" s="614"/>
      <c r="Z133" s="7"/>
      <c r="AA133" s="7"/>
    </row>
    <row r="134" spans="1:27" ht="15.6">
      <c r="A134" s="106"/>
      <c r="B134" s="300"/>
      <c r="C134" s="304"/>
      <c r="D134" s="304"/>
      <c r="E134" s="304"/>
      <c r="F134" s="304"/>
      <c r="G134" s="304"/>
      <c r="H134" s="182"/>
      <c r="I134" s="304"/>
      <c r="J134" s="178"/>
      <c r="K134" s="178"/>
      <c r="L134" s="457"/>
      <c r="M134" s="304"/>
      <c r="N134" s="300"/>
      <c r="O134" s="300"/>
      <c r="P134" s="300"/>
      <c r="Q134" s="306"/>
      <c r="R134" s="302"/>
      <c r="S134" s="301"/>
      <c r="T134" s="300"/>
      <c r="U134" s="300" t="str">
        <f>TEXT(Table626893456791011121314[[#This Row],[PO Date]], "mmmm")</f>
        <v>January</v>
      </c>
      <c r="V134" s="284">
        <f>Table626893456791011121314[[#This Row],[Offer Value]]-Table626893456791011121314[[#This Row],[PO Value]]</f>
        <v>0</v>
      </c>
      <c r="W134" s="300"/>
      <c r="X134" s="300"/>
      <c r="Y134" s="614"/>
      <c r="Z134" s="7"/>
      <c r="AA134" s="7"/>
    </row>
    <row r="135" spans="1:27" ht="15.6">
      <c r="A135" s="106"/>
      <c r="B135" s="300"/>
      <c r="C135" s="304"/>
      <c r="D135" s="304"/>
      <c r="E135" s="304"/>
      <c r="F135" s="304"/>
      <c r="G135" s="304"/>
      <c r="H135" s="182"/>
      <c r="I135" s="304"/>
      <c r="J135" s="178"/>
      <c r="K135" s="178"/>
      <c r="L135" s="178"/>
      <c r="M135" s="304"/>
      <c r="N135" s="300"/>
      <c r="O135" s="300"/>
      <c r="P135" s="300"/>
      <c r="Q135" s="306"/>
      <c r="R135" s="302"/>
      <c r="S135" s="300"/>
      <c r="T135" s="300"/>
      <c r="U135" s="300" t="str">
        <f>TEXT(Table626893456791011121314[[#This Row],[PO Date]], "mmmm")</f>
        <v>January</v>
      </c>
      <c r="V135" s="284">
        <f>Table626893456791011121314[[#This Row],[Offer Value]]-Table626893456791011121314[[#This Row],[PO Value]]</f>
        <v>0</v>
      </c>
      <c r="W135" s="300"/>
      <c r="X135" s="300"/>
      <c r="Y135" s="614"/>
      <c r="Z135" s="7"/>
      <c r="AA135" s="7"/>
    </row>
    <row r="136" spans="1:27" ht="15.6">
      <c r="A136" s="106"/>
      <c r="B136" s="300"/>
      <c r="C136" s="113"/>
      <c r="D136" s="113"/>
      <c r="E136" s="113"/>
      <c r="F136" s="113"/>
      <c r="G136" s="113"/>
      <c r="H136" s="248"/>
      <c r="I136" s="113"/>
      <c r="J136" s="108"/>
      <c r="K136" s="108"/>
      <c r="L136" s="113"/>
      <c r="M136" s="304"/>
      <c r="N136" s="106"/>
      <c r="O136" s="106"/>
      <c r="P136" s="106"/>
      <c r="Q136" s="109"/>
      <c r="R136" s="289"/>
      <c r="S136" s="107"/>
      <c r="T136" s="106"/>
      <c r="U136" s="106" t="str">
        <f>TEXT(Table626893456791011121314[[#This Row],[PO Date]], "mmmm")</f>
        <v>January</v>
      </c>
      <c r="V136" s="284">
        <f>Table626893456791011121314[[#This Row],[Offer Value]]-Table626893456791011121314[[#This Row],[PO Value]]</f>
        <v>0</v>
      </c>
      <c r="W136" s="106"/>
      <c r="X136" s="106"/>
      <c r="Y136" s="615"/>
      <c r="Z136" s="7"/>
      <c r="AA136" s="7"/>
    </row>
    <row r="137" spans="1:27" ht="15.6">
      <c r="A137" s="106"/>
      <c r="B137" s="106"/>
      <c r="C137" s="113"/>
      <c r="D137" s="113"/>
      <c r="E137" s="113"/>
      <c r="F137" s="113"/>
      <c r="G137" s="113"/>
      <c r="H137" s="248"/>
      <c r="I137" s="113"/>
      <c r="J137" s="108"/>
      <c r="K137" s="108"/>
      <c r="L137" s="113"/>
      <c r="M137" s="114"/>
      <c r="N137" s="106"/>
      <c r="O137" s="106"/>
      <c r="P137" s="106"/>
      <c r="Q137" s="109"/>
      <c r="R137" s="289"/>
      <c r="S137" s="107"/>
      <c r="T137" s="106"/>
      <c r="U137" s="106" t="str">
        <f>TEXT(Table626893456791011121314[[#This Row],[PO Date]], "mmmm")</f>
        <v>January</v>
      </c>
      <c r="V137" s="284">
        <f>Table626893456791011121314[[#This Row],[Offer Value]]-Table626893456791011121314[[#This Row],[PO Value]]</f>
        <v>0</v>
      </c>
      <c r="W137" s="106"/>
      <c r="X137" s="106"/>
      <c r="Y137" s="616"/>
      <c r="Z137" s="7"/>
      <c r="AA137" s="7"/>
    </row>
    <row r="138" spans="1:27" ht="15.6">
      <c r="A138" s="106"/>
      <c r="B138" s="106"/>
      <c r="C138" s="113"/>
      <c r="D138" s="113"/>
      <c r="E138" s="113"/>
      <c r="F138" s="113"/>
      <c r="G138" s="113"/>
      <c r="H138" s="248"/>
      <c r="I138" s="113"/>
      <c r="J138" s="108"/>
      <c r="K138" s="108"/>
      <c r="L138" s="113"/>
      <c r="M138" s="114"/>
      <c r="N138" s="106"/>
      <c r="O138" s="106"/>
      <c r="P138" s="106"/>
      <c r="Q138" s="109"/>
      <c r="R138" s="289"/>
      <c r="S138" s="107"/>
      <c r="T138" s="106"/>
      <c r="U138" s="106" t="str">
        <f>TEXT(Table626893456791011121314[[#This Row],[PO Date]], "mmmm")</f>
        <v>January</v>
      </c>
      <c r="V138" s="284">
        <f>Table626893456791011121314[[#This Row],[Offer Value]]-Table626893456791011121314[[#This Row],[PO Value]]</f>
        <v>0</v>
      </c>
      <c r="W138" s="106"/>
      <c r="X138" s="106"/>
      <c r="Y138" s="615"/>
      <c r="Z138" s="7"/>
      <c r="AA138" s="7"/>
    </row>
    <row r="139" spans="1:27" ht="15.6">
      <c r="A139" s="106"/>
      <c r="B139" s="106"/>
      <c r="C139" s="105"/>
      <c r="D139" s="105"/>
      <c r="E139" s="105"/>
      <c r="F139" s="105"/>
      <c r="G139" s="113"/>
      <c r="H139" s="250"/>
      <c r="I139" s="105"/>
      <c r="J139" s="115"/>
      <c r="K139" s="115"/>
      <c r="L139" s="113"/>
      <c r="M139" s="114"/>
      <c r="N139" s="106"/>
      <c r="O139" s="106"/>
      <c r="P139" s="106"/>
      <c r="Q139" s="109"/>
      <c r="R139" s="289"/>
      <c r="S139" s="107"/>
      <c r="T139" s="106"/>
      <c r="U139" s="106" t="str">
        <f>TEXT(Table626893456791011121314[[#This Row],[PO Date]], "mmmm")</f>
        <v>January</v>
      </c>
      <c r="V139" s="284">
        <f>Table626893456791011121314[[#This Row],[Offer Value]]-Table626893456791011121314[[#This Row],[PO Value]]</f>
        <v>0</v>
      </c>
      <c r="W139" s="106"/>
      <c r="X139" s="106"/>
      <c r="Y139" s="217"/>
      <c r="Z139" s="7"/>
      <c r="AA139" s="7"/>
    </row>
    <row r="140" spans="1:27" ht="15.6">
      <c r="A140" s="106"/>
      <c r="B140" s="106"/>
      <c r="C140" s="105"/>
      <c r="D140" s="105"/>
      <c r="E140" s="105"/>
      <c r="F140" s="113"/>
      <c r="G140" s="113"/>
      <c r="H140" s="248"/>
      <c r="I140" s="113"/>
      <c r="J140" s="115"/>
      <c r="K140" s="115"/>
      <c r="L140" s="113"/>
      <c r="M140" s="114"/>
      <c r="N140" s="106"/>
      <c r="O140" s="106"/>
      <c r="P140" s="106"/>
      <c r="Q140" s="109"/>
      <c r="R140" s="289"/>
      <c r="S140" s="107"/>
      <c r="T140" s="106"/>
      <c r="U140" s="106" t="str">
        <f>TEXT(Table626893456791011121314[[#This Row],[PO Date]], "mmmm")</f>
        <v>January</v>
      </c>
      <c r="V140" s="284">
        <f>Table626893456791011121314[[#This Row],[Offer Value]]-Table626893456791011121314[[#This Row],[PO Value]]</f>
        <v>0</v>
      </c>
      <c r="W140" s="106"/>
      <c r="X140" s="106"/>
      <c r="Y140" s="617"/>
      <c r="Z140" s="7"/>
      <c r="AA140" s="7"/>
    </row>
    <row r="141" spans="1:27" ht="15.6">
      <c r="A141" s="106"/>
      <c r="B141" s="107"/>
      <c r="C141" s="105"/>
      <c r="D141" s="105"/>
      <c r="E141" s="105"/>
      <c r="F141" s="105"/>
      <c r="G141" s="113"/>
      <c r="H141" s="250"/>
      <c r="I141" s="105"/>
      <c r="J141" s="115"/>
      <c r="K141" s="115"/>
      <c r="L141" s="113"/>
      <c r="M141" s="116"/>
      <c r="N141" s="106"/>
      <c r="O141" s="106"/>
      <c r="P141" s="106"/>
      <c r="Q141" s="109"/>
      <c r="R141" s="289"/>
      <c r="S141" s="107"/>
      <c r="T141" s="106"/>
      <c r="U141" s="106" t="str">
        <f>TEXT(Table626893456791011121314[[#This Row],[PO Date]], "mmmm")</f>
        <v>January</v>
      </c>
      <c r="V141" s="284">
        <f>Table626893456791011121314[[#This Row],[Offer Value]]-Table626893456791011121314[[#This Row],[PO Value]]</f>
        <v>0</v>
      </c>
      <c r="W141" s="106"/>
      <c r="X141" s="106"/>
      <c r="Y141" s="617"/>
      <c r="Z141" s="7"/>
      <c r="AA141" s="7"/>
    </row>
    <row r="142" spans="1:27" ht="15.6">
      <c r="A142" s="106"/>
      <c r="B142" s="106"/>
      <c r="C142" s="105"/>
      <c r="D142" s="105"/>
      <c r="E142" s="105"/>
      <c r="F142" s="105"/>
      <c r="G142" s="113"/>
      <c r="H142" s="250"/>
      <c r="I142" s="105"/>
      <c r="J142" s="115"/>
      <c r="K142" s="115"/>
      <c r="L142" s="113"/>
      <c r="M142" s="116"/>
      <c r="N142" s="106"/>
      <c r="O142" s="106"/>
      <c r="P142" s="106"/>
      <c r="Q142" s="109"/>
      <c r="R142" s="289"/>
      <c r="S142" s="107"/>
      <c r="T142" s="106"/>
      <c r="U142" s="106" t="str">
        <f>TEXT(Table626893456791011121314[[#This Row],[PO Date]], "mmmm")</f>
        <v>January</v>
      </c>
      <c r="V142" s="284">
        <f>Table626893456791011121314[[#This Row],[Offer Value]]-Table626893456791011121314[[#This Row],[PO Value]]</f>
        <v>0</v>
      </c>
      <c r="W142" s="106"/>
      <c r="X142" s="106"/>
      <c r="Y142" s="617"/>
      <c r="Z142" s="7"/>
      <c r="AA142" s="7"/>
    </row>
    <row r="143" spans="1:27" ht="15.6">
      <c r="A143" s="106"/>
      <c r="B143" s="106"/>
      <c r="C143" s="105"/>
      <c r="D143" s="105"/>
      <c r="E143" s="105"/>
      <c r="F143" s="105"/>
      <c r="G143" s="113"/>
      <c r="H143" s="250"/>
      <c r="I143" s="113"/>
      <c r="J143" s="115"/>
      <c r="K143" s="115"/>
      <c r="L143" s="113"/>
      <c r="M143" s="116"/>
      <c r="N143" s="106"/>
      <c r="O143" s="106"/>
      <c r="P143" s="106"/>
      <c r="Q143" s="109"/>
      <c r="R143" s="289"/>
      <c r="S143" s="107"/>
      <c r="T143" s="106"/>
      <c r="U143" s="106" t="str">
        <f>TEXT(Table626893456791011121314[[#This Row],[PO Date]], "mmmm")</f>
        <v>January</v>
      </c>
      <c r="V143" s="284">
        <f>Table626893456791011121314[[#This Row],[Offer Value]]-Table626893456791011121314[[#This Row],[PO Value]]</f>
        <v>0</v>
      </c>
      <c r="W143" s="106"/>
      <c r="X143" s="106"/>
      <c r="Y143" s="217"/>
      <c r="Z143" s="7"/>
      <c r="AA143" s="7"/>
    </row>
    <row r="144" spans="1:27" ht="15.6">
      <c r="A144" s="106"/>
      <c r="B144" s="107"/>
      <c r="C144" s="105"/>
      <c r="D144" s="105"/>
      <c r="E144" s="108"/>
      <c r="F144" s="108"/>
      <c r="G144" s="108"/>
      <c r="H144" s="251"/>
      <c r="I144" s="108"/>
      <c r="J144" s="115"/>
      <c r="K144" s="115"/>
      <c r="L144" s="113"/>
      <c r="M144" s="116"/>
      <c r="N144" s="106"/>
      <c r="O144" s="106"/>
      <c r="P144" s="106"/>
      <c r="Q144" s="109"/>
      <c r="R144" s="256"/>
      <c r="S144" s="107"/>
      <c r="T144" s="106"/>
      <c r="U144" s="106" t="str">
        <f>TEXT(Table626893456791011121314[[#This Row],[PO Date]], "mmmm")</f>
        <v>January</v>
      </c>
      <c r="V144" s="284">
        <f>Table626893456791011121314[[#This Row],[Offer Value]]-Table626893456791011121314[[#This Row],[PO Value]]</f>
        <v>0</v>
      </c>
      <c r="W144" s="106"/>
      <c r="X144" s="106"/>
      <c r="Y144" s="617"/>
      <c r="Z144" s="7"/>
      <c r="AA144" s="7"/>
    </row>
    <row r="145" spans="1:27" ht="15.6">
      <c r="A145" s="106"/>
      <c r="B145" s="107"/>
      <c r="C145" s="105"/>
      <c r="D145" s="105"/>
      <c r="E145" s="105"/>
      <c r="F145" s="105"/>
      <c r="G145" s="105"/>
      <c r="H145" s="248"/>
      <c r="I145" s="105"/>
      <c r="J145" s="115"/>
      <c r="K145" s="115"/>
      <c r="L145" s="113"/>
      <c r="M145" s="116"/>
      <c r="N145" s="106"/>
      <c r="O145" s="106"/>
      <c r="P145" s="106"/>
      <c r="Q145" s="109"/>
      <c r="R145" s="289"/>
      <c r="S145" s="107"/>
      <c r="T145" s="106"/>
      <c r="U145" s="106" t="str">
        <f>TEXT(Table626893456791011121314[[#This Row],[PO Date]], "mmmm")</f>
        <v>January</v>
      </c>
      <c r="V145" s="284">
        <f>Table626893456791011121314[[#This Row],[Offer Value]]-Table626893456791011121314[[#This Row],[PO Value]]</f>
        <v>0</v>
      </c>
      <c r="W145" s="106"/>
      <c r="X145" s="106"/>
      <c r="Y145" s="617"/>
      <c r="Z145" s="7"/>
      <c r="AA145" s="7"/>
    </row>
    <row r="146" spans="1:27" ht="15.6">
      <c r="A146" s="33"/>
      <c r="B146" s="34"/>
      <c r="C146" s="105"/>
      <c r="D146" s="105"/>
      <c r="E146" s="105"/>
      <c r="F146" s="105"/>
      <c r="G146" s="105"/>
      <c r="H146" s="248"/>
      <c r="I146" s="105"/>
      <c r="J146" s="115"/>
      <c r="K146" s="115"/>
      <c r="L146" s="113"/>
      <c r="M146" s="116"/>
      <c r="N146" s="106"/>
      <c r="O146" s="106"/>
      <c r="P146" s="106"/>
      <c r="Q146" s="109"/>
      <c r="R146" s="289"/>
      <c r="S146" s="107"/>
      <c r="T146" s="106"/>
      <c r="U146" s="174" t="str">
        <f>TEXT(Table626893456791011121314[[#This Row],[PO Date]], "mmmm")</f>
        <v>January</v>
      </c>
      <c r="V146" s="284">
        <f>Table626893456791011121314[[#This Row],[Offer Value]]-Table626893456791011121314[[#This Row],[PO Value]]</f>
        <v>0</v>
      </c>
      <c r="W146" s="177"/>
      <c r="X146" s="177"/>
      <c r="Y146" s="618"/>
      <c r="Z146" s="7"/>
      <c r="AA146" s="7"/>
    </row>
    <row r="147" spans="1:27" ht="15.6">
      <c r="A147" s="33"/>
      <c r="B147" s="34"/>
      <c r="C147" s="105"/>
      <c r="D147" s="105"/>
      <c r="E147" s="105"/>
      <c r="F147" s="105"/>
      <c r="G147" s="105"/>
      <c r="H147" s="248"/>
      <c r="I147" s="105"/>
      <c r="J147" s="115"/>
      <c r="K147" s="115"/>
      <c r="L147" s="113"/>
      <c r="M147" s="116"/>
      <c r="N147" s="106"/>
      <c r="O147" s="106"/>
      <c r="P147" s="106"/>
      <c r="Q147" s="109"/>
      <c r="R147" s="289"/>
      <c r="S147" s="107"/>
      <c r="T147" s="106"/>
      <c r="U147" s="174" t="str">
        <f>TEXT(Table626893456791011121314[[#This Row],[PO Date]], "mmmm")</f>
        <v>January</v>
      </c>
      <c r="V147" s="284">
        <f>Table626893456791011121314[[#This Row],[Offer Value]]-Table626893456791011121314[[#This Row],[PO Value]]</f>
        <v>0</v>
      </c>
      <c r="W147" s="177"/>
      <c r="X147" s="177"/>
      <c r="Y147" s="618"/>
      <c r="Z147" s="7"/>
      <c r="AA147" s="7"/>
    </row>
    <row r="148" spans="1:27" ht="15.6">
      <c r="A148" s="106"/>
      <c r="B148" s="107"/>
      <c r="C148" s="105"/>
      <c r="D148" s="105"/>
      <c r="E148" s="108"/>
      <c r="F148" s="108"/>
      <c r="G148" s="105"/>
      <c r="H148" s="250"/>
      <c r="I148" s="108"/>
      <c r="J148" s="115"/>
      <c r="K148" s="115"/>
      <c r="L148" s="113"/>
      <c r="M148" s="116"/>
      <c r="N148" s="106"/>
      <c r="O148" s="106"/>
      <c r="P148" s="106"/>
      <c r="Q148" s="109"/>
      <c r="R148" s="289"/>
      <c r="S148" s="107"/>
      <c r="T148" s="106"/>
      <c r="U148" s="106" t="str">
        <f>TEXT(Table626893456791011121314[[#This Row],[PO Date]], "mmmm")</f>
        <v>January</v>
      </c>
      <c r="V148" s="284">
        <f>Table626893456791011121314[[#This Row],[Offer Value]]-Table626893456791011121314[[#This Row],[PO Value]]</f>
        <v>0</v>
      </c>
      <c r="W148" s="106"/>
      <c r="X148" s="106"/>
      <c r="Y148" s="617"/>
      <c r="Z148" s="7"/>
      <c r="AA148" s="7"/>
    </row>
    <row r="149" spans="1:27" ht="15.6">
      <c r="A149" s="106"/>
      <c r="B149" s="106"/>
      <c r="C149" s="105"/>
      <c r="D149" s="105"/>
      <c r="E149" s="108"/>
      <c r="F149" s="108"/>
      <c r="G149" s="105"/>
      <c r="H149" s="250"/>
      <c r="I149" s="108"/>
      <c r="J149" s="115"/>
      <c r="K149" s="115"/>
      <c r="L149" s="113"/>
      <c r="M149" s="106"/>
      <c r="N149" s="106"/>
      <c r="O149" s="106"/>
      <c r="P149" s="106"/>
      <c r="Q149" s="109"/>
      <c r="R149" s="289"/>
      <c r="S149" s="105"/>
      <c r="T149" s="106"/>
      <c r="U149" s="106" t="str">
        <f>TEXT(Table626893456791011121314[[#This Row],[PO Date]], "mmmm")</f>
        <v>January</v>
      </c>
      <c r="V149" s="284">
        <f>Table626893456791011121314[[#This Row],[Offer Value]]-Table626893456791011121314[[#This Row],[PO Value]]</f>
        <v>0</v>
      </c>
      <c r="W149" s="106"/>
      <c r="X149" s="106"/>
      <c r="Y149" s="217"/>
      <c r="Z149" s="7"/>
      <c r="AA149" s="7"/>
    </row>
    <row r="150" spans="1:27" ht="15.6">
      <c r="A150" s="106"/>
      <c r="B150" s="106"/>
      <c r="C150" s="105"/>
      <c r="D150" s="105"/>
      <c r="E150" s="105"/>
      <c r="F150" s="105"/>
      <c r="G150" s="105"/>
      <c r="H150" s="248"/>
      <c r="I150" s="105"/>
      <c r="J150" s="115"/>
      <c r="K150" s="115"/>
      <c r="L150" s="113"/>
      <c r="M150" s="106"/>
      <c r="N150" s="106"/>
      <c r="O150" s="106"/>
      <c r="P150" s="106"/>
      <c r="Q150" s="109"/>
      <c r="R150" s="289"/>
      <c r="S150" s="107"/>
      <c r="T150" s="106"/>
      <c r="U150" s="106" t="str">
        <f>TEXT(Table626893456791011121314[[#This Row],[PO Date]], "mmmm")</f>
        <v>January</v>
      </c>
      <c r="V150" s="284">
        <f>Table626893456791011121314[[#This Row],[Offer Value]]-Table626893456791011121314[[#This Row],[PO Value]]</f>
        <v>0</v>
      </c>
      <c r="W150" s="106"/>
      <c r="X150" s="106"/>
      <c r="Y150" s="217"/>
      <c r="Z150" s="7"/>
      <c r="AA150" s="7"/>
    </row>
    <row r="151" spans="1:27" ht="15.6">
      <c r="A151" s="106"/>
      <c r="B151" s="106"/>
      <c r="C151" s="105"/>
      <c r="D151" s="105"/>
      <c r="E151" s="105"/>
      <c r="F151" s="105"/>
      <c r="G151" s="105"/>
      <c r="H151" s="248"/>
      <c r="I151" s="105"/>
      <c r="J151" s="115"/>
      <c r="K151" s="115"/>
      <c r="L151" s="113"/>
      <c r="M151" s="106"/>
      <c r="N151" s="106"/>
      <c r="O151" s="106"/>
      <c r="P151" s="106"/>
      <c r="Q151" s="109"/>
      <c r="R151" s="256"/>
      <c r="S151" s="107"/>
      <c r="T151" s="106"/>
      <c r="U151" s="106" t="str">
        <f>TEXT(Table626893456791011121314[[#This Row],[PO Date]], "mmmm")</f>
        <v>January</v>
      </c>
      <c r="V151" s="284">
        <f>Table626893456791011121314[[#This Row],[Offer Value]]-Table626893456791011121314[[#This Row],[PO Value]]</f>
        <v>0</v>
      </c>
      <c r="W151" s="106"/>
      <c r="X151" s="106"/>
      <c r="Y151" s="617"/>
      <c r="Z151" s="7"/>
      <c r="AA151" s="7"/>
    </row>
    <row r="152" spans="1:27" ht="15.6">
      <c r="A152" s="106"/>
      <c r="B152" s="106"/>
      <c r="C152" s="105"/>
      <c r="D152" s="105"/>
      <c r="E152" s="105"/>
      <c r="F152" s="105"/>
      <c r="G152" s="105"/>
      <c r="H152" s="248"/>
      <c r="I152" s="105"/>
      <c r="J152" s="115"/>
      <c r="K152" s="115"/>
      <c r="L152" s="113"/>
      <c r="M152" s="106"/>
      <c r="N152" s="106"/>
      <c r="O152" s="106"/>
      <c r="P152" s="106"/>
      <c r="Q152" s="109"/>
      <c r="R152" s="289"/>
      <c r="S152" s="107"/>
      <c r="T152" s="106"/>
      <c r="U152" s="106" t="str">
        <f>TEXT(Table626893456791011121314[[#This Row],[PO Date]], "mmmm")</f>
        <v>January</v>
      </c>
      <c r="V152" s="284">
        <f>Table626893456791011121314[[#This Row],[Offer Value]]-Table626893456791011121314[[#This Row],[PO Value]]</f>
        <v>0</v>
      </c>
      <c r="W152" s="106"/>
      <c r="X152" s="106"/>
      <c r="Y152" s="217"/>
      <c r="Z152" s="7"/>
      <c r="AA152" s="7"/>
    </row>
    <row r="153" spans="1:27" ht="15.6">
      <c r="A153" s="106"/>
      <c r="B153" s="107"/>
      <c r="C153" s="105"/>
      <c r="D153" s="105"/>
      <c r="E153" s="105"/>
      <c r="F153" s="105"/>
      <c r="G153" s="105"/>
      <c r="H153" s="248"/>
      <c r="I153" s="105"/>
      <c r="J153" s="115"/>
      <c r="K153" s="115"/>
      <c r="L153" s="113"/>
      <c r="M153" s="116"/>
      <c r="N153" s="106"/>
      <c r="O153" s="106"/>
      <c r="P153" s="106"/>
      <c r="Q153" s="109"/>
      <c r="R153" s="256"/>
      <c r="S153" s="107"/>
      <c r="T153" s="106"/>
      <c r="U153" s="106" t="str">
        <f>TEXT(Table626893456791011121314[[#This Row],[PO Date]], "mmmm")</f>
        <v>January</v>
      </c>
      <c r="V153" s="284">
        <f>Table626893456791011121314[[#This Row],[Offer Value]]-Table626893456791011121314[[#This Row],[PO Value]]</f>
        <v>0</v>
      </c>
      <c r="W153" s="106"/>
      <c r="X153" s="106"/>
      <c r="Y153" s="617"/>
      <c r="Z153" s="7"/>
      <c r="AA153" s="7"/>
    </row>
    <row r="154" spans="1:27" ht="15.6">
      <c r="A154" s="106"/>
      <c r="B154" s="106"/>
      <c r="C154" s="105"/>
      <c r="D154" s="105"/>
      <c r="E154" s="105"/>
      <c r="F154" s="105"/>
      <c r="G154" s="105"/>
      <c r="H154" s="248"/>
      <c r="I154" s="105"/>
      <c r="J154" s="115"/>
      <c r="K154" s="115"/>
      <c r="L154" s="113"/>
      <c r="M154" s="116"/>
      <c r="N154" s="106"/>
      <c r="O154" s="106"/>
      <c r="P154" s="106"/>
      <c r="Q154" s="109"/>
      <c r="R154" s="256"/>
      <c r="S154" s="107"/>
      <c r="T154" s="106"/>
      <c r="U154" s="106" t="str">
        <f>TEXT(Table626893456791011121314[[#This Row],[PO Date]], "mmmm")</f>
        <v>January</v>
      </c>
      <c r="V154" s="284">
        <f>Table626893456791011121314[[#This Row],[Offer Value]]-Table626893456791011121314[[#This Row],[PO Value]]</f>
        <v>0</v>
      </c>
      <c r="W154" s="106"/>
      <c r="X154" s="106"/>
      <c r="Y154" s="617"/>
      <c r="Z154" s="7"/>
      <c r="AA154" s="7"/>
    </row>
    <row r="155" spans="1:27" ht="15.6">
      <c r="A155" s="106"/>
      <c r="B155" s="107"/>
      <c r="C155" s="105"/>
      <c r="D155" s="178"/>
      <c r="E155" s="178"/>
      <c r="F155" s="178"/>
      <c r="G155" s="178"/>
      <c r="H155" s="316"/>
      <c r="I155" s="178"/>
      <c r="J155" s="115"/>
      <c r="K155" s="115"/>
      <c r="L155" s="113"/>
      <c r="M155" s="116"/>
      <c r="N155" s="106"/>
      <c r="O155" s="106"/>
      <c r="P155" s="106"/>
      <c r="Q155" s="109"/>
      <c r="R155" s="289"/>
      <c r="S155" s="107"/>
      <c r="T155" s="106"/>
      <c r="U155" s="106" t="str">
        <f>TEXT(Table626893456791011121314[[#This Row],[PO Date]], "mmmm")</f>
        <v>January</v>
      </c>
      <c r="V155" s="284">
        <f>Table626893456791011121314[[#This Row],[Offer Value]]-Table626893456791011121314[[#This Row],[PO Value]]</f>
        <v>0</v>
      </c>
      <c r="W155" s="106"/>
      <c r="X155" s="106"/>
      <c r="Y155" s="217"/>
      <c r="Z155" s="7"/>
      <c r="AA155" s="7"/>
    </row>
    <row r="156" spans="1:27" ht="15.6">
      <c r="A156" s="106"/>
      <c r="B156" s="107"/>
      <c r="C156" s="105"/>
      <c r="D156" s="105"/>
      <c r="E156" s="108"/>
      <c r="F156" s="108"/>
      <c r="G156" s="108"/>
      <c r="H156" s="251"/>
      <c r="I156" s="108"/>
      <c r="J156" s="115"/>
      <c r="K156" s="115"/>
      <c r="L156" s="113"/>
      <c r="M156" s="116"/>
      <c r="N156" s="106"/>
      <c r="O156" s="106"/>
      <c r="P156" s="106"/>
      <c r="Q156" s="109"/>
      <c r="R156" s="289"/>
      <c r="S156" s="107"/>
      <c r="T156" s="106"/>
      <c r="U156" s="106" t="str">
        <f>TEXT(Table626893456791011121314[[#This Row],[PO Date]], "mmmm")</f>
        <v>January</v>
      </c>
      <c r="V156" s="284">
        <f>Table626893456791011121314[[#This Row],[Offer Value]]-Table626893456791011121314[[#This Row],[PO Value]]</f>
        <v>0</v>
      </c>
      <c r="W156" s="106"/>
      <c r="X156" s="106"/>
      <c r="Y156" s="617"/>
      <c r="Z156" s="7"/>
      <c r="AA156" s="7"/>
    </row>
    <row r="157" spans="1:27" ht="15.6">
      <c r="A157" s="106"/>
      <c r="B157" s="107"/>
      <c r="C157" s="105"/>
      <c r="D157" s="105"/>
      <c r="E157" s="105"/>
      <c r="F157" s="105"/>
      <c r="G157" s="105"/>
      <c r="H157" s="250"/>
      <c r="I157" s="105"/>
      <c r="J157" s="108"/>
      <c r="K157" s="108"/>
      <c r="L157" s="113"/>
      <c r="M157" s="116"/>
      <c r="N157" s="106"/>
      <c r="O157" s="106"/>
      <c r="P157" s="106"/>
      <c r="Q157" s="109"/>
      <c r="R157" s="289"/>
      <c r="S157" s="107"/>
      <c r="T157" s="106"/>
      <c r="U157" s="106" t="str">
        <f>TEXT(Table626893456791011121314[[#This Row],[PO Date]], "mmmm")</f>
        <v>January</v>
      </c>
      <c r="V157" s="284">
        <f>Table626893456791011121314[[#This Row],[Offer Value]]-Table626893456791011121314[[#This Row],[PO Value]]</f>
        <v>0</v>
      </c>
      <c r="W157" s="106"/>
      <c r="X157" s="106"/>
      <c r="Y157" s="617"/>
      <c r="Z157" s="7"/>
      <c r="AA157" s="7"/>
    </row>
    <row r="158" spans="1:27" ht="15.6">
      <c r="A158" s="106"/>
      <c r="B158" s="107"/>
      <c r="C158" s="105"/>
      <c r="D158" s="105"/>
      <c r="E158" s="108"/>
      <c r="F158" s="304"/>
      <c r="G158" s="304"/>
      <c r="H158" s="182"/>
      <c r="I158" s="108"/>
      <c r="J158" s="115"/>
      <c r="K158" s="115"/>
      <c r="L158" s="113"/>
      <c r="M158" s="116"/>
      <c r="N158" s="106"/>
      <c r="O158" s="106"/>
      <c r="P158" s="106"/>
      <c r="Q158" s="109"/>
      <c r="R158" s="289"/>
      <c r="S158" s="107"/>
      <c r="T158" s="106"/>
      <c r="U158" s="106" t="str">
        <f>TEXT(Table626893456791011121314[[#This Row],[PO Date]], "mmmm")</f>
        <v>January</v>
      </c>
      <c r="V158" s="284">
        <f>Table626893456791011121314[[#This Row],[Offer Value]]-Table626893456791011121314[[#This Row],[PO Value]]</f>
        <v>0</v>
      </c>
      <c r="W158" s="106"/>
      <c r="X158" s="106"/>
      <c r="Y158" s="217"/>
      <c r="Z158" s="7"/>
      <c r="AA158" s="7"/>
    </row>
    <row r="159" spans="1:27" ht="15.6">
      <c r="A159" s="106"/>
      <c r="B159" s="107"/>
      <c r="C159" s="105"/>
      <c r="D159" s="105"/>
      <c r="E159" s="108"/>
      <c r="F159" s="108"/>
      <c r="G159" s="105"/>
      <c r="H159" s="250"/>
      <c r="I159" s="108"/>
      <c r="J159" s="115"/>
      <c r="K159" s="115"/>
      <c r="L159" s="113"/>
      <c r="M159" s="116"/>
      <c r="N159" s="106"/>
      <c r="O159" s="106"/>
      <c r="P159" s="106"/>
      <c r="Q159" s="109"/>
      <c r="R159" s="256"/>
      <c r="S159" s="107"/>
      <c r="T159" s="106"/>
      <c r="U159" s="106" t="str">
        <f>TEXT(Table626893456791011121314[[#This Row],[PO Date]], "mmmm")</f>
        <v>January</v>
      </c>
      <c r="V159" s="284">
        <f>Table626893456791011121314[[#This Row],[Offer Value]]-Table626893456791011121314[[#This Row],[PO Value]]</f>
        <v>0</v>
      </c>
      <c r="W159" s="106"/>
      <c r="X159" s="106"/>
      <c r="Y159" s="217"/>
      <c r="Z159" s="7"/>
      <c r="AA159" s="7"/>
    </row>
    <row r="160" spans="1:27" ht="15.6">
      <c r="A160" s="106"/>
      <c r="B160" s="107"/>
      <c r="C160" s="105"/>
      <c r="D160" s="105"/>
      <c r="E160" s="108"/>
      <c r="F160" s="108"/>
      <c r="G160" s="108"/>
      <c r="H160" s="251"/>
      <c r="I160" s="108"/>
      <c r="J160" s="115"/>
      <c r="K160" s="115"/>
      <c r="L160" s="113"/>
      <c r="M160" s="116"/>
      <c r="N160" s="106"/>
      <c r="O160" s="106"/>
      <c r="P160" s="106"/>
      <c r="Q160" s="109"/>
      <c r="R160" s="289"/>
      <c r="S160" s="107"/>
      <c r="T160" s="106"/>
      <c r="U160" s="106" t="str">
        <f>TEXT(Table626893456791011121314[[#This Row],[PO Date]], "mmmm")</f>
        <v>January</v>
      </c>
      <c r="V160" s="284">
        <f>Table626893456791011121314[[#This Row],[Offer Value]]-Table626893456791011121314[[#This Row],[PO Value]]</f>
        <v>0</v>
      </c>
      <c r="W160" s="106"/>
      <c r="X160" s="106"/>
      <c r="Y160" s="217"/>
      <c r="Z160" s="7"/>
      <c r="AA160" s="7"/>
    </row>
    <row r="161" spans="1:27" ht="15.6">
      <c r="A161" s="33"/>
      <c r="B161" s="34"/>
      <c r="C161" s="105"/>
      <c r="D161" s="105"/>
      <c r="E161" s="108"/>
      <c r="F161" s="108"/>
      <c r="G161" s="108"/>
      <c r="H161" s="251"/>
      <c r="I161" s="108"/>
      <c r="J161" s="115"/>
      <c r="K161" s="115"/>
      <c r="L161" s="113"/>
      <c r="M161" s="116"/>
      <c r="N161" s="106"/>
      <c r="O161" s="106"/>
      <c r="P161" s="106"/>
      <c r="Q161" s="109"/>
      <c r="R161" s="195"/>
      <c r="S161" s="587"/>
      <c r="T161" s="106"/>
      <c r="U161" s="106" t="str">
        <f>TEXT(Table626893456791011121314[[#This Row],[PO Date]], "mmmm")</f>
        <v>January</v>
      </c>
      <c r="V161" s="284">
        <f>Table626893456791011121314[[#This Row],[Offer Value]]-Table626893456791011121314[[#This Row],[PO Value]]</f>
        <v>0</v>
      </c>
      <c r="W161" s="177"/>
      <c r="X161" s="177"/>
      <c r="Y161" s="217"/>
      <c r="Z161" s="7"/>
      <c r="AA161" s="7"/>
    </row>
    <row r="162" spans="1:27" ht="15.6">
      <c r="A162" s="106"/>
      <c r="B162" s="107"/>
      <c r="C162" s="105"/>
      <c r="D162" s="105"/>
      <c r="E162" s="108"/>
      <c r="F162" s="108"/>
      <c r="G162" s="108"/>
      <c r="H162" s="251"/>
      <c r="I162" s="108"/>
      <c r="J162" s="115"/>
      <c r="K162" s="115"/>
      <c r="L162" s="113"/>
      <c r="M162" s="116"/>
      <c r="N162" s="106"/>
      <c r="O162" s="106"/>
      <c r="P162" s="106"/>
      <c r="Q162" s="109"/>
      <c r="R162" s="289"/>
      <c r="S162" s="107"/>
      <c r="T162" s="106"/>
      <c r="U162" s="106" t="str">
        <f>TEXT(Table626893456791011121314[[#This Row],[PO Date]], "mmmm")</f>
        <v>January</v>
      </c>
      <c r="V162" s="284">
        <f>Table626893456791011121314[[#This Row],[Offer Value]]-Table626893456791011121314[[#This Row],[PO Value]]</f>
        <v>0</v>
      </c>
      <c r="W162" s="106"/>
      <c r="X162" s="106"/>
      <c r="Y162" s="217"/>
      <c r="Z162" s="7"/>
      <c r="AA162" s="7"/>
    </row>
    <row r="163" spans="1:27" ht="18">
      <c r="A163" s="106"/>
      <c r="B163" s="107"/>
      <c r="C163" s="105"/>
      <c r="D163" s="105"/>
      <c r="E163" s="113"/>
      <c r="F163" s="108"/>
      <c r="G163" s="105"/>
      <c r="H163" s="250"/>
      <c r="I163" s="113"/>
      <c r="J163" s="108"/>
      <c r="K163" s="108"/>
      <c r="L163" s="366"/>
      <c r="M163" s="116"/>
      <c r="N163" s="106"/>
      <c r="O163" s="106"/>
      <c r="P163" s="106"/>
      <c r="Q163" s="109"/>
      <c r="R163" s="256"/>
      <c r="S163" s="107"/>
      <c r="T163" s="106"/>
      <c r="U163" s="106" t="str">
        <f>TEXT(Table626893456791011121314[[#This Row],[PO Date]], "mmmm")</f>
        <v>January</v>
      </c>
      <c r="V163" s="284">
        <f>Table626893456791011121314[[#This Row],[Offer Value]]-Table626893456791011121314[[#This Row],[PO Value]]</f>
        <v>0</v>
      </c>
      <c r="W163" s="106"/>
      <c r="X163" s="106"/>
      <c r="Y163" s="617"/>
      <c r="Z163" s="7"/>
      <c r="AA163" s="7"/>
    </row>
    <row r="164" spans="1:27" ht="18">
      <c r="A164" s="106"/>
      <c r="B164" s="107"/>
      <c r="C164" s="105"/>
      <c r="D164" s="105"/>
      <c r="E164" s="108"/>
      <c r="F164" s="108"/>
      <c r="G164" s="108"/>
      <c r="H164" s="251"/>
      <c r="I164" s="108"/>
      <c r="J164" s="108"/>
      <c r="K164" s="108"/>
      <c r="L164" s="366"/>
      <c r="M164" s="116"/>
      <c r="N164" s="106"/>
      <c r="O164" s="106"/>
      <c r="P164" s="106"/>
      <c r="Q164" s="109"/>
      <c r="R164" s="289"/>
      <c r="S164" s="107"/>
      <c r="T164" s="106"/>
      <c r="U164" s="106" t="str">
        <f>TEXT(Table626893456791011121314[[#This Row],[PO Date]], "mmmm")</f>
        <v>January</v>
      </c>
      <c r="V164" s="284">
        <f>Table626893456791011121314[[#This Row],[Offer Value]]-Table626893456791011121314[[#This Row],[PO Value]]</f>
        <v>0</v>
      </c>
      <c r="W164" s="106"/>
      <c r="X164" s="106"/>
      <c r="Y164" s="217"/>
      <c r="Z164" s="7"/>
      <c r="AA164" s="7"/>
    </row>
    <row r="165" spans="1:27" ht="18">
      <c r="A165" s="106"/>
      <c r="B165" s="106"/>
      <c r="C165" s="105"/>
      <c r="D165" s="105"/>
      <c r="E165" s="108"/>
      <c r="F165" s="108"/>
      <c r="G165" s="108"/>
      <c r="H165" s="251"/>
      <c r="I165" s="108"/>
      <c r="J165" s="115"/>
      <c r="K165" s="115"/>
      <c r="L165" s="366"/>
      <c r="M165" s="116"/>
      <c r="N165" s="106"/>
      <c r="O165" s="106"/>
      <c r="P165" s="106"/>
      <c r="Q165" s="109"/>
      <c r="R165" s="289"/>
      <c r="S165" s="107"/>
      <c r="T165" s="106"/>
      <c r="U165" s="106" t="str">
        <f>TEXT(Table626893456791011121314[[#This Row],[PO Date]], "mmmm")</f>
        <v>January</v>
      </c>
      <c r="V165" s="284">
        <f>Table626893456791011121314[[#This Row],[Offer Value]]-Table626893456791011121314[[#This Row],[PO Value]]</f>
        <v>0</v>
      </c>
      <c r="W165" s="106"/>
      <c r="X165" s="106"/>
      <c r="Y165" s="217"/>
      <c r="Z165" s="7"/>
      <c r="AA165" s="7"/>
    </row>
    <row r="166" spans="1:27" ht="18">
      <c r="A166" s="106"/>
      <c r="B166" s="106"/>
      <c r="C166" s="105"/>
      <c r="D166" s="105"/>
      <c r="E166" s="108"/>
      <c r="F166" s="105"/>
      <c r="G166" s="105"/>
      <c r="H166" s="248"/>
      <c r="I166" s="105"/>
      <c r="J166" s="115"/>
      <c r="K166" s="115"/>
      <c r="L166" s="366"/>
      <c r="M166" s="116"/>
      <c r="N166" s="106"/>
      <c r="O166" s="106"/>
      <c r="P166" s="106"/>
      <c r="Q166" s="109"/>
      <c r="R166" s="289"/>
      <c r="S166" s="107"/>
      <c r="T166" s="106"/>
      <c r="U166" s="106" t="str">
        <f>TEXT(Table626893456791011121314[[#This Row],[PO Date]], "mmmm")</f>
        <v>January</v>
      </c>
      <c r="V166" s="284">
        <f>Table626893456791011121314[[#This Row],[Offer Value]]-Table626893456791011121314[[#This Row],[PO Value]]</f>
        <v>0</v>
      </c>
      <c r="W166" s="106"/>
      <c r="X166" s="106"/>
      <c r="Y166" s="217"/>
      <c r="Z166" s="7"/>
      <c r="AA166" s="7"/>
    </row>
    <row r="167" spans="1:27" ht="18">
      <c r="A167" s="106"/>
      <c r="B167" s="106"/>
      <c r="C167" s="105"/>
      <c r="D167" s="113"/>
      <c r="E167" s="113"/>
      <c r="F167" s="113"/>
      <c r="G167" s="304"/>
      <c r="H167" s="182"/>
      <c r="I167" s="105"/>
      <c r="J167" s="115"/>
      <c r="K167" s="115"/>
      <c r="L167" s="366"/>
      <c r="M167" s="116"/>
      <c r="N167" s="106"/>
      <c r="O167" s="106"/>
      <c r="P167" s="106"/>
      <c r="Q167" s="109"/>
      <c r="R167" s="256"/>
      <c r="S167" s="107"/>
      <c r="T167" s="106"/>
      <c r="U167" s="106" t="str">
        <f>TEXT(Table626893456791011121314[[#This Row],[PO Date]], "mmmm")</f>
        <v>January</v>
      </c>
      <c r="V167" s="284">
        <f>Table626893456791011121314[[#This Row],[Offer Value]]-Table626893456791011121314[[#This Row],[PO Value]]</f>
        <v>0</v>
      </c>
      <c r="W167" s="106"/>
      <c r="X167" s="106"/>
      <c r="Y167" s="617"/>
      <c r="Z167" s="7"/>
      <c r="AA167" s="7"/>
    </row>
    <row r="168" spans="1:27" ht="18">
      <c r="A168" s="106"/>
      <c r="B168" s="106"/>
      <c r="C168" s="105"/>
      <c r="D168" s="105"/>
      <c r="E168" s="105"/>
      <c r="F168" s="113"/>
      <c r="G168" s="113"/>
      <c r="H168" s="248"/>
      <c r="I168" s="105"/>
      <c r="J168" s="115"/>
      <c r="K168" s="115"/>
      <c r="L168" s="366"/>
      <c r="M168" s="116"/>
      <c r="N168" s="106"/>
      <c r="O168" s="106"/>
      <c r="P168" s="106"/>
      <c r="Q168" s="109"/>
      <c r="R168" s="289"/>
      <c r="S168" s="107"/>
      <c r="T168" s="106"/>
      <c r="U168" s="106" t="str">
        <f>TEXT(Table626893456791011121314[[#This Row],[PO Date]], "mmmm")</f>
        <v>January</v>
      </c>
      <c r="V168" s="284">
        <f>Table626893456791011121314[[#This Row],[Offer Value]]-Table626893456791011121314[[#This Row],[PO Value]]</f>
        <v>0</v>
      </c>
      <c r="W168" s="106"/>
      <c r="X168" s="106"/>
      <c r="Y168" s="217"/>
      <c r="Z168" s="7"/>
      <c r="AA168" s="7"/>
    </row>
    <row r="169" spans="1:27" ht="18">
      <c r="A169" s="106"/>
      <c r="B169" s="106"/>
      <c r="C169" s="105"/>
      <c r="D169" s="105"/>
      <c r="E169" s="105"/>
      <c r="F169" s="113"/>
      <c r="G169" s="113"/>
      <c r="H169" s="248"/>
      <c r="I169" s="108"/>
      <c r="J169" s="115"/>
      <c r="K169" s="115"/>
      <c r="L169" s="366"/>
      <c r="M169" s="116"/>
      <c r="N169" s="106"/>
      <c r="O169" s="106"/>
      <c r="P169" s="106"/>
      <c r="Q169" s="109"/>
      <c r="R169" s="289"/>
      <c r="S169" s="107"/>
      <c r="T169" s="106"/>
      <c r="U169" s="106" t="str">
        <f>TEXT(Table626893456791011121314[[#This Row],[PO Date]], "mmmm")</f>
        <v>January</v>
      </c>
      <c r="V169" s="284">
        <f>Table626893456791011121314[[#This Row],[Offer Value]]-Table626893456791011121314[[#This Row],[PO Value]]</f>
        <v>0</v>
      </c>
      <c r="W169" s="106"/>
      <c r="X169" s="106"/>
      <c r="Y169" s="217"/>
      <c r="Z169" s="7"/>
      <c r="AA169" s="7"/>
    </row>
    <row r="170" spans="1:27" ht="18">
      <c r="A170" s="106"/>
      <c r="B170" s="106"/>
      <c r="C170" s="105"/>
      <c r="D170" s="105"/>
      <c r="E170" s="105"/>
      <c r="F170" s="113"/>
      <c r="G170" s="113"/>
      <c r="H170" s="248"/>
      <c r="I170" s="113"/>
      <c r="J170" s="115"/>
      <c r="K170" s="115"/>
      <c r="L170" s="366"/>
      <c r="M170" s="116"/>
      <c r="N170" s="106"/>
      <c r="O170" s="106"/>
      <c r="P170" s="106"/>
      <c r="Q170" s="109"/>
      <c r="R170" s="289"/>
      <c r="S170" s="107"/>
      <c r="T170" s="106"/>
      <c r="U170" s="106" t="str">
        <f>TEXT(Table626893456791011121314[[#This Row],[PO Date]], "mmmm")</f>
        <v>January</v>
      </c>
      <c r="V170" s="284">
        <f>Table626893456791011121314[[#This Row],[Offer Value]]-Table626893456791011121314[[#This Row],[PO Value]]</f>
        <v>0</v>
      </c>
      <c r="W170" s="106"/>
      <c r="X170" s="106"/>
      <c r="Y170" s="217"/>
      <c r="Z170" s="7"/>
      <c r="AA170" s="7"/>
    </row>
    <row r="171" spans="1:27" ht="18">
      <c r="A171" s="106"/>
      <c r="B171" s="106"/>
      <c r="C171" s="105"/>
      <c r="D171" s="105"/>
      <c r="E171" s="105"/>
      <c r="F171" s="113"/>
      <c r="G171" s="113"/>
      <c r="H171" s="248"/>
      <c r="I171" s="108"/>
      <c r="J171" s="115"/>
      <c r="K171" s="115"/>
      <c r="L171" s="366"/>
      <c r="M171" s="116"/>
      <c r="N171" s="106"/>
      <c r="O171" s="106"/>
      <c r="P171" s="106"/>
      <c r="Q171" s="109"/>
      <c r="R171" s="289"/>
      <c r="S171" s="107"/>
      <c r="T171" s="106"/>
      <c r="U171" s="106" t="str">
        <f>TEXT(Table626893456791011121314[[#This Row],[PO Date]], "mmmm")</f>
        <v>January</v>
      </c>
      <c r="V171" s="284">
        <f>Table626893456791011121314[[#This Row],[Offer Value]]-Table626893456791011121314[[#This Row],[PO Value]]</f>
        <v>0</v>
      </c>
      <c r="W171" s="106"/>
      <c r="X171" s="106"/>
      <c r="Y171" s="217"/>
      <c r="Z171" s="7"/>
      <c r="AA171" s="7"/>
    </row>
    <row r="172" spans="1:27" ht="18">
      <c r="A172" s="106"/>
      <c r="B172" s="107"/>
      <c r="C172" s="105"/>
      <c r="D172" s="105"/>
      <c r="E172" s="105"/>
      <c r="F172" s="113"/>
      <c r="G172" s="113"/>
      <c r="H172" s="248"/>
      <c r="I172" s="105"/>
      <c r="J172" s="115"/>
      <c r="K172" s="115"/>
      <c r="L172" s="366"/>
      <c r="M172" s="116"/>
      <c r="N172" s="106"/>
      <c r="O172" s="106"/>
      <c r="P172" s="106"/>
      <c r="Q172" s="109"/>
      <c r="R172" s="289"/>
      <c r="S172" s="107"/>
      <c r="T172" s="106"/>
      <c r="U172" s="106" t="str">
        <f>TEXT(Table626893456791011121314[[#This Row],[PO Date]], "mmmm")</f>
        <v>January</v>
      </c>
      <c r="V172" s="284">
        <f>Table626893456791011121314[[#This Row],[Offer Value]]-Table626893456791011121314[[#This Row],[PO Value]]</f>
        <v>0</v>
      </c>
      <c r="W172" s="106"/>
      <c r="X172" s="106"/>
      <c r="Y172" s="217"/>
      <c r="Z172" s="7"/>
      <c r="AA172" s="7"/>
    </row>
    <row r="173" spans="1:27" ht="18">
      <c r="A173" s="106"/>
      <c r="B173" s="107"/>
      <c r="C173" s="105"/>
      <c r="D173" s="105"/>
      <c r="E173" s="105"/>
      <c r="F173" s="113"/>
      <c r="G173" s="113"/>
      <c r="H173" s="248"/>
      <c r="I173" s="105"/>
      <c r="J173" s="115"/>
      <c r="K173" s="115"/>
      <c r="L173" s="366"/>
      <c r="M173" s="116"/>
      <c r="N173" s="106"/>
      <c r="O173" s="106"/>
      <c r="P173" s="106"/>
      <c r="Q173" s="109"/>
      <c r="R173" s="289"/>
      <c r="S173" s="107"/>
      <c r="T173" s="106"/>
      <c r="U173" s="106" t="str">
        <f>TEXT(Table626893456791011121314[[#This Row],[PO Date]], "mmmm")</f>
        <v>January</v>
      </c>
      <c r="V173" s="284">
        <f>Table626893456791011121314[[#This Row],[Offer Value]]-Table626893456791011121314[[#This Row],[PO Value]]</f>
        <v>0</v>
      </c>
      <c r="W173" s="106"/>
      <c r="X173" s="106"/>
      <c r="Y173" s="217"/>
      <c r="Z173" s="7"/>
      <c r="AA173" s="7"/>
    </row>
    <row r="174" spans="1:27" ht="18">
      <c r="A174" s="106"/>
      <c r="B174" s="106"/>
      <c r="C174" s="105"/>
      <c r="D174" s="105"/>
      <c r="E174" s="105"/>
      <c r="F174" s="113"/>
      <c r="G174" s="113"/>
      <c r="H174" s="248"/>
      <c r="I174" s="108"/>
      <c r="J174" s="115"/>
      <c r="K174" s="115"/>
      <c r="L174" s="366"/>
      <c r="M174" s="116"/>
      <c r="N174" s="106"/>
      <c r="O174" s="106"/>
      <c r="P174" s="106"/>
      <c r="Q174" s="109"/>
      <c r="R174" s="289"/>
      <c r="S174" s="107"/>
      <c r="T174" s="106"/>
      <c r="U174" s="106" t="str">
        <f>TEXT(Table626893456791011121314[[#This Row],[PO Date]], "mmmm")</f>
        <v>January</v>
      </c>
      <c r="V174" s="284">
        <f>Table626893456791011121314[[#This Row],[Offer Value]]-Table626893456791011121314[[#This Row],[PO Value]]</f>
        <v>0</v>
      </c>
      <c r="W174" s="106"/>
      <c r="X174" s="106"/>
      <c r="Y174" s="217"/>
      <c r="Z174" s="7"/>
      <c r="AA174" s="7"/>
    </row>
    <row r="175" spans="1:27" ht="18">
      <c r="A175" s="106"/>
      <c r="B175" s="106"/>
      <c r="C175" s="105"/>
      <c r="D175" s="105"/>
      <c r="E175" s="105"/>
      <c r="F175" s="113"/>
      <c r="G175" s="113"/>
      <c r="H175" s="248"/>
      <c r="I175" s="105"/>
      <c r="J175" s="115"/>
      <c r="K175" s="115"/>
      <c r="L175" s="366"/>
      <c r="M175" s="116"/>
      <c r="N175" s="106"/>
      <c r="O175" s="106"/>
      <c r="P175" s="106"/>
      <c r="Q175" s="109"/>
      <c r="R175" s="289"/>
      <c r="S175" s="107"/>
      <c r="T175" s="106"/>
      <c r="U175" s="106" t="str">
        <f>TEXT(Table626893456791011121314[[#This Row],[PO Date]], "mmmm")</f>
        <v>January</v>
      </c>
      <c r="V175" s="284">
        <f>Table626893456791011121314[[#This Row],[Offer Value]]-Table626893456791011121314[[#This Row],[PO Value]]</f>
        <v>0</v>
      </c>
      <c r="W175" s="106"/>
      <c r="X175" s="106"/>
      <c r="Y175" s="217"/>
      <c r="Z175" s="7"/>
      <c r="AA175" s="7"/>
    </row>
    <row r="176" spans="1:27" ht="18">
      <c r="A176" s="106"/>
      <c r="B176" s="106"/>
      <c r="C176" s="105"/>
      <c r="D176" s="105"/>
      <c r="E176" s="105"/>
      <c r="F176" s="113"/>
      <c r="G176" s="113"/>
      <c r="H176" s="248"/>
      <c r="I176" s="105"/>
      <c r="J176" s="115"/>
      <c r="K176" s="115"/>
      <c r="L176" s="366"/>
      <c r="M176" s="116"/>
      <c r="N176" s="106"/>
      <c r="O176" s="106"/>
      <c r="P176" s="106"/>
      <c r="Q176" s="109"/>
      <c r="R176" s="289"/>
      <c r="S176" s="107"/>
      <c r="T176" s="106"/>
      <c r="U176" s="106" t="str">
        <f>TEXT(Table626893456791011121314[[#This Row],[PO Date]], "mmmm")</f>
        <v>January</v>
      </c>
      <c r="V176" s="284">
        <f>Table626893456791011121314[[#This Row],[Offer Value]]-Table626893456791011121314[[#This Row],[PO Value]]</f>
        <v>0</v>
      </c>
      <c r="W176" s="106"/>
      <c r="X176" s="106"/>
      <c r="Y176" s="217"/>
      <c r="Z176" s="7"/>
      <c r="AA176" s="7"/>
    </row>
    <row r="177" spans="1:27" ht="18">
      <c r="A177" s="106"/>
      <c r="B177" s="106"/>
      <c r="C177" s="105"/>
      <c r="D177" s="105"/>
      <c r="E177" s="105"/>
      <c r="F177" s="113"/>
      <c r="G177" s="113"/>
      <c r="H177" s="248"/>
      <c r="I177" s="105"/>
      <c r="J177" s="115"/>
      <c r="K177" s="115"/>
      <c r="L177" s="366"/>
      <c r="M177" s="116"/>
      <c r="N177" s="106"/>
      <c r="O177" s="106"/>
      <c r="P177" s="106"/>
      <c r="Q177" s="109"/>
      <c r="R177" s="289"/>
      <c r="S177" s="107"/>
      <c r="T177" s="106"/>
      <c r="U177" s="106" t="str">
        <f>TEXT(Table626893456791011121314[[#This Row],[PO Date]], "mmmm")</f>
        <v>January</v>
      </c>
      <c r="V177" s="284">
        <f>Table626893456791011121314[[#This Row],[Offer Value]]-Table626893456791011121314[[#This Row],[PO Value]]</f>
        <v>0</v>
      </c>
      <c r="W177" s="106"/>
      <c r="X177" s="106"/>
      <c r="Y177" s="217"/>
      <c r="Z177" s="7"/>
      <c r="AA177" s="7"/>
    </row>
    <row r="178" spans="1:27" ht="18">
      <c r="A178" s="106"/>
      <c r="B178" s="106"/>
      <c r="C178" s="105"/>
      <c r="D178" s="105"/>
      <c r="E178" s="105"/>
      <c r="F178" s="108"/>
      <c r="G178" s="108"/>
      <c r="H178" s="251"/>
      <c r="I178" s="105"/>
      <c r="J178" s="115"/>
      <c r="K178" s="115"/>
      <c r="L178" s="366"/>
      <c r="M178" s="116"/>
      <c r="N178" s="106"/>
      <c r="O178" s="106"/>
      <c r="P178" s="106"/>
      <c r="Q178" s="109"/>
      <c r="R178" s="289"/>
      <c r="S178" s="107"/>
      <c r="T178" s="106"/>
      <c r="U178" s="106" t="str">
        <f>TEXT(Table626893456791011121314[[#This Row],[PO Date]], "mmmm")</f>
        <v>January</v>
      </c>
      <c r="V178" s="284">
        <f>Table626893456791011121314[[#This Row],[Offer Value]]-Table626893456791011121314[[#This Row],[PO Value]]</f>
        <v>0</v>
      </c>
      <c r="W178" s="106"/>
      <c r="X178" s="106"/>
      <c r="Y178" s="217"/>
      <c r="Z178" s="7"/>
      <c r="AA178" s="7"/>
    </row>
    <row r="179" spans="1:27" ht="18">
      <c r="A179" s="106"/>
      <c r="B179" s="106"/>
      <c r="C179" s="105"/>
      <c r="D179" s="105"/>
      <c r="E179" s="105"/>
      <c r="F179" s="108"/>
      <c r="G179" s="108"/>
      <c r="H179" s="251"/>
      <c r="I179" s="105"/>
      <c r="J179" s="115"/>
      <c r="K179" s="115"/>
      <c r="L179" s="366"/>
      <c r="M179" s="116"/>
      <c r="N179" s="106"/>
      <c r="O179" s="106"/>
      <c r="P179" s="106"/>
      <c r="Q179" s="109"/>
      <c r="R179" s="289"/>
      <c r="S179" s="107"/>
      <c r="T179" s="106"/>
      <c r="U179" s="106" t="str">
        <f>TEXT(Table626893456791011121314[[#This Row],[PO Date]], "mmmm")</f>
        <v>January</v>
      </c>
      <c r="V179" s="284">
        <f>Table626893456791011121314[[#This Row],[Offer Value]]-Table626893456791011121314[[#This Row],[PO Value]]</f>
        <v>0</v>
      </c>
      <c r="W179" s="106"/>
      <c r="X179" s="106"/>
      <c r="Y179" s="617"/>
      <c r="Z179" s="7"/>
      <c r="AA179" s="7"/>
    </row>
    <row r="180" spans="1:27" ht="18">
      <c r="A180" s="106"/>
      <c r="B180" s="106"/>
      <c r="C180" s="105"/>
      <c r="D180" s="105"/>
      <c r="E180" s="105"/>
      <c r="F180" s="105"/>
      <c r="G180" s="105"/>
      <c r="H180" s="248"/>
      <c r="I180" s="105"/>
      <c r="J180" s="115"/>
      <c r="K180" s="115"/>
      <c r="L180" s="366"/>
      <c r="M180" s="116"/>
      <c r="N180" s="106"/>
      <c r="O180" s="106"/>
      <c r="P180" s="106"/>
      <c r="Q180" s="109"/>
      <c r="R180" s="289"/>
      <c r="S180" s="107"/>
      <c r="T180" s="106"/>
      <c r="U180" s="106" t="str">
        <f>TEXT(Table626893456791011121314[[#This Row],[PO Date]], "mmmm")</f>
        <v>January</v>
      </c>
      <c r="V180" s="284">
        <f>Table626893456791011121314[[#This Row],[Offer Value]]-Table626893456791011121314[[#This Row],[PO Value]]</f>
        <v>0</v>
      </c>
      <c r="W180" s="106"/>
      <c r="X180" s="106"/>
      <c r="Y180" s="617"/>
      <c r="Z180" s="7"/>
      <c r="AA180" s="7"/>
    </row>
    <row r="181" spans="1:27" ht="18">
      <c r="A181" s="106"/>
      <c r="B181" s="106"/>
      <c r="C181" s="105"/>
      <c r="D181" s="304"/>
      <c r="E181" s="304"/>
      <c r="F181" s="304"/>
      <c r="G181" s="304"/>
      <c r="H181" s="182"/>
      <c r="I181" s="105"/>
      <c r="J181" s="115"/>
      <c r="K181" s="115"/>
      <c r="L181" s="366"/>
      <c r="M181" s="116"/>
      <c r="N181" s="106"/>
      <c r="O181" s="106"/>
      <c r="P181" s="106"/>
      <c r="Q181" s="109"/>
      <c r="R181" s="256"/>
      <c r="S181" s="107"/>
      <c r="T181" s="106"/>
      <c r="U181" s="106" t="str">
        <f>TEXT(Table626893456791011121314[[#This Row],[PO Date]], "mmmm")</f>
        <v>January</v>
      </c>
      <c r="V181" s="284">
        <f>Table626893456791011121314[[#This Row],[Offer Value]]-Table626893456791011121314[[#This Row],[PO Value]]</f>
        <v>0</v>
      </c>
      <c r="W181" s="106"/>
      <c r="X181" s="106"/>
      <c r="Y181" s="617"/>
      <c r="Z181" s="7"/>
      <c r="AA181" s="7"/>
    </row>
    <row r="182" spans="1:27" ht="18">
      <c r="A182" s="106"/>
      <c r="B182" s="106"/>
      <c r="C182" s="105"/>
      <c r="D182" s="304"/>
      <c r="E182" s="304"/>
      <c r="F182" s="304"/>
      <c r="G182" s="304"/>
      <c r="H182" s="182"/>
      <c r="I182" s="105"/>
      <c r="J182" s="115"/>
      <c r="K182" s="115"/>
      <c r="L182" s="366"/>
      <c r="M182" s="116"/>
      <c r="N182" s="106"/>
      <c r="O182" s="106"/>
      <c r="P182" s="106"/>
      <c r="Q182" s="109"/>
      <c r="R182" s="289"/>
      <c r="S182" s="107"/>
      <c r="T182" s="106"/>
      <c r="U182" s="106" t="str">
        <f>TEXT(Table626893456791011121314[[#This Row],[PO Date]], "mmmm")</f>
        <v>January</v>
      </c>
      <c r="V182" s="284">
        <f>Table626893456791011121314[[#This Row],[Offer Value]]-Table626893456791011121314[[#This Row],[PO Value]]</f>
        <v>0</v>
      </c>
      <c r="W182" s="106"/>
      <c r="X182" s="106"/>
      <c r="Y182" s="617"/>
      <c r="Z182" s="7"/>
      <c r="AA182" s="7"/>
    </row>
    <row r="183" spans="1:27" ht="18">
      <c r="A183" s="106"/>
      <c r="B183" s="107"/>
      <c r="C183" s="105"/>
      <c r="D183" s="105"/>
      <c r="E183" s="108"/>
      <c r="F183" s="105"/>
      <c r="G183" s="105"/>
      <c r="H183" s="248"/>
      <c r="I183" s="105"/>
      <c r="J183" s="115"/>
      <c r="K183" s="115"/>
      <c r="L183" s="366"/>
      <c r="M183" s="116"/>
      <c r="N183" s="106"/>
      <c r="O183" s="106"/>
      <c r="P183" s="106"/>
      <c r="Q183" s="109"/>
      <c r="R183" s="256"/>
      <c r="S183" s="107"/>
      <c r="T183" s="106"/>
      <c r="U183" s="106" t="str">
        <f>TEXT(Table626893456791011121314[[#This Row],[PO Date]], "mmmm")</f>
        <v>January</v>
      </c>
      <c r="V183" s="284">
        <f>Table626893456791011121314[[#This Row],[Offer Value]]-Table626893456791011121314[[#This Row],[PO Value]]</f>
        <v>0</v>
      </c>
      <c r="W183" s="106"/>
      <c r="X183" s="106"/>
      <c r="Y183" s="617"/>
      <c r="Z183" s="7"/>
      <c r="AA183" s="7"/>
    </row>
    <row r="184" spans="1:27" ht="18">
      <c r="A184" s="106"/>
      <c r="B184" s="107"/>
      <c r="C184" s="105"/>
      <c r="D184" s="105"/>
      <c r="E184" s="108"/>
      <c r="F184" s="108"/>
      <c r="G184" s="108"/>
      <c r="H184" s="251"/>
      <c r="I184" s="105"/>
      <c r="J184" s="115"/>
      <c r="K184" s="115"/>
      <c r="L184" s="366"/>
      <c r="M184" s="116"/>
      <c r="N184" s="106"/>
      <c r="O184" s="106"/>
      <c r="P184" s="106"/>
      <c r="Q184" s="109"/>
      <c r="R184" s="289"/>
      <c r="S184" s="107"/>
      <c r="T184" s="106"/>
      <c r="U184" s="106" t="str">
        <f>TEXT(Table626893456791011121314[[#This Row],[PO Date]], "mmmm")</f>
        <v>January</v>
      </c>
      <c r="V184" s="284">
        <f>Table626893456791011121314[[#This Row],[Offer Value]]-Table626893456791011121314[[#This Row],[PO Value]]</f>
        <v>0</v>
      </c>
      <c r="W184" s="106"/>
      <c r="X184" s="106"/>
      <c r="Y184" s="217"/>
      <c r="Z184" s="7"/>
      <c r="AA184" s="7"/>
    </row>
    <row r="185" spans="1:27" ht="18">
      <c r="A185" s="106"/>
      <c r="B185" s="106"/>
      <c r="C185" s="105"/>
      <c r="D185" s="105"/>
      <c r="E185" s="108"/>
      <c r="F185" s="108"/>
      <c r="G185" s="108"/>
      <c r="H185" s="251"/>
      <c r="I185" s="105"/>
      <c r="J185" s="115"/>
      <c r="K185" s="115"/>
      <c r="L185" s="366"/>
      <c r="M185" s="116"/>
      <c r="N185" s="106"/>
      <c r="O185" s="106"/>
      <c r="P185" s="106"/>
      <c r="Q185" s="109"/>
      <c r="R185" s="256"/>
      <c r="S185" s="107"/>
      <c r="T185" s="106"/>
      <c r="U185" s="106" t="str">
        <f>TEXT(Table626893456791011121314[[#This Row],[PO Date]], "mmmm")</f>
        <v>January</v>
      </c>
      <c r="V185" s="284">
        <f>Table626893456791011121314[[#This Row],[Offer Value]]-Table626893456791011121314[[#This Row],[PO Value]]</f>
        <v>0</v>
      </c>
      <c r="W185" s="106"/>
      <c r="X185" s="106"/>
      <c r="Y185" s="617"/>
      <c r="Z185" s="7"/>
      <c r="AA185" s="7"/>
    </row>
    <row r="186" spans="1:27" ht="18">
      <c r="A186" s="106"/>
      <c r="B186" s="106"/>
      <c r="C186" s="105"/>
      <c r="D186" s="105"/>
      <c r="E186" s="105"/>
      <c r="F186" s="105"/>
      <c r="G186" s="105"/>
      <c r="H186" s="248"/>
      <c r="I186" s="105"/>
      <c r="J186" s="115"/>
      <c r="K186" s="115"/>
      <c r="L186" s="366"/>
      <c r="M186" s="116"/>
      <c r="N186" s="106"/>
      <c r="O186" s="106"/>
      <c r="P186" s="106"/>
      <c r="Q186" s="109"/>
      <c r="R186" s="289"/>
      <c r="S186" s="107"/>
      <c r="T186" s="106"/>
      <c r="U186" s="106" t="str">
        <f>TEXT(Table626893456791011121314[[#This Row],[PO Date]], "mmmm")</f>
        <v>January</v>
      </c>
      <c r="V186" s="284">
        <f>Table626893456791011121314[[#This Row],[Offer Value]]-Table626893456791011121314[[#This Row],[PO Value]]</f>
        <v>0</v>
      </c>
      <c r="W186" s="106"/>
      <c r="X186" s="106"/>
      <c r="Y186" s="217"/>
      <c r="Z186" s="7"/>
      <c r="AA186" s="7"/>
    </row>
    <row r="187" spans="1:27" ht="18">
      <c r="A187" s="106"/>
      <c r="B187" s="106"/>
      <c r="C187" s="105"/>
      <c r="D187" s="105"/>
      <c r="E187" s="105"/>
      <c r="F187" s="105"/>
      <c r="G187" s="105"/>
      <c r="H187" s="248"/>
      <c r="I187" s="105"/>
      <c r="J187" s="115"/>
      <c r="K187" s="115"/>
      <c r="L187" s="366"/>
      <c r="M187" s="105"/>
      <c r="N187" s="106"/>
      <c r="O187" s="106"/>
      <c r="P187" s="106"/>
      <c r="Q187" s="109"/>
      <c r="R187" s="289"/>
      <c r="S187" s="107"/>
      <c r="T187" s="106"/>
      <c r="U187" s="106" t="str">
        <f>TEXT(Table626893456791011121314[[#This Row],[PO Date]], "mmmm")</f>
        <v>January</v>
      </c>
      <c r="V187" s="284">
        <f>Table626893456791011121314[[#This Row],[Offer Value]]-Table626893456791011121314[[#This Row],[PO Value]]</f>
        <v>0</v>
      </c>
      <c r="W187" s="106"/>
      <c r="X187" s="106"/>
      <c r="Y187" s="217"/>
      <c r="Z187" s="7"/>
      <c r="AA187" s="7"/>
    </row>
    <row r="188" spans="1:27" ht="18">
      <c r="A188" s="106"/>
      <c r="B188" s="107"/>
      <c r="C188" s="105"/>
      <c r="D188" s="105"/>
      <c r="E188" s="105"/>
      <c r="F188" s="108"/>
      <c r="G188" s="105"/>
      <c r="H188" s="248"/>
      <c r="I188" s="105"/>
      <c r="J188" s="115"/>
      <c r="K188" s="115"/>
      <c r="L188" s="366"/>
      <c r="M188" s="116"/>
      <c r="N188" s="106"/>
      <c r="O188" s="106"/>
      <c r="P188" s="106"/>
      <c r="Q188" s="109"/>
      <c r="R188" s="289"/>
      <c r="S188" s="107"/>
      <c r="T188" s="106"/>
      <c r="U188" s="106" t="str">
        <f>TEXT(Table626893456791011121314[[#This Row],[PO Date]], "mmmm")</f>
        <v>January</v>
      </c>
      <c r="V188" s="284">
        <f>Table626893456791011121314[[#This Row],[Offer Value]]-Table626893456791011121314[[#This Row],[PO Value]]</f>
        <v>0</v>
      </c>
      <c r="W188" s="106"/>
      <c r="X188" s="106"/>
      <c r="Y188" s="217"/>
      <c r="Z188" s="7"/>
      <c r="AA188" s="7"/>
    </row>
    <row r="189" spans="1:27" ht="18">
      <c r="A189" s="106"/>
      <c r="B189" s="107"/>
      <c r="C189" s="105"/>
      <c r="D189" s="105"/>
      <c r="E189" s="105"/>
      <c r="F189" s="105"/>
      <c r="G189" s="105"/>
      <c r="H189" s="248"/>
      <c r="I189" s="105"/>
      <c r="J189" s="115"/>
      <c r="K189" s="115"/>
      <c r="L189" s="366"/>
      <c r="M189" s="116"/>
      <c r="N189" s="106"/>
      <c r="O189" s="106"/>
      <c r="P189" s="106"/>
      <c r="Q189" s="109"/>
      <c r="R189" s="289"/>
      <c r="S189" s="107"/>
      <c r="T189" s="106"/>
      <c r="U189" s="106" t="str">
        <f>TEXT(Table626893456791011121314[[#This Row],[PO Date]], "mmmm")</f>
        <v>January</v>
      </c>
      <c r="V189" s="284">
        <f>Table626893456791011121314[[#This Row],[Offer Value]]-Table626893456791011121314[[#This Row],[PO Value]]</f>
        <v>0</v>
      </c>
      <c r="W189" s="106"/>
      <c r="X189" s="106"/>
      <c r="Y189" s="217"/>
      <c r="Z189" s="7"/>
      <c r="AA189" s="7"/>
    </row>
    <row r="190" spans="1:27" ht="18">
      <c r="A190" s="106"/>
      <c r="B190" s="107"/>
      <c r="C190" s="105"/>
      <c r="D190" s="105"/>
      <c r="E190" s="113"/>
      <c r="F190" s="113"/>
      <c r="G190" s="113"/>
      <c r="H190" s="248"/>
      <c r="I190" s="113"/>
      <c r="J190" s="115"/>
      <c r="K190" s="115"/>
      <c r="L190" s="366"/>
      <c r="M190" s="116"/>
      <c r="N190" s="106"/>
      <c r="O190" s="106"/>
      <c r="P190" s="106"/>
      <c r="Q190" s="109"/>
      <c r="R190" s="256"/>
      <c r="S190" s="107"/>
      <c r="T190" s="106"/>
      <c r="U190" s="106" t="str">
        <f>TEXT(Table626893456791011121314[[#This Row],[PO Date]], "mmmm")</f>
        <v>January</v>
      </c>
      <c r="V190" s="284">
        <f>Table626893456791011121314[[#This Row],[Offer Value]]-Table626893456791011121314[[#This Row],[PO Value]]</f>
        <v>0</v>
      </c>
      <c r="W190" s="106"/>
      <c r="X190" s="106"/>
      <c r="Y190" s="617"/>
      <c r="Z190" s="7"/>
      <c r="AA190" s="7"/>
    </row>
    <row r="191" spans="1:27" ht="18">
      <c r="A191" s="106"/>
      <c r="B191" s="107"/>
      <c r="C191" s="105"/>
      <c r="D191" s="105"/>
      <c r="E191" s="105"/>
      <c r="F191" s="105"/>
      <c r="G191" s="105"/>
      <c r="H191" s="248"/>
      <c r="I191" s="105"/>
      <c r="J191" s="115"/>
      <c r="K191" s="115"/>
      <c r="L191" s="366"/>
      <c r="M191" s="116"/>
      <c r="N191" s="106"/>
      <c r="O191" s="106"/>
      <c r="P191" s="106"/>
      <c r="Q191" s="109"/>
      <c r="R191" s="289"/>
      <c r="S191" s="107"/>
      <c r="T191" s="106"/>
      <c r="U191" s="106" t="str">
        <f>TEXT(Table626893456791011121314[[#This Row],[PO Date]], "mmmm")</f>
        <v>January</v>
      </c>
      <c r="V191" s="284">
        <f>Table626893456791011121314[[#This Row],[Offer Value]]-Table626893456791011121314[[#This Row],[PO Value]]</f>
        <v>0</v>
      </c>
      <c r="W191" s="106"/>
      <c r="X191" s="106"/>
      <c r="Y191" s="217"/>
      <c r="Z191" s="7"/>
      <c r="AA191" s="7"/>
    </row>
    <row r="192" spans="1:27" ht="18">
      <c r="A192" s="106"/>
      <c r="B192" s="106"/>
      <c r="C192" s="105"/>
      <c r="D192" s="105"/>
      <c r="E192" s="108"/>
      <c r="F192" s="108"/>
      <c r="G192" s="105"/>
      <c r="H192" s="250"/>
      <c r="I192" s="105"/>
      <c r="J192" s="115"/>
      <c r="K192" s="115"/>
      <c r="L192" s="366"/>
      <c r="M192" s="105"/>
      <c r="N192" s="106"/>
      <c r="O192" s="106"/>
      <c r="P192" s="106"/>
      <c r="Q192" s="109"/>
      <c r="R192" s="289"/>
      <c r="S192" s="107"/>
      <c r="T192" s="106"/>
      <c r="U192" s="106" t="str">
        <f>TEXT(Table626893456791011121314[[#This Row],[PO Date]], "mmmm")</f>
        <v>January</v>
      </c>
      <c r="V192" s="284">
        <f>Table626893456791011121314[[#This Row],[Offer Value]]-Table626893456791011121314[[#This Row],[PO Value]]</f>
        <v>0</v>
      </c>
      <c r="W192" s="106"/>
      <c r="X192" s="106"/>
      <c r="Y192" s="217"/>
      <c r="Z192" s="7"/>
      <c r="AA192" s="7"/>
    </row>
    <row r="193" spans="1:27" ht="18">
      <c r="A193" s="106"/>
      <c r="B193" s="106"/>
      <c r="C193" s="105"/>
      <c r="D193" s="105"/>
      <c r="E193" s="108"/>
      <c r="F193" s="108"/>
      <c r="G193" s="105"/>
      <c r="H193" s="250"/>
      <c r="I193" s="105"/>
      <c r="J193" s="115"/>
      <c r="K193" s="115"/>
      <c r="L193" s="366"/>
      <c r="M193" s="105"/>
      <c r="N193" s="106"/>
      <c r="O193" s="106"/>
      <c r="P193" s="106"/>
      <c r="Q193" s="109"/>
      <c r="R193" s="289"/>
      <c r="S193" s="107"/>
      <c r="T193" s="106"/>
      <c r="U193" s="106" t="str">
        <f>TEXT(Table626893456791011121314[[#This Row],[PO Date]], "mmmm")</f>
        <v>January</v>
      </c>
      <c r="V193" s="284">
        <f>Table626893456791011121314[[#This Row],[Offer Value]]-Table626893456791011121314[[#This Row],[PO Value]]</f>
        <v>0</v>
      </c>
      <c r="W193" s="106"/>
      <c r="X193" s="106"/>
      <c r="Y193" s="217"/>
      <c r="Z193" s="7"/>
      <c r="AA193" s="7"/>
    </row>
    <row r="194" spans="1:27" ht="18">
      <c r="A194" s="106"/>
      <c r="B194" s="106"/>
      <c r="C194" s="105"/>
      <c r="D194" s="105"/>
      <c r="E194" s="303"/>
      <c r="F194" s="303"/>
      <c r="G194" s="303"/>
      <c r="H194" s="250"/>
      <c r="I194" s="105"/>
      <c r="J194" s="115"/>
      <c r="K194" s="115"/>
      <c r="L194" s="366"/>
      <c r="M194" s="105"/>
      <c r="N194" s="106"/>
      <c r="O194" s="106"/>
      <c r="P194" s="106"/>
      <c r="Q194" s="109"/>
      <c r="R194" s="256"/>
      <c r="S194" s="107"/>
      <c r="T194" s="106"/>
      <c r="U194" s="106" t="str">
        <f>TEXT(Table626893456791011121314[[#This Row],[PO Date]], "mmmm")</f>
        <v>January</v>
      </c>
      <c r="V194" s="284">
        <f>Table626893456791011121314[[#This Row],[Offer Value]]-Table626893456791011121314[[#This Row],[PO Value]]</f>
        <v>0</v>
      </c>
      <c r="W194" s="106"/>
      <c r="X194" s="106"/>
      <c r="Y194" s="617"/>
      <c r="Z194" s="7"/>
      <c r="AA194" s="7"/>
    </row>
    <row r="195" spans="1:27" ht="18">
      <c r="A195" s="106"/>
      <c r="B195" s="106"/>
      <c r="C195" s="105"/>
      <c r="D195" s="105"/>
      <c r="E195" s="108"/>
      <c r="F195" s="108"/>
      <c r="G195" s="108"/>
      <c r="H195" s="251"/>
      <c r="I195" s="108"/>
      <c r="J195" s="115"/>
      <c r="K195" s="115"/>
      <c r="L195" s="366"/>
      <c r="M195" s="105"/>
      <c r="N195" s="106"/>
      <c r="O195" s="106"/>
      <c r="P195" s="106"/>
      <c r="Q195" s="109"/>
      <c r="R195" s="256"/>
      <c r="S195" s="107"/>
      <c r="T195" s="106"/>
      <c r="U195" s="106" t="str">
        <f>TEXT(Table626893456791011121314[[#This Row],[PO Date]], "mmmm")</f>
        <v>January</v>
      </c>
      <c r="V195" s="284">
        <f>Table626893456791011121314[[#This Row],[Offer Value]]-Table626893456791011121314[[#This Row],[PO Value]]</f>
        <v>0</v>
      </c>
      <c r="W195" s="106"/>
      <c r="X195" s="106"/>
      <c r="Y195" s="617"/>
      <c r="Z195" s="7"/>
      <c r="AA195" s="7"/>
    </row>
    <row r="196" spans="1:27" ht="18">
      <c r="A196" s="106"/>
      <c r="B196" s="106"/>
      <c r="C196" s="105"/>
      <c r="D196" s="105"/>
      <c r="E196" s="108"/>
      <c r="F196" s="108"/>
      <c r="G196" s="108"/>
      <c r="H196" s="251"/>
      <c r="I196" s="108"/>
      <c r="J196" s="115"/>
      <c r="K196" s="115"/>
      <c r="L196" s="366"/>
      <c r="M196" s="116"/>
      <c r="N196" s="106"/>
      <c r="O196" s="106"/>
      <c r="P196" s="106"/>
      <c r="Q196" s="109"/>
      <c r="R196" s="289"/>
      <c r="S196" s="107"/>
      <c r="T196" s="106"/>
      <c r="U196" s="106" t="str">
        <f>TEXT(Table626893456791011121314[[#This Row],[PO Date]], "mmmm")</f>
        <v>January</v>
      </c>
      <c r="V196" s="284">
        <f>Table626893456791011121314[[#This Row],[Offer Value]]-Table626893456791011121314[[#This Row],[PO Value]]</f>
        <v>0</v>
      </c>
      <c r="W196" s="106"/>
      <c r="X196" s="106"/>
      <c r="Y196" s="217"/>
      <c r="Z196" s="7"/>
      <c r="AA196" s="7"/>
    </row>
    <row r="197" spans="1:27" ht="18">
      <c r="A197" s="106"/>
      <c r="B197" s="106"/>
      <c r="C197" s="105"/>
      <c r="D197" s="105"/>
      <c r="E197" s="108"/>
      <c r="F197" s="108"/>
      <c r="G197" s="108"/>
      <c r="H197" s="251"/>
      <c r="I197" s="108"/>
      <c r="J197" s="115"/>
      <c r="K197" s="115"/>
      <c r="L197" s="366"/>
      <c r="M197" s="116"/>
      <c r="N197" s="106"/>
      <c r="O197" s="106"/>
      <c r="P197" s="106"/>
      <c r="Q197" s="109"/>
      <c r="R197" s="289"/>
      <c r="S197" s="107"/>
      <c r="T197" s="106"/>
      <c r="U197" s="106" t="str">
        <f>TEXT(Table626893456791011121314[[#This Row],[PO Date]], "mmmm")</f>
        <v>January</v>
      </c>
      <c r="V197" s="284">
        <f>Table626893456791011121314[[#This Row],[Offer Value]]-Table626893456791011121314[[#This Row],[PO Value]]</f>
        <v>0</v>
      </c>
      <c r="W197" s="106"/>
      <c r="X197" s="106"/>
      <c r="Y197" s="217"/>
      <c r="Z197" s="7"/>
      <c r="AA197" s="7"/>
    </row>
    <row r="198" spans="1:27" ht="18">
      <c r="A198" s="106"/>
      <c r="B198" s="106"/>
      <c r="C198" s="105"/>
      <c r="D198" s="105"/>
      <c r="E198" s="108"/>
      <c r="F198" s="105"/>
      <c r="G198" s="105"/>
      <c r="H198" s="248"/>
      <c r="I198" s="105"/>
      <c r="J198" s="115"/>
      <c r="K198" s="115"/>
      <c r="L198" s="366"/>
      <c r="M198" s="105"/>
      <c r="N198" s="106"/>
      <c r="O198" s="106"/>
      <c r="P198" s="106"/>
      <c r="Q198" s="109"/>
      <c r="R198" s="289"/>
      <c r="S198" s="107"/>
      <c r="T198" s="106"/>
      <c r="U198" s="106" t="str">
        <f>TEXT(Table626893456791011121314[[#This Row],[PO Date]], "mmmm")</f>
        <v>January</v>
      </c>
      <c r="V198" s="284">
        <f>Table626893456791011121314[[#This Row],[Offer Value]]-Table626893456791011121314[[#This Row],[PO Value]]</f>
        <v>0</v>
      </c>
      <c r="W198" s="106"/>
      <c r="X198" s="106"/>
      <c r="Y198" s="217"/>
      <c r="Z198" s="7"/>
      <c r="AA198" s="7"/>
    </row>
    <row r="199" spans="1:27" ht="18">
      <c r="A199" s="106"/>
      <c r="B199" s="106"/>
      <c r="C199" s="105"/>
      <c r="D199" s="105"/>
      <c r="E199" s="108"/>
      <c r="F199" s="105"/>
      <c r="G199" s="105"/>
      <c r="H199" s="248"/>
      <c r="I199" s="105"/>
      <c r="J199" s="115"/>
      <c r="K199" s="115"/>
      <c r="L199" s="366"/>
      <c r="M199" s="105"/>
      <c r="N199" s="106"/>
      <c r="O199" s="106"/>
      <c r="P199" s="106"/>
      <c r="Q199" s="109"/>
      <c r="R199" s="256"/>
      <c r="S199" s="107"/>
      <c r="T199" s="106"/>
      <c r="U199" s="106" t="str">
        <f>TEXT(Table626893456791011121314[[#This Row],[PO Date]], "mmmm")</f>
        <v>January</v>
      </c>
      <c r="V199" s="284">
        <f>Table626893456791011121314[[#This Row],[Offer Value]]-Table626893456791011121314[[#This Row],[PO Value]]</f>
        <v>0</v>
      </c>
      <c r="W199" s="106"/>
      <c r="X199" s="106"/>
      <c r="Y199" s="617"/>
      <c r="Z199" s="7"/>
      <c r="AA199" s="7"/>
    </row>
    <row r="200" spans="1:27" ht="18">
      <c r="A200" s="106"/>
      <c r="B200" s="106"/>
      <c r="C200" s="105"/>
      <c r="D200" s="105"/>
      <c r="E200" s="108"/>
      <c r="F200" s="105"/>
      <c r="G200" s="105"/>
      <c r="H200" s="248"/>
      <c r="I200" s="105"/>
      <c r="J200" s="115"/>
      <c r="K200" s="115"/>
      <c r="L200" s="366"/>
      <c r="M200" s="105"/>
      <c r="N200" s="106"/>
      <c r="O200" s="106"/>
      <c r="P200" s="106"/>
      <c r="Q200" s="109"/>
      <c r="R200" s="289"/>
      <c r="S200" s="107"/>
      <c r="T200" s="106"/>
      <c r="U200" s="106" t="str">
        <f>TEXT(Table626893456791011121314[[#This Row],[PO Date]], "mmmm")</f>
        <v>January</v>
      </c>
      <c r="V200" s="284">
        <f>Table626893456791011121314[[#This Row],[Offer Value]]-Table626893456791011121314[[#This Row],[PO Value]]</f>
        <v>0</v>
      </c>
      <c r="W200" s="106"/>
      <c r="X200" s="106"/>
      <c r="Y200" s="217"/>
      <c r="Z200" s="7"/>
      <c r="AA200" s="7"/>
    </row>
    <row r="201" spans="1:27" ht="18">
      <c r="A201" s="106"/>
      <c r="B201" s="106"/>
      <c r="C201" s="105"/>
      <c r="D201" s="105"/>
      <c r="E201" s="105"/>
      <c r="F201" s="105"/>
      <c r="G201" s="105"/>
      <c r="H201" s="250"/>
      <c r="I201" s="105"/>
      <c r="J201" s="115"/>
      <c r="K201" s="115"/>
      <c r="L201" s="366"/>
      <c r="M201" s="116"/>
      <c r="N201" s="106"/>
      <c r="O201" s="106"/>
      <c r="P201" s="106"/>
      <c r="Q201" s="109"/>
      <c r="R201" s="256"/>
      <c r="S201" s="107"/>
      <c r="T201" s="106"/>
      <c r="U201" s="106" t="str">
        <f>TEXT(Table626893456791011121314[[#This Row],[PO Date]], "mmmm")</f>
        <v>January</v>
      </c>
      <c r="V201" s="284">
        <f>Table626893456791011121314[[#This Row],[Offer Value]]-Table626893456791011121314[[#This Row],[PO Value]]</f>
        <v>0</v>
      </c>
      <c r="W201" s="106"/>
      <c r="X201" s="106"/>
      <c r="Y201" s="617"/>
      <c r="Z201" s="7"/>
      <c r="AA201" s="7"/>
    </row>
    <row r="202" spans="1:27" ht="18">
      <c r="A202" s="106"/>
      <c r="B202" s="106"/>
      <c r="C202" s="105"/>
      <c r="D202" s="105"/>
      <c r="E202" s="304"/>
      <c r="F202" s="304"/>
      <c r="G202" s="304"/>
      <c r="H202" s="182"/>
      <c r="I202" s="304"/>
      <c r="J202" s="115"/>
      <c r="K202" s="115"/>
      <c r="L202" s="366"/>
      <c r="M202" s="105"/>
      <c r="N202" s="106"/>
      <c r="O202" s="106"/>
      <c r="P202" s="106"/>
      <c r="Q202" s="109"/>
      <c r="R202" s="289"/>
      <c r="S202" s="107"/>
      <c r="T202" s="106"/>
      <c r="U202" s="106" t="str">
        <f>TEXT(Table626893456791011121314[[#This Row],[PO Date]], "mmmm")</f>
        <v>January</v>
      </c>
      <c r="V202" s="284">
        <f>Table626893456791011121314[[#This Row],[Offer Value]]-Table626893456791011121314[[#This Row],[PO Value]]</f>
        <v>0</v>
      </c>
      <c r="W202" s="110"/>
      <c r="X202" s="110"/>
      <c r="Y202" s="217"/>
      <c r="Z202" s="7"/>
      <c r="AA202" s="7"/>
    </row>
    <row r="203" spans="1:27" ht="18">
      <c r="A203" s="106"/>
      <c r="B203" s="106"/>
      <c r="C203" s="105"/>
      <c r="D203" s="105"/>
      <c r="E203" s="105"/>
      <c r="F203" s="105"/>
      <c r="G203" s="105"/>
      <c r="H203" s="248"/>
      <c r="I203" s="105"/>
      <c r="J203" s="115"/>
      <c r="K203" s="115"/>
      <c r="L203" s="366"/>
      <c r="M203" s="105"/>
      <c r="N203" s="106"/>
      <c r="O203" s="106"/>
      <c r="P203" s="106"/>
      <c r="Q203" s="109"/>
      <c r="R203" s="289"/>
      <c r="S203" s="107"/>
      <c r="T203" s="106"/>
      <c r="U203" s="106" t="str">
        <f>TEXT(Table626893456791011121314[[#This Row],[PO Date]], "mmmm")</f>
        <v>January</v>
      </c>
      <c r="V203" s="284">
        <f>Table626893456791011121314[[#This Row],[Offer Value]]-Table626893456791011121314[[#This Row],[PO Value]]</f>
        <v>0</v>
      </c>
      <c r="W203" s="106"/>
      <c r="X203" s="106"/>
      <c r="Y203" s="217"/>
      <c r="Z203" s="7"/>
      <c r="AA203" s="7"/>
    </row>
    <row r="204" spans="1:27" ht="18">
      <c r="A204" s="106"/>
      <c r="B204" s="106"/>
      <c r="C204" s="105"/>
      <c r="D204" s="105"/>
      <c r="E204" s="105"/>
      <c r="F204" s="105"/>
      <c r="G204" s="105"/>
      <c r="H204" s="248"/>
      <c r="I204" s="105"/>
      <c r="J204" s="115"/>
      <c r="K204" s="115"/>
      <c r="L204" s="366"/>
      <c r="M204" s="116"/>
      <c r="N204" s="106"/>
      <c r="O204" s="106"/>
      <c r="P204" s="106"/>
      <c r="Q204" s="109"/>
      <c r="R204" s="289"/>
      <c r="S204" s="107"/>
      <c r="T204" s="106"/>
      <c r="U204" s="106" t="str">
        <f>TEXT(Table626893456791011121314[[#This Row],[PO Date]], "mmmm")</f>
        <v>January</v>
      </c>
      <c r="V204" s="284">
        <f>Table626893456791011121314[[#This Row],[Offer Value]]-Table626893456791011121314[[#This Row],[PO Value]]</f>
        <v>0</v>
      </c>
      <c r="W204" s="106"/>
      <c r="X204" s="106"/>
      <c r="Y204" s="217"/>
      <c r="Z204" s="7"/>
      <c r="AA204" s="7"/>
    </row>
    <row r="205" spans="1:27" ht="15.6">
      <c r="A205" s="106"/>
      <c r="B205" s="106"/>
      <c r="C205" s="105"/>
      <c r="D205" s="105"/>
      <c r="E205" s="105"/>
      <c r="F205" s="105"/>
      <c r="G205" s="105"/>
      <c r="H205" s="248"/>
      <c r="I205" s="105"/>
      <c r="J205" s="115"/>
      <c r="K205" s="115"/>
      <c r="L205" s="105"/>
      <c r="M205" s="105"/>
      <c r="N205" s="106"/>
      <c r="O205" s="106"/>
      <c r="P205" s="106"/>
      <c r="Q205" s="109"/>
      <c r="R205" s="256"/>
      <c r="S205" s="107"/>
      <c r="T205" s="106"/>
      <c r="U205" s="106" t="str">
        <f>TEXT(Table626893456791011121314[[#This Row],[PO Date]], "mmmm")</f>
        <v>January</v>
      </c>
      <c r="V205" s="284">
        <f>Table626893456791011121314[[#This Row],[Offer Value]]-Table626893456791011121314[[#This Row],[PO Value]]</f>
        <v>0</v>
      </c>
      <c r="W205" s="106"/>
      <c r="X205" s="106"/>
      <c r="Y205" s="617"/>
      <c r="Z205" s="7"/>
      <c r="AA205" s="7"/>
    </row>
    <row r="206" spans="1:27" ht="15.6">
      <c r="A206" s="106"/>
      <c r="B206" s="106"/>
      <c r="C206" s="105"/>
      <c r="D206" s="105"/>
      <c r="E206" s="105"/>
      <c r="F206" s="105"/>
      <c r="G206" s="105"/>
      <c r="H206" s="248"/>
      <c r="I206" s="105"/>
      <c r="J206" s="115"/>
      <c r="K206" s="115"/>
      <c r="L206" s="105"/>
      <c r="M206" s="105"/>
      <c r="N206" s="106"/>
      <c r="O206" s="106"/>
      <c r="P206" s="106"/>
      <c r="Q206" s="109"/>
      <c r="R206" s="289"/>
      <c r="S206" s="107"/>
      <c r="T206" s="106"/>
      <c r="U206" s="106" t="str">
        <f>TEXT(Table626893456791011121314[[#This Row],[PO Date]], "mmmm")</f>
        <v>January</v>
      </c>
      <c r="V206" s="284">
        <f>Table626893456791011121314[[#This Row],[Offer Value]]-Table626893456791011121314[[#This Row],[PO Value]]</f>
        <v>0</v>
      </c>
      <c r="W206" s="106"/>
      <c r="X206" s="106"/>
      <c r="Y206" s="217"/>
      <c r="Z206" s="7"/>
      <c r="AA206" s="7"/>
    </row>
    <row r="207" spans="1:27" ht="15.6">
      <c r="A207" s="106"/>
      <c r="B207" s="106"/>
      <c r="C207" s="105"/>
      <c r="D207" s="105"/>
      <c r="E207" s="105"/>
      <c r="F207" s="105"/>
      <c r="G207" s="105"/>
      <c r="H207" s="248"/>
      <c r="I207" s="105"/>
      <c r="J207" s="115"/>
      <c r="K207" s="115"/>
      <c r="L207" s="105"/>
      <c r="M207" s="105"/>
      <c r="N207" s="106"/>
      <c r="O207" s="106"/>
      <c r="P207" s="106"/>
      <c r="Q207" s="109"/>
      <c r="R207" s="289"/>
      <c r="S207" s="107"/>
      <c r="T207" s="106"/>
      <c r="U207" s="106" t="str">
        <f>TEXT(Table626893456791011121314[[#This Row],[PO Date]], "mmmm")</f>
        <v>January</v>
      </c>
      <c r="V207" s="284">
        <f>Table626893456791011121314[[#This Row],[Offer Value]]-Table626893456791011121314[[#This Row],[PO Value]]</f>
        <v>0</v>
      </c>
      <c r="W207" s="106"/>
      <c r="X207" s="106"/>
      <c r="Y207" s="217"/>
      <c r="Z207" s="7"/>
      <c r="AA207" s="7"/>
    </row>
    <row r="208" spans="1:27" ht="18">
      <c r="A208" s="106"/>
      <c r="B208" s="106"/>
      <c r="C208" s="105"/>
      <c r="D208" s="105"/>
      <c r="E208" s="108"/>
      <c r="F208" s="108"/>
      <c r="G208" s="108"/>
      <c r="H208" s="251"/>
      <c r="I208" s="105"/>
      <c r="J208" s="115"/>
      <c r="K208" s="115"/>
      <c r="L208" s="366"/>
      <c r="M208" s="105"/>
      <c r="N208" s="106"/>
      <c r="O208" s="106"/>
      <c r="P208" s="106"/>
      <c r="Q208" s="109"/>
      <c r="R208" s="289"/>
      <c r="S208" s="107"/>
      <c r="T208" s="106"/>
      <c r="U208" s="106" t="str">
        <f>TEXT(Table626893456791011121314[[#This Row],[PO Date]], "mmmm")</f>
        <v>January</v>
      </c>
      <c r="V208" s="284">
        <f>Table626893456791011121314[[#This Row],[Offer Value]]-Table626893456791011121314[[#This Row],[PO Value]]</f>
        <v>0</v>
      </c>
      <c r="W208" s="106"/>
      <c r="X208" s="106"/>
      <c r="Y208" s="217"/>
      <c r="Z208" s="7"/>
      <c r="AA208" s="7"/>
    </row>
    <row r="209" spans="1:27" ht="18">
      <c r="A209" s="106"/>
      <c r="B209" s="106"/>
      <c r="C209" s="105"/>
      <c r="D209" s="105"/>
      <c r="E209" s="108"/>
      <c r="F209" s="108"/>
      <c r="G209" s="108"/>
      <c r="H209" s="251"/>
      <c r="I209" s="108"/>
      <c r="J209" s="115"/>
      <c r="K209" s="115"/>
      <c r="L209" s="366"/>
      <c r="M209" s="105"/>
      <c r="N209" s="106"/>
      <c r="O209" s="106"/>
      <c r="P209" s="106"/>
      <c r="Q209" s="109"/>
      <c r="R209" s="289"/>
      <c r="S209" s="107"/>
      <c r="T209" s="106"/>
      <c r="U209" s="106" t="str">
        <f>TEXT(Table626893456791011121314[[#This Row],[PO Date]], "mmmm")</f>
        <v>January</v>
      </c>
      <c r="V209" s="284">
        <f>Table626893456791011121314[[#This Row],[Offer Value]]-Table626893456791011121314[[#This Row],[PO Value]]</f>
        <v>0</v>
      </c>
      <c r="W209" s="106"/>
      <c r="X209" s="106"/>
      <c r="Y209" s="217"/>
      <c r="Z209" s="7"/>
      <c r="AA209" s="7"/>
    </row>
    <row r="210" spans="1:27" ht="18">
      <c r="A210" s="106"/>
      <c r="B210" s="106"/>
      <c r="C210" s="105"/>
      <c r="D210" s="105"/>
      <c r="E210" s="105"/>
      <c r="F210" s="105"/>
      <c r="G210" s="105"/>
      <c r="H210" s="250"/>
      <c r="I210" s="105"/>
      <c r="J210" s="115"/>
      <c r="K210" s="115"/>
      <c r="L210" s="366"/>
      <c r="M210" s="105"/>
      <c r="N210" s="106"/>
      <c r="O210" s="106"/>
      <c r="P210" s="106"/>
      <c r="Q210" s="109"/>
      <c r="R210" s="256"/>
      <c r="S210" s="107"/>
      <c r="T210" s="106"/>
      <c r="U210" s="106" t="str">
        <f>TEXT(Table626893456791011121314[[#This Row],[PO Date]], "mmmm")</f>
        <v>January</v>
      </c>
      <c r="V210" s="284">
        <f>Table626893456791011121314[[#This Row],[Offer Value]]-Table626893456791011121314[[#This Row],[PO Value]]</f>
        <v>0</v>
      </c>
      <c r="W210" s="106"/>
      <c r="X210" s="106"/>
      <c r="Y210" s="617"/>
      <c r="Z210" s="7"/>
      <c r="AA210" s="7"/>
    </row>
    <row r="211" spans="1:27" ht="18">
      <c r="A211" s="106"/>
      <c r="B211" s="106"/>
      <c r="C211" s="105"/>
      <c r="D211" s="105"/>
      <c r="E211" s="105"/>
      <c r="F211" s="105"/>
      <c r="G211" s="105"/>
      <c r="H211" s="250"/>
      <c r="I211" s="105"/>
      <c r="J211" s="115"/>
      <c r="K211" s="115"/>
      <c r="L211" s="366"/>
      <c r="M211" s="105"/>
      <c r="N211" s="106"/>
      <c r="O211" s="106"/>
      <c r="P211" s="106"/>
      <c r="Q211" s="109"/>
      <c r="R211" s="256"/>
      <c r="S211" s="107"/>
      <c r="T211" s="106"/>
      <c r="U211" s="106" t="str">
        <f>TEXT(Table626893456791011121314[[#This Row],[PO Date]], "mmmm")</f>
        <v>January</v>
      </c>
      <c r="V211" s="284">
        <f>Table626893456791011121314[[#This Row],[Offer Value]]-Table626893456791011121314[[#This Row],[PO Value]]</f>
        <v>0</v>
      </c>
      <c r="W211" s="106"/>
      <c r="X211" s="106"/>
      <c r="Y211" s="217"/>
      <c r="Z211" s="7"/>
      <c r="AA211" s="7"/>
    </row>
    <row r="212" spans="1:27" ht="18">
      <c r="A212" s="106"/>
      <c r="B212" s="106"/>
      <c r="C212" s="105"/>
      <c r="D212" s="105"/>
      <c r="E212" s="105"/>
      <c r="F212" s="105"/>
      <c r="G212" s="105"/>
      <c r="H212" s="250"/>
      <c r="I212" s="105"/>
      <c r="J212" s="115"/>
      <c r="K212" s="115"/>
      <c r="L212" s="366"/>
      <c r="M212" s="105"/>
      <c r="N212" s="106"/>
      <c r="O212" s="106"/>
      <c r="P212" s="106"/>
      <c r="Q212" s="109"/>
      <c r="R212" s="256"/>
      <c r="S212" s="107"/>
      <c r="T212" s="106"/>
      <c r="U212" s="106" t="str">
        <f>TEXT(Table626893456791011121314[[#This Row],[PO Date]], "mmmm")</f>
        <v>January</v>
      </c>
      <c r="V212" s="284">
        <f>Table626893456791011121314[[#This Row],[Offer Value]]-Table626893456791011121314[[#This Row],[PO Value]]</f>
        <v>0</v>
      </c>
      <c r="W212" s="106"/>
      <c r="X212" s="106"/>
      <c r="Y212" s="217"/>
      <c r="Z212" s="7"/>
      <c r="AA212" s="7"/>
    </row>
    <row r="213" spans="1:27" ht="18">
      <c r="A213" s="106"/>
      <c r="B213" s="106"/>
      <c r="C213" s="105"/>
      <c r="D213" s="105"/>
      <c r="E213" s="108"/>
      <c r="F213" s="108"/>
      <c r="G213" s="108"/>
      <c r="H213" s="251"/>
      <c r="I213" s="108"/>
      <c r="J213" s="115"/>
      <c r="K213" s="115"/>
      <c r="L213" s="366"/>
      <c r="M213" s="105"/>
      <c r="N213" s="106"/>
      <c r="O213" s="106"/>
      <c r="P213" s="106"/>
      <c r="Q213" s="109"/>
      <c r="R213" s="256"/>
      <c r="S213" s="107"/>
      <c r="T213" s="106"/>
      <c r="U213" s="106" t="str">
        <f>TEXT(Table626893456791011121314[[#This Row],[PO Date]], "mmmm")</f>
        <v>January</v>
      </c>
      <c r="V213" s="284">
        <f>Table626893456791011121314[[#This Row],[Offer Value]]-Table626893456791011121314[[#This Row],[PO Value]]</f>
        <v>0</v>
      </c>
      <c r="W213" s="106"/>
      <c r="X213" s="106"/>
      <c r="Y213" s="617"/>
      <c r="Z213" s="7"/>
      <c r="AA213" s="7"/>
    </row>
    <row r="214" spans="1:27" ht="18">
      <c r="A214" s="106"/>
      <c r="B214" s="106"/>
      <c r="C214" s="108"/>
      <c r="D214" s="108"/>
      <c r="E214" s="108"/>
      <c r="F214" s="108"/>
      <c r="G214" s="108"/>
      <c r="H214" s="251"/>
      <c r="I214" s="108"/>
      <c r="J214" s="115"/>
      <c r="K214" s="115"/>
      <c r="L214" s="366"/>
      <c r="M214" s="105"/>
      <c r="N214" s="106"/>
      <c r="O214" s="106"/>
      <c r="P214" s="106"/>
      <c r="Q214" s="109"/>
      <c r="R214" s="256"/>
      <c r="S214" s="107"/>
      <c r="T214" s="106"/>
      <c r="U214" s="106" t="str">
        <f>TEXT(Table626893456791011121314[[#This Row],[PO Date]], "mmmm")</f>
        <v>January</v>
      </c>
      <c r="V214" s="284">
        <f>Table626893456791011121314[[#This Row],[Offer Value]]-Table626893456791011121314[[#This Row],[PO Value]]</f>
        <v>0</v>
      </c>
      <c r="W214" s="106"/>
      <c r="X214" s="106"/>
      <c r="Y214" s="617"/>
      <c r="Z214" s="7"/>
      <c r="AA214" s="7"/>
    </row>
    <row r="215" spans="1:27" ht="18">
      <c r="A215" s="106"/>
      <c r="B215" s="106"/>
      <c r="C215" s="108"/>
      <c r="D215" s="108"/>
      <c r="E215" s="108"/>
      <c r="F215" s="108"/>
      <c r="G215" s="108"/>
      <c r="H215" s="251"/>
      <c r="I215" s="108"/>
      <c r="J215" s="115"/>
      <c r="K215" s="115"/>
      <c r="L215" s="366"/>
      <c r="M215" s="105"/>
      <c r="N215" s="106"/>
      <c r="O215" s="106"/>
      <c r="P215" s="106"/>
      <c r="Q215" s="109"/>
      <c r="R215" s="256"/>
      <c r="S215" s="107"/>
      <c r="T215" s="106"/>
      <c r="U215" s="106" t="str">
        <f>TEXT(Table626893456791011121314[[#This Row],[PO Date]], "mmmm")</f>
        <v>January</v>
      </c>
      <c r="V215" s="284">
        <f>Table626893456791011121314[[#This Row],[Offer Value]]-Table626893456791011121314[[#This Row],[PO Value]]</f>
        <v>0</v>
      </c>
      <c r="W215" s="106"/>
      <c r="X215" s="106"/>
      <c r="Y215" s="217"/>
      <c r="Z215" s="7"/>
      <c r="AA215" s="7"/>
    </row>
    <row r="216" spans="1:27" ht="18">
      <c r="A216" s="106"/>
      <c r="B216" s="106"/>
      <c r="C216" s="108"/>
      <c r="D216" s="108"/>
      <c r="E216" s="108"/>
      <c r="F216" s="108"/>
      <c r="G216" s="108"/>
      <c r="H216" s="251"/>
      <c r="I216" s="105"/>
      <c r="J216" s="115"/>
      <c r="K216" s="115"/>
      <c r="L216" s="366"/>
      <c r="M216" s="105"/>
      <c r="N216" s="106"/>
      <c r="O216" s="106"/>
      <c r="P216" s="106"/>
      <c r="Q216" s="109"/>
      <c r="R216" s="256"/>
      <c r="S216" s="107"/>
      <c r="T216" s="106"/>
      <c r="U216" s="106" t="str">
        <f>TEXT(Table626893456791011121314[[#This Row],[PO Date]], "mmmm")</f>
        <v>January</v>
      </c>
      <c r="V216" s="284">
        <f>Table626893456791011121314[[#This Row],[Offer Value]]-Table626893456791011121314[[#This Row],[PO Value]]</f>
        <v>0</v>
      </c>
      <c r="W216" s="106"/>
      <c r="X216" s="106"/>
      <c r="Y216" s="617"/>
      <c r="Z216" s="7"/>
      <c r="AA216" s="7"/>
    </row>
    <row r="217" spans="1:27" ht="18">
      <c r="A217" s="106"/>
      <c r="B217" s="106"/>
      <c r="C217" s="108"/>
      <c r="D217" s="108"/>
      <c r="E217" s="108"/>
      <c r="F217" s="108"/>
      <c r="G217" s="108"/>
      <c r="H217" s="251"/>
      <c r="I217" s="105"/>
      <c r="J217" s="115"/>
      <c r="K217" s="115"/>
      <c r="L217" s="366"/>
      <c r="M217" s="105"/>
      <c r="N217" s="106"/>
      <c r="O217" s="106"/>
      <c r="P217" s="106"/>
      <c r="Q217" s="109"/>
      <c r="R217" s="256"/>
      <c r="S217" s="107"/>
      <c r="T217" s="106"/>
      <c r="U217" s="106" t="str">
        <f>TEXT(Table626893456791011121314[[#This Row],[PO Date]], "mmmm")</f>
        <v>January</v>
      </c>
      <c r="V217" s="284">
        <f>Table626893456791011121314[[#This Row],[Offer Value]]-Table626893456791011121314[[#This Row],[PO Value]]</f>
        <v>0</v>
      </c>
      <c r="W217" s="106"/>
      <c r="X217" s="106"/>
      <c r="Y217" s="617"/>
      <c r="Z217" s="7"/>
      <c r="AA217" s="7"/>
    </row>
    <row r="218" spans="1:27" ht="18">
      <c r="A218" s="106"/>
      <c r="B218" s="106"/>
      <c r="C218" s="108"/>
      <c r="D218" s="108"/>
      <c r="E218" s="108"/>
      <c r="F218" s="108"/>
      <c r="G218" s="108"/>
      <c r="H218" s="251"/>
      <c r="I218" s="105"/>
      <c r="J218" s="115"/>
      <c r="K218" s="115"/>
      <c r="L218" s="366"/>
      <c r="M218" s="105"/>
      <c r="N218" s="106"/>
      <c r="O218" s="106"/>
      <c r="P218" s="106"/>
      <c r="Q218" s="109"/>
      <c r="R218" s="256"/>
      <c r="S218" s="107"/>
      <c r="T218" s="106"/>
      <c r="U218" s="106" t="str">
        <f>TEXT(Table626893456791011121314[[#This Row],[PO Date]], "mmmm")</f>
        <v>January</v>
      </c>
      <c r="V218" s="284">
        <f>Table626893456791011121314[[#This Row],[Offer Value]]-Table626893456791011121314[[#This Row],[PO Value]]</f>
        <v>0</v>
      </c>
      <c r="W218" s="106"/>
      <c r="X218" s="106"/>
      <c r="Y218" s="617"/>
      <c r="Z218" s="7"/>
      <c r="AA218" s="7"/>
    </row>
    <row r="219" spans="1:27" ht="18">
      <c r="A219" s="106"/>
      <c r="B219" s="106"/>
      <c r="C219" s="304"/>
      <c r="D219" s="303"/>
      <c r="E219" s="304"/>
      <c r="F219" s="304"/>
      <c r="G219" s="304"/>
      <c r="H219" s="182"/>
      <c r="I219" s="304"/>
      <c r="J219" s="115"/>
      <c r="K219" s="115"/>
      <c r="L219" s="366"/>
      <c r="M219" s="116"/>
      <c r="N219" s="106"/>
      <c r="O219" s="106"/>
      <c r="P219" s="106"/>
      <c r="Q219" s="109"/>
      <c r="R219" s="289"/>
      <c r="S219" s="107"/>
      <c r="T219" s="106"/>
      <c r="U219" s="106" t="str">
        <f>TEXT(Table626893456791011121314[[#This Row],[PO Date]], "mmmm")</f>
        <v>January</v>
      </c>
      <c r="V219" s="284">
        <f>Table626893456791011121314[[#This Row],[Offer Value]]-Table626893456791011121314[[#This Row],[PO Value]]</f>
        <v>0</v>
      </c>
      <c r="W219" s="106"/>
      <c r="X219" s="106"/>
      <c r="Y219" s="217"/>
      <c r="Z219" s="7"/>
      <c r="AA219" s="7"/>
    </row>
    <row r="220" spans="1:27" ht="18">
      <c r="A220" s="106"/>
      <c r="B220" s="107"/>
      <c r="C220" s="304"/>
      <c r="D220" s="303"/>
      <c r="E220" s="304"/>
      <c r="F220" s="304"/>
      <c r="G220" s="304"/>
      <c r="H220" s="182"/>
      <c r="I220" s="304"/>
      <c r="J220" s="115"/>
      <c r="K220" s="115"/>
      <c r="L220" s="366"/>
      <c r="M220" s="116"/>
      <c r="N220" s="106"/>
      <c r="O220" s="106"/>
      <c r="P220" s="106"/>
      <c r="Q220" s="109"/>
      <c r="R220" s="289"/>
      <c r="S220" s="107"/>
      <c r="T220" s="106"/>
      <c r="U220" s="106" t="str">
        <f>TEXT(Table626893456791011121314[[#This Row],[PO Date]], "mmmm")</f>
        <v>January</v>
      </c>
      <c r="V220" s="284">
        <f>Table626893456791011121314[[#This Row],[Offer Value]]-Table626893456791011121314[[#This Row],[PO Value]]</f>
        <v>0</v>
      </c>
      <c r="W220" s="106"/>
      <c r="X220" s="106"/>
      <c r="Y220" s="217"/>
      <c r="Z220" s="7"/>
      <c r="AA220" s="7"/>
    </row>
    <row r="221" spans="1:27" ht="18">
      <c r="A221" s="106"/>
      <c r="B221" s="107"/>
      <c r="C221" s="304"/>
      <c r="D221" s="303"/>
      <c r="E221" s="304"/>
      <c r="F221" s="304"/>
      <c r="G221" s="304"/>
      <c r="H221" s="182"/>
      <c r="I221" s="304"/>
      <c r="J221" s="115"/>
      <c r="K221" s="115"/>
      <c r="L221" s="366"/>
      <c r="M221" s="116"/>
      <c r="N221" s="106"/>
      <c r="O221" s="106"/>
      <c r="P221" s="106"/>
      <c r="Q221" s="109"/>
      <c r="R221" s="289"/>
      <c r="S221" s="107"/>
      <c r="T221" s="106"/>
      <c r="U221" s="106" t="str">
        <f>TEXT(Table626893456791011121314[[#This Row],[PO Date]], "mmmm")</f>
        <v>January</v>
      </c>
      <c r="V221" s="284">
        <f>Table626893456791011121314[[#This Row],[Offer Value]]-Table626893456791011121314[[#This Row],[PO Value]]</f>
        <v>0</v>
      </c>
      <c r="W221" s="106"/>
      <c r="X221" s="106"/>
      <c r="Y221" s="217"/>
      <c r="Z221" s="7"/>
      <c r="AA221" s="7"/>
    </row>
    <row r="222" spans="1:27" ht="18">
      <c r="A222" s="106"/>
      <c r="B222" s="107"/>
      <c r="C222" s="304"/>
      <c r="D222" s="303"/>
      <c r="E222" s="304"/>
      <c r="F222" s="304"/>
      <c r="G222" s="304"/>
      <c r="H222" s="182"/>
      <c r="I222" s="304"/>
      <c r="J222" s="115"/>
      <c r="K222" s="115"/>
      <c r="L222" s="366"/>
      <c r="M222" s="116"/>
      <c r="N222" s="106"/>
      <c r="O222" s="106"/>
      <c r="P222" s="106"/>
      <c r="Q222" s="109"/>
      <c r="R222" s="289"/>
      <c r="S222" s="107"/>
      <c r="T222" s="106"/>
      <c r="U222" s="106" t="str">
        <f>TEXT(Table626893456791011121314[[#This Row],[PO Date]], "mmmm")</f>
        <v>January</v>
      </c>
      <c r="V222" s="284">
        <f>Table626893456791011121314[[#This Row],[Offer Value]]-Table626893456791011121314[[#This Row],[PO Value]]</f>
        <v>0</v>
      </c>
      <c r="W222" s="106"/>
      <c r="X222" s="106"/>
      <c r="Y222" s="217"/>
      <c r="Z222" s="7"/>
      <c r="AA222" s="7"/>
    </row>
    <row r="223" spans="1:27" ht="18">
      <c r="A223" s="106"/>
      <c r="B223" s="107"/>
      <c r="C223" s="304"/>
      <c r="D223" s="303"/>
      <c r="E223" s="304"/>
      <c r="F223" s="304"/>
      <c r="G223" s="304"/>
      <c r="H223" s="182"/>
      <c r="I223" s="304"/>
      <c r="J223" s="115"/>
      <c r="K223" s="115"/>
      <c r="L223" s="366"/>
      <c r="M223" s="116"/>
      <c r="N223" s="106"/>
      <c r="O223" s="106"/>
      <c r="P223" s="106"/>
      <c r="Q223" s="109"/>
      <c r="R223" s="289"/>
      <c r="S223" s="107"/>
      <c r="T223" s="106"/>
      <c r="U223" s="106" t="str">
        <f>TEXT(Table626893456791011121314[[#This Row],[PO Date]], "mmmm")</f>
        <v>January</v>
      </c>
      <c r="V223" s="284">
        <f>Table626893456791011121314[[#This Row],[Offer Value]]-Table626893456791011121314[[#This Row],[PO Value]]</f>
        <v>0</v>
      </c>
      <c r="W223" s="106"/>
      <c r="X223" s="106"/>
      <c r="Y223" s="217"/>
      <c r="Z223" s="7"/>
      <c r="AA223" s="7"/>
    </row>
    <row r="224" spans="1:27" ht="18">
      <c r="A224" s="106"/>
      <c r="B224" s="106"/>
      <c r="C224" s="105"/>
      <c r="D224" s="108"/>
      <c r="E224" s="108"/>
      <c r="F224" s="108"/>
      <c r="G224" s="108"/>
      <c r="H224" s="251"/>
      <c r="I224" s="105"/>
      <c r="J224" s="115"/>
      <c r="K224" s="366"/>
      <c r="L224" s="366"/>
      <c r="M224" s="105"/>
      <c r="N224" s="106"/>
      <c r="O224" s="106"/>
      <c r="P224" s="106"/>
      <c r="Q224" s="109"/>
      <c r="R224" s="256"/>
      <c r="S224" s="107"/>
      <c r="T224" s="106"/>
      <c r="U224" s="106" t="str">
        <f>TEXT(Table626893456791011121314[[#This Row],[PO Date]], "mmmm")</f>
        <v>January</v>
      </c>
      <c r="V224" s="284">
        <f>Table626893456791011121314[[#This Row],[Offer Value]]-Table626893456791011121314[[#This Row],[PO Value]]</f>
        <v>0</v>
      </c>
      <c r="W224" s="106"/>
      <c r="X224" s="106"/>
      <c r="Y224" s="617"/>
      <c r="Z224" s="7"/>
      <c r="AA224" s="7"/>
    </row>
    <row r="225" spans="1:27" ht="18">
      <c r="A225" s="106"/>
      <c r="B225" s="107"/>
      <c r="C225" s="105"/>
      <c r="D225" s="108"/>
      <c r="E225" s="108"/>
      <c r="F225" s="108"/>
      <c r="G225" s="108"/>
      <c r="H225" s="251"/>
      <c r="I225" s="105"/>
      <c r="J225" s="115"/>
      <c r="K225" s="115"/>
      <c r="L225" s="366"/>
      <c r="M225" s="105"/>
      <c r="N225" s="106"/>
      <c r="O225" s="106"/>
      <c r="P225" s="106"/>
      <c r="Q225" s="109"/>
      <c r="R225" s="256"/>
      <c r="S225" s="107"/>
      <c r="T225" s="106"/>
      <c r="U225" s="106" t="str">
        <f>TEXT(Table626893456791011121314[[#This Row],[PO Date]], "mmmm")</f>
        <v>January</v>
      </c>
      <c r="V225" s="284">
        <f>Table626893456791011121314[[#This Row],[Offer Value]]-Table626893456791011121314[[#This Row],[PO Value]]</f>
        <v>0</v>
      </c>
      <c r="W225" s="106"/>
      <c r="X225" s="106"/>
      <c r="Y225" s="617"/>
      <c r="Z225" s="7"/>
      <c r="AA225" s="7"/>
    </row>
    <row r="226" spans="1:27" ht="18">
      <c r="A226" s="106"/>
      <c r="B226" s="106"/>
      <c r="C226" s="105"/>
      <c r="D226" s="108"/>
      <c r="E226" s="108"/>
      <c r="F226" s="108"/>
      <c r="G226" s="108"/>
      <c r="H226" s="251"/>
      <c r="I226" s="105"/>
      <c r="J226" s="115"/>
      <c r="K226" s="115"/>
      <c r="L226" s="366"/>
      <c r="M226" s="105"/>
      <c r="N226" s="106"/>
      <c r="O226" s="106"/>
      <c r="P226" s="106"/>
      <c r="Q226" s="109"/>
      <c r="R226" s="289"/>
      <c r="S226" s="107"/>
      <c r="T226" s="106"/>
      <c r="U226" s="106" t="str">
        <f>TEXT(Table626893456791011121314[[#This Row],[PO Date]], "mmmm")</f>
        <v>January</v>
      </c>
      <c r="V226" s="284">
        <f>Table626893456791011121314[[#This Row],[Offer Value]]-Table626893456791011121314[[#This Row],[PO Value]]</f>
        <v>0</v>
      </c>
      <c r="W226" s="106"/>
      <c r="X226" s="106"/>
      <c r="Y226" s="217"/>
      <c r="Z226" s="7"/>
      <c r="AA226" s="7"/>
    </row>
    <row r="227" spans="1:27" ht="15.6">
      <c r="A227" s="106"/>
      <c r="B227" s="106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16"/>
      <c r="N227" s="106"/>
      <c r="O227" s="106"/>
      <c r="P227" s="106"/>
      <c r="Q227" s="109"/>
      <c r="R227" s="289"/>
      <c r="S227" s="107"/>
      <c r="T227" s="106"/>
      <c r="U227" s="106" t="str">
        <f>TEXT(Table626893456791011121314[[#This Row],[PO Date]], "mmmm")</f>
        <v>January</v>
      </c>
      <c r="V227" s="284">
        <f>Table626893456791011121314[[#This Row],[Offer Value]]-Table626893456791011121314[[#This Row],[PO Value]]</f>
        <v>0</v>
      </c>
      <c r="W227" s="106"/>
      <c r="X227" s="106"/>
      <c r="Y227" s="217"/>
      <c r="Z227" s="7"/>
      <c r="AA227" s="7"/>
    </row>
    <row r="228" spans="1:27" ht="15.6">
      <c r="A228" s="106"/>
      <c r="B228" s="106"/>
      <c r="C228" s="105"/>
      <c r="D228" s="105"/>
      <c r="E228" s="105"/>
      <c r="F228" s="105"/>
      <c r="G228" s="105"/>
      <c r="H228" s="105"/>
      <c r="I228" s="105"/>
      <c r="J228" s="105"/>
      <c r="K228" s="105"/>
      <c r="L228" s="115"/>
      <c r="M228" s="116"/>
      <c r="N228" s="106"/>
      <c r="O228" s="106"/>
      <c r="P228" s="106"/>
      <c r="Q228" s="109"/>
      <c r="R228" s="256"/>
      <c r="S228" s="107"/>
      <c r="T228" s="106"/>
      <c r="U228" s="106" t="str">
        <f>TEXT(Table626893456791011121314[[#This Row],[PO Date]], "mmmm")</f>
        <v>January</v>
      </c>
      <c r="V228" s="284">
        <f>Table626893456791011121314[[#This Row],[Offer Value]]-Table626893456791011121314[[#This Row],[PO Value]]</f>
        <v>0</v>
      </c>
      <c r="W228" s="106"/>
      <c r="X228" s="106"/>
      <c r="Y228" s="617"/>
      <c r="Z228" s="7"/>
      <c r="AA228" s="7"/>
    </row>
    <row r="229" spans="1:27" ht="15.6">
      <c r="A229" s="106"/>
      <c r="B229" s="106"/>
      <c r="C229" s="105"/>
      <c r="D229" s="105"/>
      <c r="E229" s="105"/>
      <c r="F229" s="105"/>
      <c r="G229" s="105"/>
      <c r="H229" s="105"/>
      <c r="I229" s="105"/>
      <c r="J229" s="115"/>
      <c r="K229" s="115"/>
      <c r="L229" s="105"/>
      <c r="M229" s="105"/>
      <c r="N229" s="106"/>
      <c r="O229" s="106"/>
      <c r="P229" s="106"/>
      <c r="Q229" s="109"/>
      <c r="R229" s="289"/>
      <c r="S229" s="107"/>
      <c r="T229" s="106"/>
      <c r="U229" s="106" t="str">
        <f>TEXT(Table626893456791011121314[[#This Row],[PO Date]], "mmmm")</f>
        <v>January</v>
      </c>
      <c r="V229" s="284">
        <f>Table626893456791011121314[[#This Row],[Offer Value]]-Table626893456791011121314[[#This Row],[PO Value]]</f>
        <v>0</v>
      </c>
      <c r="W229" s="106"/>
      <c r="X229" s="106"/>
      <c r="Y229" s="217"/>
      <c r="Z229" s="7"/>
      <c r="AA229" s="7"/>
    </row>
    <row r="230" spans="1:27" ht="15.6">
      <c r="A230" s="106"/>
      <c r="B230" s="106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05"/>
      <c r="N230" s="106"/>
      <c r="O230" s="106"/>
      <c r="P230" s="106"/>
      <c r="Q230" s="109"/>
      <c r="R230" s="289"/>
      <c r="S230" s="107"/>
      <c r="T230" s="106"/>
      <c r="U230" s="106" t="str">
        <f>TEXT(Table626893456791011121314[[#This Row],[PO Date]], "mmmm")</f>
        <v>January</v>
      </c>
      <c r="V230" s="284">
        <f>Table626893456791011121314[[#This Row],[Offer Value]]-Table626893456791011121314[[#This Row],[PO Value]]</f>
        <v>0</v>
      </c>
      <c r="W230" s="106"/>
      <c r="X230" s="106"/>
      <c r="Y230" s="217"/>
      <c r="Z230" s="7"/>
      <c r="AA230" s="7"/>
    </row>
    <row r="231" spans="1:27" ht="15.6">
      <c r="A231" s="106"/>
      <c r="B231" s="106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05"/>
      <c r="N231" s="106"/>
      <c r="O231" s="106"/>
      <c r="P231" s="106"/>
      <c r="Q231" s="109"/>
      <c r="R231" s="289"/>
      <c r="S231" s="107"/>
      <c r="T231" s="106"/>
      <c r="U231" s="106" t="str">
        <f>TEXT(Table626893456791011121314[[#This Row],[PO Date]], "mmmm")</f>
        <v>January</v>
      </c>
      <c r="V231" s="284">
        <f>Table626893456791011121314[[#This Row],[Offer Value]]-Table626893456791011121314[[#This Row],[PO Value]]</f>
        <v>0</v>
      </c>
      <c r="W231" s="106"/>
      <c r="X231" s="106"/>
      <c r="Y231" s="217"/>
      <c r="Z231" s="7"/>
      <c r="AA231" s="7"/>
    </row>
    <row r="232" spans="1:27" ht="15.6">
      <c r="A232" s="106"/>
      <c r="B232" s="106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05"/>
      <c r="N232" s="106"/>
      <c r="O232" s="106"/>
      <c r="P232" s="106"/>
      <c r="Q232" s="109"/>
      <c r="R232" s="289"/>
      <c r="S232" s="107"/>
      <c r="T232" s="106"/>
      <c r="U232" s="106" t="str">
        <f>TEXT(Table626893456791011121314[[#This Row],[PO Date]], "mmmm")</f>
        <v>January</v>
      </c>
      <c r="V232" s="284">
        <f>Table626893456791011121314[[#This Row],[Offer Value]]-Table626893456791011121314[[#This Row],[PO Value]]</f>
        <v>0</v>
      </c>
      <c r="W232" s="106"/>
      <c r="X232" s="106"/>
      <c r="Y232" s="217"/>
      <c r="Z232" s="7"/>
      <c r="AA232" s="7"/>
    </row>
    <row r="233" spans="1:27" ht="15.6">
      <c r="A233" s="106"/>
      <c r="B233" s="106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05"/>
      <c r="N233" s="106"/>
      <c r="O233" s="106"/>
      <c r="P233" s="106"/>
      <c r="Q233" s="109"/>
      <c r="R233" s="256"/>
      <c r="S233" s="107"/>
      <c r="T233" s="106"/>
      <c r="U233" s="106" t="str">
        <f>TEXT(Table626893456791011121314[[#This Row],[PO Date]], "mmmm")</f>
        <v>January</v>
      </c>
      <c r="V233" s="284">
        <f>Table626893456791011121314[[#This Row],[Offer Value]]-Table626893456791011121314[[#This Row],[PO Value]]</f>
        <v>0</v>
      </c>
      <c r="W233" s="106"/>
      <c r="X233" s="106"/>
      <c r="Y233" s="617"/>
      <c r="Z233" s="7"/>
      <c r="AA233" s="7"/>
    </row>
    <row r="234" spans="1:27" ht="15.6">
      <c r="A234" s="106"/>
      <c r="B234" s="106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05"/>
      <c r="N234" s="106"/>
      <c r="O234" s="106"/>
      <c r="P234" s="106"/>
      <c r="Q234" s="109"/>
      <c r="R234" s="289"/>
      <c r="S234" s="107"/>
      <c r="T234" s="106"/>
      <c r="U234" s="106" t="str">
        <f>TEXT(Table626893456791011121314[[#This Row],[PO Date]], "mmmm")</f>
        <v>January</v>
      </c>
      <c r="V234" s="284">
        <f>Table626893456791011121314[[#This Row],[Offer Value]]-Table626893456791011121314[[#This Row],[PO Value]]</f>
        <v>0</v>
      </c>
      <c r="W234" s="106"/>
      <c r="X234" s="106"/>
      <c r="Y234" s="217"/>
      <c r="Z234" s="7"/>
      <c r="AA234" s="7"/>
    </row>
    <row r="235" spans="1:27" ht="15.6">
      <c r="A235" s="106"/>
      <c r="B235" s="106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05"/>
      <c r="N235" s="106"/>
      <c r="O235" s="106"/>
      <c r="P235" s="106"/>
      <c r="Q235" s="109"/>
      <c r="R235" s="256"/>
      <c r="S235" s="107"/>
      <c r="T235" s="106"/>
      <c r="U235" s="106" t="str">
        <f>TEXT(Table626893456791011121314[[#This Row],[PO Date]], "mmmm")</f>
        <v>January</v>
      </c>
      <c r="V235" s="284">
        <f>Table626893456791011121314[[#This Row],[Offer Value]]-Table626893456791011121314[[#This Row],[PO Value]]</f>
        <v>0</v>
      </c>
      <c r="W235" s="106"/>
      <c r="X235" s="106"/>
      <c r="Y235" s="617"/>
      <c r="Z235" s="7"/>
      <c r="AA235" s="7"/>
    </row>
    <row r="236" spans="1:27" ht="15.6">
      <c r="A236" s="106"/>
      <c r="B236" s="106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05"/>
      <c r="N236" s="106"/>
      <c r="O236" s="106"/>
      <c r="P236" s="106"/>
      <c r="Q236" s="109"/>
      <c r="R236" s="256"/>
      <c r="S236" s="107"/>
      <c r="T236" s="106"/>
      <c r="U236" s="106" t="str">
        <f>TEXT(Table626893456791011121314[[#This Row],[PO Date]], "mmmm")</f>
        <v>January</v>
      </c>
      <c r="V236" s="284">
        <f>Table626893456791011121314[[#This Row],[Offer Value]]-Table626893456791011121314[[#This Row],[PO Value]]</f>
        <v>0</v>
      </c>
      <c r="W236" s="106"/>
      <c r="X236" s="106"/>
      <c r="Y236" s="617"/>
      <c r="Z236" s="7"/>
      <c r="AA236" s="7"/>
    </row>
    <row r="237" spans="1:27" ht="15.6">
      <c r="A237" s="106"/>
      <c r="B237" s="106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16"/>
      <c r="N237" s="106"/>
      <c r="O237" s="106"/>
      <c r="P237" s="106"/>
      <c r="Q237" s="109"/>
      <c r="R237" s="289"/>
      <c r="S237" s="107"/>
      <c r="T237" s="106"/>
      <c r="U237" s="106" t="str">
        <f>TEXT(Table626893456791011121314[[#This Row],[PO Date]], "mmmm")</f>
        <v>January</v>
      </c>
      <c r="V237" s="284">
        <f>Table626893456791011121314[[#This Row],[Offer Value]]-Table626893456791011121314[[#This Row],[PO Value]]</f>
        <v>0</v>
      </c>
      <c r="W237" s="106"/>
      <c r="X237" s="106"/>
      <c r="Y237" s="217"/>
      <c r="Z237" s="7"/>
      <c r="AA237" s="7"/>
    </row>
    <row r="238" spans="1:27" ht="15.6">
      <c r="A238" s="106"/>
      <c r="B238" s="106"/>
      <c r="C238" s="105"/>
      <c r="D238" s="105"/>
      <c r="E238" s="105"/>
      <c r="F238" s="105"/>
      <c r="G238" s="105"/>
      <c r="H238" s="105"/>
      <c r="I238" s="105"/>
      <c r="J238" s="115"/>
      <c r="K238" s="115"/>
      <c r="L238" s="105"/>
      <c r="M238" s="105"/>
      <c r="N238" s="106"/>
      <c r="O238" s="106"/>
      <c r="P238" s="106"/>
      <c r="Q238" s="109"/>
      <c r="R238" s="289"/>
      <c r="S238" s="107"/>
      <c r="T238" s="106"/>
      <c r="U238" s="106" t="str">
        <f>TEXT(Table626893456791011121314[[#This Row],[PO Date]], "mmmm")</f>
        <v>January</v>
      </c>
      <c r="V238" s="284">
        <f>Table626893456791011121314[[#This Row],[Offer Value]]-Table626893456791011121314[[#This Row],[PO Value]]</f>
        <v>0</v>
      </c>
      <c r="W238" s="106"/>
      <c r="X238" s="106"/>
      <c r="Y238" s="217"/>
      <c r="Z238" s="7"/>
      <c r="AA238" s="7"/>
    </row>
    <row r="239" spans="1:27" ht="15.6">
      <c r="A239" s="106"/>
      <c r="B239" s="106"/>
      <c r="C239" s="105"/>
      <c r="D239" s="105"/>
      <c r="E239" s="105"/>
      <c r="F239" s="105"/>
      <c r="G239" s="105"/>
      <c r="H239" s="105"/>
      <c r="I239" s="105"/>
      <c r="J239" s="115"/>
      <c r="K239" s="115"/>
      <c r="L239" s="105"/>
      <c r="M239" s="105"/>
      <c r="N239" s="106"/>
      <c r="O239" s="106"/>
      <c r="P239" s="106"/>
      <c r="Q239" s="109"/>
      <c r="R239" s="256"/>
      <c r="S239" s="107"/>
      <c r="T239" s="106"/>
      <c r="U239" s="106" t="str">
        <f>TEXT(Table626893456791011121314[[#This Row],[PO Date]], "mmmm")</f>
        <v>January</v>
      </c>
      <c r="V239" s="284">
        <f>Table626893456791011121314[[#This Row],[Offer Value]]-Table626893456791011121314[[#This Row],[PO Value]]</f>
        <v>0</v>
      </c>
      <c r="W239" s="106"/>
      <c r="X239" s="106"/>
      <c r="Y239" s="617"/>
      <c r="Z239" s="7"/>
      <c r="AA239" s="7"/>
    </row>
    <row r="240" spans="1:27" ht="15.6">
      <c r="A240" s="106"/>
      <c r="B240" s="106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05"/>
      <c r="N240" s="106"/>
      <c r="O240" s="106"/>
      <c r="P240" s="106"/>
      <c r="Q240" s="109"/>
      <c r="R240" s="256"/>
      <c r="S240" s="107"/>
      <c r="T240" s="106"/>
      <c r="U240" s="106" t="str">
        <f>TEXT(Table626893456791011121314[[#This Row],[PO Date]], "mmmm")</f>
        <v>January</v>
      </c>
      <c r="V240" s="284">
        <f>Table626893456791011121314[[#This Row],[Offer Value]]-Table626893456791011121314[[#This Row],[PO Value]]</f>
        <v>0</v>
      </c>
      <c r="W240" s="106"/>
      <c r="X240" s="106"/>
      <c r="Y240" s="617"/>
      <c r="Z240" s="7"/>
      <c r="AA240" s="7"/>
    </row>
    <row r="241" spans="1:27" ht="15.6">
      <c r="A241" s="106"/>
      <c r="B241" s="106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16"/>
      <c r="N241" s="106"/>
      <c r="O241" s="106"/>
      <c r="P241" s="106"/>
      <c r="Q241" s="109"/>
      <c r="R241" s="289"/>
      <c r="S241" s="107"/>
      <c r="T241" s="106"/>
      <c r="U241" s="106" t="str">
        <f>TEXT(Table626893456791011121314[[#This Row],[PO Date]], "mmmm")</f>
        <v>January</v>
      </c>
      <c r="V241" s="284">
        <f>Table626893456791011121314[[#This Row],[Offer Value]]-Table626893456791011121314[[#This Row],[PO Value]]</f>
        <v>0</v>
      </c>
      <c r="W241" s="106"/>
      <c r="X241" s="106"/>
      <c r="Y241" s="217"/>
      <c r="Z241" s="7"/>
      <c r="AA241" s="7"/>
    </row>
    <row r="242" spans="1:27" ht="15.6">
      <c r="A242" s="106"/>
      <c r="B242" s="106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106"/>
      <c r="O242" s="106"/>
      <c r="P242" s="106"/>
      <c r="Q242" s="109"/>
      <c r="R242" s="289"/>
      <c r="S242" s="107"/>
      <c r="T242" s="106"/>
      <c r="U242" s="106" t="str">
        <f>TEXT(Table626893456791011121314[[#This Row],[PO Date]], "mmmm")</f>
        <v>January</v>
      </c>
      <c r="V242" s="284">
        <f>Table626893456791011121314[[#This Row],[Offer Value]]-Table626893456791011121314[[#This Row],[PO Value]]</f>
        <v>0</v>
      </c>
      <c r="W242" s="106"/>
      <c r="X242" s="106"/>
      <c r="Y242" s="217"/>
      <c r="Z242" s="7"/>
      <c r="AA242" s="7"/>
    </row>
    <row r="243" spans="1:27" ht="15.6">
      <c r="A243" s="106"/>
      <c r="B243" s="106"/>
      <c r="C243" s="117"/>
      <c r="D243" s="117"/>
      <c r="E243" s="117"/>
      <c r="F243" s="117"/>
      <c r="G243" s="117"/>
      <c r="H243" s="117"/>
      <c r="I243" s="117"/>
      <c r="J243" s="108"/>
      <c r="K243" s="108"/>
      <c r="L243" s="105"/>
      <c r="M243" s="105"/>
      <c r="N243" s="106"/>
      <c r="O243" s="106"/>
      <c r="P243" s="106"/>
      <c r="Q243" s="109"/>
      <c r="R243" s="289"/>
      <c r="S243" s="107"/>
      <c r="T243" s="106"/>
      <c r="U243" s="106" t="str">
        <f>TEXT(Table626893456791011121314[[#This Row],[PO Date]], "mmmm")</f>
        <v>January</v>
      </c>
      <c r="V243" s="284">
        <f>Table626893456791011121314[[#This Row],[Offer Value]]-Table626893456791011121314[[#This Row],[PO Value]]</f>
        <v>0</v>
      </c>
      <c r="W243" s="106"/>
      <c r="X243" s="106"/>
      <c r="Y243" s="217"/>
      <c r="Z243" s="7"/>
      <c r="AA243" s="7"/>
    </row>
    <row r="244" spans="1:27" ht="15.6">
      <c r="A244" s="106"/>
      <c r="B244" s="106"/>
      <c r="C244" s="105"/>
      <c r="D244" s="105"/>
      <c r="E244" s="105"/>
      <c r="F244" s="105"/>
      <c r="G244" s="105"/>
      <c r="H244" s="105"/>
      <c r="I244" s="105"/>
      <c r="J244" s="115"/>
      <c r="K244" s="115"/>
      <c r="L244" s="105"/>
      <c r="M244" s="105"/>
      <c r="N244" s="106"/>
      <c r="O244" s="106"/>
      <c r="P244" s="106"/>
      <c r="Q244" s="109"/>
      <c r="R244" s="289"/>
      <c r="S244" s="107"/>
      <c r="T244" s="106"/>
      <c r="U244" s="106" t="str">
        <f>TEXT(Table626893456791011121314[[#This Row],[PO Date]], "mmmm")</f>
        <v>January</v>
      </c>
      <c r="V244" s="284">
        <f>Table626893456791011121314[[#This Row],[Offer Value]]-Table626893456791011121314[[#This Row],[PO Value]]</f>
        <v>0</v>
      </c>
      <c r="W244" s="106"/>
      <c r="X244" s="106"/>
      <c r="Y244" s="217"/>
      <c r="Z244" s="7"/>
      <c r="AA244" s="7"/>
    </row>
    <row r="245" spans="1:27" ht="15.6">
      <c r="A245" s="106"/>
      <c r="B245" s="106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05"/>
      <c r="N245" s="106"/>
      <c r="O245" s="106"/>
      <c r="P245" s="106"/>
      <c r="Q245" s="109"/>
      <c r="R245" s="289"/>
      <c r="S245" s="107"/>
      <c r="T245" s="106"/>
      <c r="U245" s="106" t="str">
        <f>TEXT(Table626893456791011121314[[#This Row],[PO Date]], "mmmm")</f>
        <v>January</v>
      </c>
      <c r="V245" s="284">
        <f>Table626893456791011121314[[#This Row],[Offer Value]]-Table626893456791011121314[[#This Row],[PO Value]]</f>
        <v>0</v>
      </c>
      <c r="W245" s="106"/>
      <c r="X245" s="106"/>
      <c r="Y245" s="217"/>
      <c r="Z245" s="7"/>
      <c r="AA245" s="7"/>
    </row>
    <row r="246" spans="1:27" ht="15.6">
      <c r="A246" s="106"/>
      <c r="B246" s="106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05"/>
      <c r="N246" s="106"/>
      <c r="O246" s="106"/>
      <c r="P246" s="106"/>
      <c r="Q246" s="109"/>
      <c r="R246" s="289"/>
      <c r="S246" s="107"/>
      <c r="T246" s="106"/>
      <c r="U246" s="106" t="str">
        <f>TEXT(Table626893456791011121314[[#This Row],[PO Date]], "mmmm")</f>
        <v>January</v>
      </c>
      <c r="V246" s="284">
        <f>Table626893456791011121314[[#This Row],[Offer Value]]-Table626893456791011121314[[#This Row],[PO Value]]</f>
        <v>0</v>
      </c>
      <c r="W246" s="106"/>
      <c r="X246" s="106"/>
      <c r="Y246" s="217"/>
      <c r="Z246" s="7"/>
      <c r="AA246" s="7"/>
    </row>
    <row r="247" spans="1:27" ht="15.6">
      <c r="A247" s="106"/>
      <c r="B247" s="106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05"/>
      <c r="N247" s="106"/>
      <c r="O247" s="106"/>
      <c r="P247" s="106"/>
      <c r="Q247" s="109"/>
      <c r="R247" s="289"/>
      <c r="S247" s="107"/>
      <c r="T247" s="106"/>
      <c r="U247" s="106" t="str">
        <f>TEXT(Table626893456791011121314[[#This Row],[PO Date]], "mmmm")</f>
        <v>January</v>
      </c>
      <c r="V247" s="284">
        <f>Table626893456791011121314[[#This Row],[Offer Value]]-Table626893456791011121314[[#This Row],[PO Value]]</f>
        <v>0</v>
      </c>
      <c r="W247" s="106"/>
      <c r="X247" s="106"/>
      <c r="Y247" s="217"/>
      <c r="Z247" s="7"/>
      <c r="AA247" s="7"/>
    </row>
    <row r="248" spans="1:27" ht="15.6">
      <c r="A248" s="106"/>
      <c r="B248" s="106"/>
      <c r="C248" s="105"/>
      <c r="D248" s="105"/>
      <c r="E248" s="105"/>
      <c r="F248" s="105"/>
      <c r="G248" s="105"/>
      <c r="H248" s="105"/>
      <c r="I248" s="105"/>
      <c r="J248" s="108"/>
      <c r="K248" s="108"/>
      <c r="L248" s="105"/>
      <c r="M248" s="105"/>
      <c r="N248" s="106"/>
      <c r="O248" s="106"/>
      <c r="P248" s="106"/>
      <c r="Q248" s="109"/>
      <c r="R248" s="289"/>
      <c r="S248" s="107"/>
      <c r="T248" s="106"/>
      <c r="U248" s="106" t="str">
        <f>TEXT(Table626893456791011121314[[#This Row],[PO Date]], "mmmm")</f>
        <v>January</v>
      </c>
      <c r="V248" s="284">
        <f>Table626893456791011121314[[#This Row],[Offer Value]]-Table626893456791011121314[[#This Row],[PO Value]]</f>
        <v>0</v>
      </c>
      <c r="W248" s="106"/>
      <c r="X248" s="106"/>
      <c r="Y248" s="217"/>
      <c r="Z248" s="7"/>
      <c r="AA248" s="7"/>
    </row>
    <row r="249" spans="1:27" ht="15.6">
      <c r="A249" s="106"/>
      <c r="B249" s="106"/>
      <c r="C249" s="105"/>
      <c r="D249" s="105"/>
      <c r="E249" s="105"/>
      <c r="F249" s="105"/>
      <c r="G249" s="105"/>
      <c r="H249" s="105"/>
      <c r="I249" s="105"/>
      <c r="J249" s="108"/>
      <c r="K249" s="108"/>
      <c r="L249" s="105"/>
      <c r="M249" s="105"/>
      <c r="N249" s="106"/>
      <c r="O249" s="106"/>
      <c r="P249" s="106"/>
      <c r="Q249" s="109"/>
      <c r="R249" s="289"/>
      <c r="S249" s="107"/>
      <c r="T249" s="106"/>
      <c r="U249" s="106" t="str">
        <f>TEXT(Table626893456791011121314[[#This Row],[PO Date]], "mmmm")</f>
        <v>January</v>
      </c>
      <c r="V249" s="284">
        <f>Table626893456791011121314[[#This Row],[Offer Value]]-Table626893456791011121314[[#This Row],[PO Value]]</f>
        <v>0</v>
      </c>
      <c r="W249" s="106"/>
      <c r="X249" s="106"/>
      <c r="Y249" s="217"/>
      <c r="Z249" s="7"/>
      <c r="AA249" s="7"/>
    </row>
    <row r="250" spans="1:27" ht="15.6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106"/>
      <c r="O250" s="106"/>
      <c r="P250" s="106"/>
      <c r="Q250" s="109"/>
      <c r="R250" s="289"/>
      <c r="S250" s="107"/>
      <c r="T250" s="106"/>
      <c r="U250" s="106" t="str">
        <f>TEXT(Table626893456791011121314[[#This Row],[PO Date]], "mmmm")</f>
        <v>January</v>
      </c>
      <c r="V250" s="284">
        <f>Table626893456791011121314[[#This Row],[Offer Value]]-Table626893456791011121314[[#This Row],[PO Value]]</f>
        <v>0</v>
      </c>
      <c r="W250" s="106"/>
      <c r="X250" s="106"/>
      <c r="Y250" s="217"/>
      <c r="Z250" s="7"/>
      <c r="AA250" s="7"/>
    </row>
    <row r="251" spans="1:27" ht="15.6">
      <c r="A251" s="106"/>
      <c r="B251" s="107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16"/>
      <c r="N251" s="106"/>
      <c r="O251" s="106"/>
      <c r="P251" s="106"/>
      <c r="Q251" s="109"/>
      <c r="R251" s="289"/>
      <c r="S251" s="107"/>
      <c r="T251" s="106"/>
      <c r="U251" s="106" t="str">
        <f>TEXT(Table626893456791011121314[[#This Row],[PO Date]], "mmmm")</f>
        <v>January</v>
      </c>
      <c r="V251" s="284">
        <f>Table626893456791011121314[[#This Row],[Offer Value]]-Table626893456791011121314[[#This Row],[PO Value]]</f>
        <v>0</v>
      </c>
      <c r="W251" s="106"/>
      <c r="X251" s="106"/>
      <c r="Y251" s="217"/>
      <c r="Z251" s="7"/>
      <c r="AA251" s="7"/>
    </row>
    <row r="252" spans="1:27" ht="15.6">
      <c r="A252" s="106"/>
      <c r="B252" s="107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16"/>
      <c r="N252" s="106"/>
      <c r="O252" s="106"/>
      <c r="P252" s="106"/>
      <c r="Q252" s="109"/>
      <c r="R252" s="289"/>
      <c r="S252" s="107"/>
      <c r="T252" s="106"/>
      <c r="U252" s="106" t="str">
        <f>TEXT(Table626893456791011121314[[#This Row],[PO Date]], "mmmm")</f>
        <v>January</v>
      </c>
      <c r="V252" s="284">
        <f>Table626893456791011121314[[#This Row],[Offer Value]]-Table626893456791011121314[[#This Row],[PO Value]]</f>
        <v>0</v>
      </c>
      <c r="W252" s="106"/>
      <c r="X252" s="106"/>
      <c r="Y252" s="217"/>
      <c r="Z252" s="7"/>
      <c r="AA252" s="7"/>
    </row>
    <row r="253" spans="1:27" ht="15.6">
      <c r="A253" s="106"/>
      <c r="B253" s="107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105"/>
      <c r="N253" s="106"/>
      <c r="O253" s="106"/>
      <c r="P253" s="106"/>
      <c r="Q253" s="109"/>
      <c r="R253" s="256"/>
      <c r="S253" s="107"/>
      <c r="T253" s="106"/>
      <c r="U253" s="106" t="str">
        <f>TEXT(Table626893456791011121314[[#This Row],[PO Date]], "mmmm")</f>
        <v>January</v>
      </c>
      <c r="V253" s="284">
        <f>Table626893456791011121314[[#This Row],[Offer Value]]-Table626893456791011121314[[#This Row],[PO Value]]</f>
        <v>0</v>
      </c>
      <c r="W253" s="106"/>
      <c r="X253" s="106"/>
      <c r="Y253" s="617"/>
      <c r="Z253" s="7"/>
      <c r="AA253" s="7"/>
    </row>
    <row r="254" spans="1:27" ht="15.6">
      <c r="A254" s="106"/>
      <c r="B254" s="107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116"/>
      <c r="N254" s="106"/>
      <c r="O254" s="106"/>
      <c r="P254" s="106"/>
      <c r="Q254" s="109"/>
      <c r="R254" s="289"/>
      <c r="S254" s="107"/>
      <c r="T254" s="106"/>
      <c r="U254" s="106" t="str">
        <f>TEXT(Table626893456791011121314[[#This Row],[PO Date]], "mmmm")</f>
        <v>January</v>
      </c>
      <c r="V254" s="284">
        <f>Table626893456791011121314[[#This Row],[Offer Value]]-Table626893456791011121314[[#This Row],[PO Value]]</f>
        <v>0</v>
      </c>
      <c r="W254" s="106"/>
      <c r="X254" s="106"/>
      <c r="Y254" s="217"/>
      <c r="Z254" s="7"/>
      <c r="AA254" s="7"/>
    </row>
    <row r="255" spans="1:27" ht="15.6">
      <c r="A255" s="106"/>
      <c r="B255" s="107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116"/>
      <c r="N255" s="106"/>
      <c r="O255" s="106"/>
      <c r="P255" s="106"/>
      <c r="Q255" s="109"/>
      <c r="R255" s="289"/>
      <c r="S255" s="107"/>
      <c r="T255" s="106"/>
      <c r="U255" s="106" t="str">
        <f>TEXT(Table626893456791011121314[[#This Row],[PO Date]], "mmmm")</f>
        <v>January</v>
      </c>
      <c r="V255" s="284">
        <f>Table626893456791011121314[[#This Row],[Offer Value]]-Table626893456791011121314[[#This Row],[PO Value]]</f>
        <v>0</v>
      </c>
      <c r="W255" s="106"/>
      <c r="X255" s="106"/>
      <c r="Y255" s="217"/>
      <c r="Z255" s="7"/>
      <c r="AA255" s="7"/>
    </row>
    <row r="256" spans="1:27" ht="15.6">
      <c r="A256" s="106"/>
      <c r="B256" s="107"/>
      <c r="C256" s="105"/>
      <c r="D256" s="105"/>
      <c r="E256" s="105"/>
      <c r="F256" s="105"/>
      <c r="G256" s="105"/>
      <c r="H256" s="105"/>
      <c r="I256" s="105"/>
      <c r="J256" s="115"/>
      <c r="K256" s="115"/>
      <c r="L256" s="105"/>
      <c r="M256" s="116"/>
      <c r="N256" s="106"/>
      <c r="O256" s="106"/>
      <c r="P256" s="106"/>
      <c r="Q256" s="109"/>
      <c r="R256" s="289"/>
      <c r="S256" s="107"/>
      <c r="T256" s="106"/>
      <c r="U256" s="106" t="str">
        <f>TEXT(Table626893456791011121314[[#This Row],[PO Date]], "mmmm")</f>
        <v>January</v>
      </c>
      <c r="V256" s="284">
        <f>Table626893456791011121314[[#This Row],[Offer Value]]-Table626893456791011121314[[#This Row],[PO Value]]</f>
        <v>0</v>
      </c>
      <c r="W256" s="106"/>
      <c r="X256" s="106"/>
      <c r="Y256" s="217"/>
      <c r="Z256" s="7"/>
      <c r="AA256" s="7"/>
    </row>
    <row r="257" spans="1:27" ht="15.6">
      <c r="A257" s="106"/>
      <c r="B257" s="107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05"/>
      <c r="N257" s="106"/>
      <c r="O257" s="106"/>
      <c r="P257" s="106"/>
      <c r="Q257" s="109"/>
      <c r="R257" s="289"/>
      <c r="S257" s="107"/>
      <c r="T257" s="106"/>
      <c r="U257" s="106" t="str">
        <f>TEXT(Table626893456791011121314[[#This Row],[PO Date]], "mmmm")</f>
        <v>January</v>
      </c>
      <c r="V257" s="284">
        <f>Table626893456791011121314[[#This Row],[Offer Value]]-Table626893456791011121314[[#This Row],[PO Value]]</f>
        <v>0</v>
      </c>
      <c r="W257" s="106"/>
      <c r="X257" s="106"/>
      <c r="Y257" s="217"/>
      <c r="Z257" s="7"/>
      <c r="AA257" s="7"/>
    </row>
    <row r="258" spans="1:27" ht="15.6">
      <c r="A258" s="106"/>
      <c r="B258" s="107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16"/>
      <c r="N258" s="106"/>
      <c r="O258" s="106"/>
      <c r="P258" s="106"/>
      <c r="Q258" s="109"/>
      <c r="R258" s="256"/>
      <c r="S258" s="107"/>
      <c r="T258" s="106"/>
      <c r="U258" s="106" t="str">
        <f>TEXT(Table626893456791011121314[[#This Row],[PO Date]], "mmmm")</f>
        <v>January</v>
      </c>
      <c r="V258" s="284">
        <f>Table626893456791011121314[[#This Row],[Offer Value]]-Table626893456791011121314[[#This Row],[PO Value]]</f>
        <v>0</v>
      </c>
      <c r="W258" s="106"/>
      <c r="X258" s="106"/>
      <c r="Y258" s="617"/>
      <c r="Z258" s="7"/>
      <c r="AA258" s="7"/>
    </row>
    <row r="259" spans="1:27" ht="15.6">
      <c r="A259" s="106"/>
      <c r="B259" s="107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106"/>
      <c r="O259" s="106"/>
      <c r="P259" s="106"/>
      <c r="Q259" s="109"/>
      <c r="R259" s="289"/>
      <c r="S259" s="107"/>
      <c r="T259" s="106"/>
      <c r="U259" s="106" t="str">
        <f>TEXT(Table626893456791011121314[[#This Row],[PO Date]], "mmmm")</f>
        <v>January</v>
      </c>
      <c r="V259" s="284">
        <f>Table626893456791011121314[[#This Row],[Offer Value]]-Table626893456791011121314[[#This Row],[PO Value]]</f>
        <v>0</v>
      </c>
      <c r="W259" s="106"/>
      <c r="X259" s="106"/>
      <c r="Y259" s="217"/>
      <c r="Z259" s="7"/>
      <c r="AA259" s="7"/>
    </row>
    <row r="260" spans="1:27" ht="15.6">
      <c r="A260" s="106"/>
      <c r="B260" s="107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16"/>
      <c r="N260" s="106"/>
      <c r="O260" s="106"/>
      <c r="P260" s="106"/>
      <c r="Q260" s="109"/>
      <c r="R260" s="289"/>
      <c r="S260" s="107"/>
      <c r="T260" s="106"/>
      <c r="U260" s="106" t="str">
        <f>TEXT(Table626893456791011121314[[#This Row],[PO Date]], "mmmm")</f>
        <v>January</v>
      </c>
      <c r="V260" s="284">
        <f>Table626893456791011121314[[#This Row],[Offer Value]]-Table626893456791011121314[[#This Row],[PO Value]]</f>
        <v>0</v>
      </c>
      <c r="W260" s="106"/>
      <c r="X260" s="106"/>
      <c r="Y260" s="217"/>
      <c r="Z260" s="7"/>
      <c r="AA260" s="7"/>
    </row>
    <row r="261" spans="1:27" ht="15.6">
      <c r="A261" s="106"/>
      <c r="B261" s="107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16"/>
      <c r="N261" s="106"/>
      <c r="O261" s="106"/>
      <c r="P261" s="106"/>
      <c r="Q261" s="109"/>
      <c r="R261" s="289"/>
      <c r="S261" s="107"/>
      <c r="T261" s="106"/>
      <c r="U261" s="106" t="str">
        <f>TEXT(Table626893456791011121314[[#This Row],[PO Date]], "mmmm")</f>
        <v>January</v>
      </c>
      <c r="V261" s="284">
        <f>Table626893456791011121314[[#This Row],[Offer Value]]-Table626893456791011121314[[#This Row],[PO Value]]</f>
        <v>0</v>
      </c>
      <c r="W261" s="106"/>
      <c r="X261" s="106"/>
      <c r="Y261" s="217"/>
      <c r="Z261" s="7"/>
      <c r="AA261" s="7"/>
    </row>
    <row r="262" spans="1:27" ht="15.6">
      <c r="A262" s="106"/>
      <c r="B262" s="107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106"/>
      <c r="O262" s="106"/>
      <c r="P262" s="106"/>
      <c r="Q262" s="109"/>
      <c r="R262" s="289"/>
      <c r="S262" s="107"/>
      <c r="T262" s="106"/>
      <c r="U262" s="106" t="str">
        <f>TEXT(Table626893456791011121314[[#This Row],[PO Date]], "mmmm")</f>
        <v>January</v>
      </c>
      <c r="V262" s="284">
        <f>Table626893456791011121314[[#This Row],[Offer Value]]-Table626893456791011121314[[#This Row],[PO Value]]</f>
        <v>0</v>
      </c>
      <c r="W262" s="106"/>
      <c r="X262" s="106"/>
      <c r="Y262" s="217"/>
      <c r="Z262" s="7"/>
      <c r="AA262" s="7"/>
    </row>
    <row r="263" spans="1:27" ht="15.6">
      <c r="A263" s="106"/>
      <c r="B263" s="107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05"/>
      <c r="N263" s="106"/>
      <c r="O263" s="106"/>
      <c r="P263" s="106"/>
      <c r="Q263" s="109"/>
      <c r="R263" s="289"/>
      <c r="S263" s="107"/>
      <c r="T263" s="106"/>
      <c r="U263" s="106" t="str">
        <f>TEXT(Table626893456791011121314[[#This Row],[PO Date]], "mmmm")</f>
        <v>January</v>
      </c>
      <c r="V263" s="284">
        <f>Table626893456791011121314[[#This Row],[Offer Value]]-Table626893456791011121314[[#This Row],[PO Value]]</f>
        <v>0</v>
      </c>
      <c r="W263" s="106"/>
      <c r="X263" s="106"/>
      <c r="Y263" s="217"/>
      <c r="Z263" s="7"/>
      <c r="AA263" s="7"/>
    </row>
    <row r="264" spans="1:27" ht="15.6">
      <c r="A264" s="106"/>
      <c r="B264" s="107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05"/>
      <c r="N264" s="106"/>
      <c r="O264" s="106"/>
      <c r="P264" s="106"/>
      <c r="Q264" s="109"/>
      <c r="R264" s="256"/>
      <c r="S264" s="107"/>
      <c r="T264" s="106"/>
      <c r="U264" s="106" t="str">
        <f>TEXT(Table626893456791011121314[[#This Row],[PO Date]], "mmmm")</f>
        <v>January</v>
      </c>
      <c r="V264" s="284">
        <f>Table626893456791011121314[[#This Row],[Offer Value]]-Table626893456791011121314[[#This Row],[PO Value]]</f>
        <v>0</v>
      </c>
      <c r="W264" s="106"/>
      <c r="X264" s="106"/>
      <c r="Y264" s="617"/>
      <c r="Z264" s="7"/>
      <c r="AA264" s="7"/>
    </row>
    <row r="265" spans="1:27" ht="15.6">
      <c r="A265" s="106"/>
      <c r="B265" s="107"/>
      <c r="C265" s="105"/>
      <c r="D265" s="105"/>
      <c r="E265" s="105"/>
      <c r="F265" s="105"/>
      <c r="G265" s="105"/>
      <c r="H265" s="105"/>
      <c r="I265" s="105"/>
      <c r="J265" s="115"/>
      <c r="K265" s="115"/>
      <c r="L265" s="105"/>
      <c r="M265" s="105"/>
      <c r="N265" s="106"/>
      <c r="O265" s="106"/>
      <c r="P265" s="106"/>
      <c r="Q265" s="109"/>
      <c r="R265" s="289"/>
      <c r="S265" s="107"/>
      <c r="T265" s="106"/>
      <c r="U265" s="106" t="str">
        <f>TEXT(Table626893456791011121314[[#This Row],[PO Date]], "mmmm")</f>
        <v>January</v>
      </c>
      <c r="V265" s="284">
        <f>Table626893456791011121314[[#This Row],[Offer Value]]-Table626893456791011121314[[#This Row],[PO Value]]</f>
        <v>0</v>
      </c>
      <c r="W265" s="106"/>
      <c r="X265" s="106"/>
      <c r="Y265" s="217"/>
      <c r="Z265" s="7"/>
      <c r="AA265" s="7"/>
    </row>
    <row r="266" spans="1:27" ht="15.6">
      <c r="A266" s="106"/>
      <c r="B266" s="107"/>
      <c r="C266" s="105"/>
      <c r="D266" s="105"/>
      <c r="E266" s="105"/>
      <c r="F266" s="105"/>
      <c r="G266" s="105"/>
      <c r="H266" s="105"/>
      <c r="I266" s="105"/>
      <c r="J266" s="115"/>
      <c r="K266" s="115"/>
      <c r="L266" s="105"/>
      <c r="M266" s="105"/>
      <c r="N266" s="106"/>
      <c r="O266" s="106"/>
      <c r="P266" s="106"/>
      <c r="Q266" s="109"/>
      <c r="R266" s="289"/>
      <c r="S266" s="107"/>
      <c r="T266" s="106"/>
      <c r="U266" s="106" t="str">
        <f>TEXT(Table626893456791011121314[[#This Row],[PO Date]], "mmmm")</f>
        <v>January</v>
      </c>
      <c r="V266" s="284">
        <f>Table626893456791011121314[[#This Row],[Offer Value]]-Table626893456791011121314[[#This Row],[PO Value]]</f>
        <v>0</v>
      </c>
      <c r="W266" s="106"/>
      <c r="X266" s="106"/>
      <c r="Y266" s="217"/>
      <c r="Z266" s="7"/>
      <c r="AA266" s="7"/>
    </row>
    <row r="267" spans="1:27" ht="15.6">
      <c r="A267" s="106"/>
      <c r="B267" s="107"/>
      <c r="C267" s="105"/>
      <c r="D267" s="105"/>
      <c r="E267" s="105"/>
      <c r="F267" s="105"/>
      <c r="G267" s="105"/>
      <c r="H267" s="105"/>
      <c r="I267" s="105"/>
      <c r="J267" s="115"/>
      <c r="K267" s="115"/>
      <c r="L267" s="105"/>
      <c r="M267" s="105"/>
      <c r="N267" s="106"/>
      <c r="O267" s="106"/>
      <c r="P267" s="106"/>
      <c r="Q267" s="109"/>
      <c r="R267" s="256"/>
      <c r="S267" s="107"/>
      <c r="T267" s="106"/>
      <c r="U267" s="106" t="str">
        <f>TEXT(Table626893456791011121314[[#This Row],[PO Date]], "mmmm")</f>
        <v>January</v>
      </c>
      <c r="V267" s="284">
        <f>Table626893456791011121314[[#This Row],[Offer Value]]-Table626893456791011121314[[#This Row],[PO Value]]</f>
        <v>0</v>
      </c>
      <c r="W267" s="106"/>
      <c r="X267" s="106"/>
      <c r="Y267" s="617"/>
      <c r="Z267" s="7"/>
      <c r="AA267" s="7"/>
    </row>
    <row r="268" spans="1:27" ht="15.6">
      <c r="A268" s="106"/>
      <c r="B268" s="107"/>
      <c r="C268" s="105"/>
      <c r="D268" s="105"/>
      <c r="E268" s="105"/>
      <c r="F268" s="105"/>
      <c r="G268" s="105"/>
      <c r="H268" s="105"/>
      <c r="I268" s="105"/>
      <c r="J268" s="115"/>
      <c r="K268" s="115"/>
      <c r="L268" s="105"/>
      <c r="M268" s="105"/>
      <c r="N268" s="106"/>
      <c r="O268" s="106"/>
      <c r="P268" s="106"/>
      <c r="Q268" s="109"/>
      <c r="R268" s="256"/>
      <c r="S268" s="107"/>
      <c r="T268" s="106"/>
      <c r="U268" s="106" t="str">
        <f>TEXT(Table626893456791011121314[[#This Row],[PO Date]], "mmmm")</f>
        <v>January</v>
      </c>
      <c r="V268" s="284">
        <f>Table626893456791011121314[[#This Row],[Offer Value]]-Table626893456791011121314[[#This Row],[PO Value]]</f>
        <v>0</v>
      </c>
      <c r="W268" s="106"/>
      <c r="X268" s="106"/>
      <c r="Y268" s="617"/>
      <c r="Z268" s="7"/>
      <c r="AA268" s="7"/>
    </row>
    <row r="269" spans="1:27" ht="15.6">
      <c r="A269" s="106"/>
      <c r="B269" s="107"/>
      <c r="C269" s="105"/>
      <c r="D269" s="105"/>
      <c r="E269" s="105"/>
      <c r="F269" s="105"/>
      <c r="G269" s="105"/>
      <c r="H269" s="105"/>
      <c r="I269" s="105"/>
      <c r="J269" s="115"/>
      <c r="K269" s="115"/>
      <c r="L269" s="105"/>
      <c r="M269" s="105"/>
      <c r="N269" s="106"/>
      <c r="O269" s="106"/>
      <c r="P269" s="106"/>
      <c r="Q269" s="109"/>
      <c r="R269" s="289"/>
      <c r="S269" s="107"/>
      <c r="T269" s="106"/>
      <c r="U269" s="106" t="str">
        <f>TEXT(Table626893456791011121314[[#This Row],[PO Date]], "mmmm")</f>
        <v>January</v>
      </c>
      <c r="V269" s="284">
        <f>Table626893456791011121314[[#This Row],[Offer Value]]-Table626893456791011121314[[#This Row],[PO Value]]</f>
        <v>0</v>
      </c>
      <c r="W269" s="106"/>
      <c r="X269" s="106"/>
      <c r="Y269" s="217"/>
      <c r="Z269" s="7"/>
      <c r="AA269" s="7"/>
    </row>
    <row r="270" spans="1:27" ht="15.6">
      <c r="A270" s="106"/>
      <c r="B270" s="107"/>
      <c r="C270" s="105"/>
      <c r="D270" s="105"/>
      <c r="E270" s="105"/>
      <c r="F270" s="105"/>
      <c r="G270" s="105"/>
      <c r="H270" s="105"/>
      <c r="I270" s="105"/>
      <c r="J270" s="115"/>
      <c r="K270" s="115"/>
      <c r="L270" s="105"/>
      <c r="M270" s="116"/>
      <c r="N270" s="106"/>
      <c r="O270" s="106"/>
      <c r="P270" s="106"/>
      <c r="Q270" s="109"/>
      <c r="R270" s="256"/>
      <c r="S270" s="107"/>
      <c r="T270" s="106"/>
      <c r="U270" s="106" t="str">
        <f>TEXT(Table626893456791011121314[[#This Row],[PO Date]], "mmmm")</f>
        <v>January</v>
      </c>
      <c r="V270" s="284">
        <f>Table626893456791011121314[[#This Row],[Offer Value]]-Table626893456791011121314[[#This Row],[PO Value]]</f>
        <v>0</v>
      </c>
      <c r="W270" s="106"/>
      <c r="X270" s="106"/>
      <c r="Y270" s="617"/>
      <c r="Z270" s="7"/>
      <c r="AA270" s="7"/>
    </row>
    <row r="271" spans="1:27" ht="15.6">
      <c r="A271" s="106"/>
      <c r="B271" s="106"/>
      <c r="C271" s="105"/>
      <c r="D271" s="105"/>
      <c r="E271" s="105"/>
      <c r="F271" s="105"/>
      <c r="G271" s="105"/>
      <c r="H271" s="105"/>
      <c r="I271" s="105"/>
      <c r="J271" s="108"/>
      <c r="K271" s="108"/>
      <c r="L271" s="105"/>
      <c r="M271" s="105"/>
      <c r="N271" s="106"/>
      <c r="O271" s="106"/>
      <c r="P271" s="106"/>
      <c r="Q271" s="109"/>
      <c r="R271" s="289"/>
      <c r="S271" s="107"/>
      <c r="T271" s="106"/>
      <c r="U271" s="106" t="str">
        <f>TEXT(Table626893456791011121314[[#This Row],[PO Date]], "mmmm")</f>
        <v>January</v>
      </c>
      <c r="V271" s="284">
        <f>Table626893456791011121314[[#This Row],[Offer Value]]-Table626893456791011121314[[#This Row],[PO Value]]</f>
        <v>0</v>
      </c>
      <c r="W271" s="106"/>
      <c r="X271" s="106"/>
      <c r="Y271" s="217"/>
      <c r="Z271" s="7"/>
      <c r="AA271" s="7"/>
    </row>
    <row r="272" spans="1:27" ht="15.6">
      <c r="A272" s="106"/>
      <c r="B272" s="106"/>
      <c r="C272" s="105"/>
      <c r="D272" s="105"/>
      <c r="E272" s="105"/>
      <c r="F272" s="105"/>
      <c r="G272" s="105"/>
      <c r="H272" s="105"/>
      <c r="I272" s="105"/>
      <c r="J272" s="108"/>
      <c r="K272" s="108"/>
      <c r="L272" s="105"/>
      <c r="M272" s="116"/>
      <c r="N272" s="106"/>
      <c r="O272" s="106"/>
      <c r="P272" s="106"/>
      <c r="Q272" s="109"/>
      <c r="R272" s="289"/>
      <c r="S272" s="107"/>
      <c r="T272" s="106"/>
      <c r="U272" s="106" t="str">
        <f>TEXT(Table626893456791011121314[[#This Row],[PO Date]], "mmmm")</f>
        <v>January</v>
      </c>
      <c r="V272" s="284">
        <f>Table626893456791011121314[[#This Row],[Offer Value]]-Table626893456791011121314[[#This Row],[PO Value]]</f>
        <v>0</v>
      </c>
      <c r="W272" s="106"/>
      <c r="X272" s="106"/>
      <c r="Y272" s="217"/>
      <c r="Z272" s="7"/>
      <c r="AA272" s="7"/>
    </row>
    <row r="273" spans="1:27" ht="15.6">
      <c r="A273" s="106"/>
      <c r="B273" s="106"/>
      <c r="C273" s="105"/>
      <c r="D273" s="105"/>
      <c r="E273" s="105"/>
      <c r="F273" s="105"/>
      <c r="G273" s="105"/>
      <c r="H273" s="105"/>
      <c r="I273" s="105"/>
      <c r="J273" s="108"/>
      <c r="K273" s="108"/>
      <c r="L273" s="105"/>
      <c r="M273" s="116"/>
      <c r="N273" s="106"/>
      <c r="O273" s="106"/>
      <c r="P273" s="106"/>
      <c r="Q273" s="109"/>
      <c r="R273" s="289"/>
      <c r="S273" s="107"/>
      <c r="T273" s="106"/>
      <c r="U273" s="106" t="str">
        <f>TEXT(Table626893456791011121314[[#This Row],[PO Date]], "mmmm")</f>
        <v>January</v>
      </c>
      <c r="V273" s="284">
        <f>Table626893456791011121314[[#This Row],[Offer Value]]-Table626893456791011121314[[#This Row],[PO Value]]</f>
        <v>0</v>
      </c>
      <c r="W273" s="106"/>
      <c r="X273" s="106"/>
      <c r="Y273" s="217"/>
      <c r="Z273" s="7"/>
      <c r="AA273" s="7"/>
    </row>
    <row r="274" spans="1:27" ht="15.6">
      <c r="A274" s="106"/>
      <c r="B274" s="106"/>
      <c r="C274" s="105"/>
      <c r="D274" s="105"/>
      <c r="E274" s="105"/>
      <c r="F274" s="105"/>
      <c r="G274" s="105"/>
      <c r="H274" s="105"/>
      <c r="I274" s="105"/>
      <c r="J274" s="108"/>
      <c r="K274" s="108"/>
      <c r="L274" s="105"/>
      <c r="M274" s="105"/>
      <c r="N274" s="106"/>
      <c r="O274" s="106"/>
      <c r="P274" s="106"/>
      <c r="Q274" s="109"/>
      <c r="R274" s="289"/>
      <c r="S274" s="107"/>
      <c r="T274" s="106"/>
      <c r="U274" s="106" t="str">
        <f>TEXT(Table626893456791011121314[[#This Row],[PO Date]], "mmmm")</f>
        <v>January</v>
      </c>
      <c r="V274" s="284">
        <f>Table626893456791011121314[[#This Row],[Offer Value]]-Table626893456791011121314[[#This Row],[PO Value]]</f>
        <v>0</v>
      </c>
      <c r="W274" s="106"/>
      <c r="X274" s="106"/>
      <c r="Y274" s="217"/>
      <c r="Z274" s="7"/>
      <c r="AA274" s="7"/>
    </row>
    <row r="275" spans="1:27" ht="15.6">
      <c r="A275" s="106"/>
      <c r="B275" s="106"/>
      <c r="C275" s="105"/>
      <c r="D275" s="105"/>
      <c r="E275" s="105"/>
      <c r="F275" s="105"/>
      <c r="G275" s="105"/>
      <c r="H275" s="105"/>
      <c r="I275" s="105"/>
      <c r="J275" s="108"/>
      <c r="K275" s="108"/>
      <c r="L275" s="105"/>
      <c r="M275" s="105"/>
      <c r="N275" s="106"/>
      <c r="O275" s="106"/>
      <c r="P275" s="106"/>
      <c r="Q275" s="109"/>
      <c r="R275" s="289"/>
      <c r="S275" s="107"/>
      <c r="T275" s="106"/>
      <c r="U275" s="106" t="str">
        <f>TEXT(Table626893456791011121314[[#This Row],[PO Date]], "mmmm")</f>
        <v>January</v>
      </c>
      <c r="V275" s="284">
        <f>Table626893456791011121314[[#This Row],[Offer Value]]-Table626893456791011121314[[#This Row],[PO Value]]</f>
        <v>0</v>
      </c>
      <c r="W275" s="106"/>
      <c r="X275" s="106"/>
      <c r="Y275" s="217"/>
      <c r="Z275" s="7"/>
      <c r="AA275" s="7"/>
    </row>
    <row r="276" spans="1:27" ht="15.6">
      <c r="A276" s="106"/>
      <c r="B276" s="106"/>
      <c r="C276" s="113"/>
      <c r="D276" s="113"/>
      <c r="E276" s="113"/>
      <c r="F276" s="113"/>
      <c r="G276" s="113"/>
      <c r="H276" s="113"/>
      <c r="I276" s="113"/>
      <c r="J276" s="108"/>
      <c r="K276" s="108"/>
      <c r="L276" s="105"/>
      <c r="M276" s="116"/>
      <c r="N276" s="106"/>
      <c r="O276" s="106"/>
      <c r="P276" s="106"/>
      <c r="Q276" s="109"/>
      <c r="R276" s="289"/>
      <c r="S276" s="107"/>
      <c r="T276" s="106"/>
      <c r="U276" s="106" t="str">
        <f>TEXT(Table626893456791011121314[[#This Row],[PO Date]], "mmmm")</f>
        <v>January</v>
      </c>
      <c r="V276" s="284">
        <f>Table626893456791011121314[[#This Row],[Offer Value]]-Table626893456791011121314[[#This Row],[PO Value]]</f>
        <v>0</v>
      </c>
      <c r="W276" s="106"/>
      <c r="X276" s="106"/>
      <c r="Y276" s="217"/>
      <c r="Z276" s="7"/>
      <c r="AA276" s="7"/>
    </row>
    <row r="277" spans="1:27" ht="15.6">
      <c r="A277" s="106"/>
      <c r="B277" s="106"/>
      <c r="C277" s="105"/>
      <c r="D277" s="105"/>
      <c r="E277" s="105"/>
      <c r="F277" s="105"/>
      <c r="G277" s="105"/>
      <c r="H277" s="105"/>
      <c r="I277" s="105"/>
      <c r="J277" s="115"/>
      <c r="K277" s="115"/>
      <c r="L277" s="105"/>
      <c r="M277" s="105"/>
      <c r="N277" s="106"/>
      <c r="O277" s="106"/>
      <c r="P277" s="106"/>
      <c r="Q277" s="109"/>
      <c r="R277" s="289"/>
      <c r="S277" s="107"/>
      <c r="T277" s="106"/>
      <c r="U277" s="106" t="str">
        <f>TEXT(Table626893456791011121314[[#This Row],[PO Date]], "mmmm")</f>
        <v>January</v>
      </c>
      <c r="V277" s="284">
        <f>Table626893456791011121314[[#This Row],[Offer Value]]-Table626893456791011121314[[#This Row],[PO Value]]</f>
        <v>0</v>
      </c>
      <c r="W277" s="106"/>
      <c r="X277" s="106"/>
      <c r="Y277" s="217"/>
      <c r="Z277" s="7"/>
      <c r="AA277" s="7"/>
    </row>
    <row r="278" spans="1:27" ht="15.6">
      <c r="A278" s="106"/>
      <c r="B278" s="106"/>
      <c r="C278" s="105"/>
      <c r="D278" s="105"/>
      <c r="E278" s="105"/>
      <c r="F278" s="105"/>
      <c r="G278" s="105"/>
      <c r="H278" s="105"/>
      <c r="I278" s="105"/>
      <c r="J278" s="115"/>
      <c r="K278" s="115"/>
      <c r="L278" s="105"/>
      <c r="M278" s="105"/>
      <c r="N278" s="106"/>
      <c r="O278" s="106"/>
      <c r="P278" s="106"/>
      <c r="Q278" s="109"/>
      <c r="R278" s="289"/>
      <c r="S278" s="107"/>
      <c r="T278" s="106"/>
      <c r="U278" s="106" t="str">
        <f>TEXT(Table626893456791011121314[[#This Row],[PO Date]], "mmmm")</f>
        <v>January</v>
      </c>
      <c r="V278" s="284">
        <f>Table626893456791011121314[[#This Row],[Offer Value]]-Table626893456791011121314[[#This Row],[PO Value]]</f>
        <v>0</v>
      </c>
      <c r="W278" s="106"/>
      <c r="X278" s="106"/>
      <c r="Y278" s="217"/>
      <c r="Z278" s="7"/>
      <c r="AA278" s="7"/>
    </row>
    <row r="279" spans="1:27" ht="15.6">
      <c r="A279" s="106"/>
      <c r="B279" s="106"/>
      <c r="C279" s="105"/>
      <c r="D279" s="105"/>
      <c r="E279" s="105"/>
      <c r="F279" s="105"/>
      <c r="G279" s="105"/>
      <c r="H279" s="105"/>
      <c r="I279" s="105"/>
      <c r="J279" s="115"/>
      <c r="K279" s="115"/>
      <c r="L279" s="105"/>
      <c r="M279" s="105"/>
      <c r="N279" s="106"/>
      <c r="O279" s="106"/>
      <c r="P279" s="106"/>
      <c r="Q279" s="109"/>
      <c r="R279" s="289"/>
      <c r="S279" s="107"/>
      <c r="T279" s="106"/>
      <c r="U279" s="106" t="str">
        <f>TEXT(Table626893456791011121314[[#This Row],[PO Date]], "mmmm")</f>
        <v>January</v>
      </c>
      <c r="V279" s="284">
        <f>Table626893456791011121314[[#This Row],[Offer Value]]-Table626893456791011121314[[#This Row],[PO Value]]</f>
        <v>0</v>
      </c>
      <c r="W279" s="106"/>
      <c r="X279" s="106"/>
      <c r="Y279" s="217"/>
      <c r="Z279" s="7"/>
      <c r="AA279" s="7"/>
    </row>
    <row r="280" spans="1:27" ht="15.6">
      <c r="A280" s="106"/>
      <c r="B280" s="106"/>
      <c r="C280" s="105"/>
      <c r="D280" s="105"/>
      <c r="E280" s="105"/>
      <c r="F280" s="105"/>
      <c r="G280" s="105"/>
      <c r="H280" s="105"/>
      <c r="I280" s="105"/>
      <c r="J280" s="115"/>
      <c r="K280" s="115"/>
      <c r="L280" s="105"/>
      <c r="M280" s="105"/>
      <c r="N280" s="106"/>
      <c r="O280" s="106"/>
      <c r="P280" s="106"/>
      <c r="Q280" s="109"/>
      <c r="R280" s="289"/>
      <c r="S280" s="107"/>
      <c r="T280" s="106"/>
      <c r="U280" s="106" t="str">
        <f>TEXT(Table626893456791011121314[[#This Row],[PO Date]], "mmmm")</f>
        <v>January</v>
      </c>
      <c r="V280" s="284">
        <f>Table626893456791011121314[[#This Row],[Offer Value]]-Table626893456791011121314[[#This Row],[PO Value]]</f>
        <v>0</v>
      </c>
      <c r="W280" s="106"/>
      <c r="X280" s="106"/>
      <c r="Y280" s="217"/>
      <c r="Z280" s="7"/>
      <c r="AA280" s="7"/>
    </row>
    <row r="281" spans="1:27" ht="15.6">
      <c r="A281" s="106"/>
      <c r="B281" s="106"/>
      <c r="C281" s="105"/>
      <c r="D281" s="105"/>
      <c r="E281" s="105"/>
      <c r="F281" s="105"/>
      <c r="G281" s="105"/>
      <c r="H281" s="105"/>
      <c r="I281" s="105"/>
      <c r="J281" s="115"/>
      <c r="K281" s="115"/>
      <c r="L281" s="105"/>
      <c r="M281" s="105"/>
      <c r="N281" s="106"/>
      <c r="O281" s="106"/>
      <c r="P281" s="106"/>
      <c r="Q281" s="109"/>
      <c r="R281" s="289"/>
      <c r="S281" s="107"/>
      <c r="T281" s="106"/>
      <c r="U281" s="106" t="str">
        <f>TEXT(Table626893456791011121314[[#This Row],[PO Date]], "mmmm")</f>
        <v>January</v>
      </c>
      <c r="V281" s="284">
        <f>Table626893456791011121314[[#This Row],[Offer Value]]-Table626893456791011121314[[#This Row],[PO Value]]</f>
        <v>0</v>
      </c>
      <c r="W281" s="106"/>
      <c r="X281" s="106"/>
      <c r="Y281" s="217"/>
      <c r="Z281" s="7"/>
      <c r="AA281" s="7"/>
    </row>
    <row r="282" spans="1:27" ht="15.6">
      <c r="A282" s="106"/>
      <c r="B282" s="106"/>
      <c r="C282" s="105"/>
      <c r="D282" s="105"/>
      <c r="E282" s="105"/>
      <c r="F282" s="105"/>
      <c r="G282" s="105"/>
      <c r="H282" s="105"/>
      <c r="I282" s="105"/>
      <c r="J282" s="115"/>
      <c r="K282" s="115"/>
      <c r="L282" s="105"/>
      <c r="M282" s="105"/>
      <c r="N282" s="106"/>
      <c r="O282" s="106"/>
      <c r="P282" s="106"/>
      <c r="Q282" s="109"/>
      <c r="R282" s="289"/>
      <c r="S282" s="107"/>
      <c r="T282" s="106"/>
      <c r="U282" s="106" t="str">
        <f>TEXT(Table626893456791011121314[[#This Row],[PO Date]], "mmmm")</f>
        <v>January</v>
      </c>
      <c r="V282" s="284">
        <f>Table626893456791011121314[[#This Row],[Offer Value]]-Table626893456791011121314[[#This Row],[PO Value]]</f>
        <v>0</v>
      </c>
      <c r="W282" s="106"/>
      <c r="X282" s="106"/>
      <c r="Y282" s="217"/>
      <c r="Z282" s="7"/>
      <c r="AA282" s="7"/>
    </row>
    <row r="283" spans="1:27" ht="15.6">
      <c r="A283" s="106"/>
      <c r="B283" s="106"/>
      <c r="C283" s="105"/>
      <c r="D283" s="105"/>
      <c r="E283" s="105"/>
      <c r="F283" s="105"/>
      <c r="G283" s="105"/>
      <c r="H283" s="105"/>
      <c r="I283" s="105"/>
      <c r="J283" s="115"/>
      <c r="K283" s="115"/>
      <c r="L283" s="105"/>
      <c r="M283" s="116"/>
      <c r="N283" s="106"/>
      <c r="O283" s="106"/>
      <c r="P283" s="106"/>
      <c r="Q283" s="109"/>
      <c r="R283" s="256"/>
      <c r="S283" s="107"/>
      <c r="T283" s="106"/>
      <c r="U283" s="106" t="str">
        <f>TEXT(Table626893456791011121314[[#This Row],[PO Date]], "mmmm")</f>
        <v>January</v>
      </c>
      <c r="V283" s="284">
        <f>Table626893456791011121314[[#This Row],[Offer Value]]-Table626893456791011121314[[#This Row],[PO Value]]</f>
        <v>0</v>
      </c>
      <c r="W283" s="106"/>
      <c r="X283" s="106"/>
      <c r="Y283" s="617"/>
      <c r="Z283" s="7"/>
      <c r="AA283" s="7"/>
    </row>
    <row r="284" spans="1:27" ht="15.6">
      <c r="A284" s="106"/>
      <c r="B284" s="106"/>
      <c r="C284" s="105"/>
      <c r="D284" s="105"/>
      <c r="E284" s="105"/>
      <c r="F284" s="105"/>
      <c r="G284" s="105"/>
      <c r="H284" s="105"/>
      <c r="I284" s="105"/>
      <c r="J284" s="115"/>
      <c r="K284" s="115"/>
      <c r="L284" s="105"/>
      <c r="M284" s="116"/>
      <c r="N284" s="106"/>
      <c r="O284" s="106"/>
      <c r="P284" s="106"/>
      <c r="Q284" s="109"/>
      <c r="R284" s="256"/>
      <c r="S284" s="107"/>
      <c r="T284" s="106"/>
      <c r="U284" s="106" t="str">
        <f>TEXT(Table626893456791011121314[[#This Row],[PO Date]], "mmmm")</f>
        <v>January</v>
      </c>
      <c r="V284" s="284">
        <f>Table626893456791011121314[[#This Row],[Offer Value]]-Table626893456791011121314[[#This Row],[PO Value]]</f>
        <v>0</v>
      </c>
      <c r="W284" s="106"/>
      <c r="X284" s="106"/>
      <c r="Y284" s="617"/>
      <c r="Z284" s="7"/>
      <c r="AA284" s="7"/>
    </row>
    <row r="285" spans="1:27" ht="15.6">
      <c r="A285" s="106"/>
      <c r="B285" s="107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7"/>
      <c r="N285" s="106"/>
      <c r="O285" s="106"/>
      <c r="P285" s="106"/>
      <c r="Q285" s="109"/>
      <c r="R285" s="289"/>
      <c r="S285" s="107"/>
      <c r="T285" s="106"/>
      <c r="U285" s="106" t="str">
        <f>TEXT(Table626893456791011121314[[#This Row],[PO Date]], "mmmm")</f>
        <v>January</v>
      </c>
      <c r="V285" s="284">
        <f>Table626893456791011121314[[#This Row],[Offer Value]]-Table626893456791011121314[[#This Row],[PO Value]]</f>
        <v>0</v>
      </c>
      <c r="W285" s="106"/>
      <c r="X285" s="106"/>
      <c r="Y285" s="217"/>
      <c r="Z285" s="7"/>
      <c r="AA285" s="7"/>
    </row>
    <row r="286" spans="1:27" ht="15.6">
      <c r="A286" s="106"/>
      <c r="B286" s="107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6"/>
      <c r="N286" s="106"/>
      <c r="O286" s="106"/>
      <c r="P286" s="106"/>
      <c r="Q286" s="109"/>
      <c r="R286" s="289"/>
      <c r="S286" s="107"/>
      <c r="T286" s="106"/>
      <c r="U286" s="106" t="str">
        <f>TEXT(Table626893456791011121314[[#This Row],[PO Date]], "mmmm")</f>
        <v>January</v>
      </c>
      <c r="V286" s="284">
        <f>Table626893456791011121314[[#This Row],[Offer Value]]-Table626893456791011121314[[#This Row],[PO Value]]</f>
        <v>0</v>
      </c>
      <c r="W286" s="106"/>
      <c r="X286" s="106"/>
      <c r="Y286" s="217"/>
      <c r="Z286" s="7"/>
      <c r="AA286" s="7"/>
    </row>
    <row r="287" spans="1:27" ht="15.6">
      <c r="A287" s="106"/>
      <c r="B287" s="107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6"/>
      <c r="N287" s="106"/>
      <c r="O287" s="106"/>
      <c r="P287" s="106"/>
      <c r="Q287" s="109"/>
      <c r="R287" s="289"/>
      <c r="S287" s="107"/>
      <c r="T287" s="106"/>
      <c r="U287" s="106" t="str">
        <f>TEXT(Table626893456791011121314[[#This Row],[PO Date]], "mmmm")</f>
        <v>January</v>
      </c>
      <c r="V287" s="284">
        <f>Table626893456791011121314[[#This Row],[Offer Value]]-Table626893456791011121314[[#This Row],[PO Value]]</f>
        <v>0</v>
      </c>
      <c r="W287" s="106"/>
      <c r="X287" s="106"/>
      <c r="Y287" s="217"/>
      <c r="Z287" s="7"/>
      <c r="AA287" s="7"/>
    </row>
    <row r="288" spans="1:27" ht="15.6">
      <c r="A288" s="106"/>
      <c r="B288" s="107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6"/>
      <c r="N288" s="106"/>
      <c r="O288" s="106"/>
      <c r="P288" s="106"/>
      <c r="Q288" s="109"/>
      <c r="R288" s="289"/>
      <c r="S288" s="107"/>
      <c r="T288" s="106"/>
      <c r="U288" s="106" t="str">
        <f>TEXT(Table626893456791011121314[[#This Row],[PO Date]], "mmmm")</f>
        <v>January</v>
      </c>
      <c r="V288" s="284">
        <f>Table626893456791011121314[[#This Row],[Offer Value]]-Table626893456791011121314[[#This Row],[PO Value]]</f>
        <v>0</v>
      </c>
      <c r="W288" s="106"/>
      <c r="X288" s="106"/>
      <c r="Y288" s="217"/>
      <c r="Z288" s="7"/>
      <c r="AA288" s="7"/>
    </row>
    <row r="289" spans="1:27" ht="15.6">
      <c r="A289" s="106"/>
      <c r="B289" s="107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6"/>
      <c r="N289" s="106"/>
      <c r="O289" s="106"/>
      <c r="P289" s="106"/>
      <c r="Q289" s="109"/>
      <c r="R289" s="256"/>
      <c r="S289" s="107"/>
      <c r="T289" s="106"/>
      <c r="U289" s="106" t="str">
        <f>TEXT(Table626893456791011121314[[#This Row],[PO Date]], "mmmm")</f>
        <v>January</v>
      </c>
      <c r="V289" s="284">
        <f>Table626893456791011121314[[#This Row],[Offer Value]]-Table626893456791011121314[[#This Row],[PO Value]]</f>
        <v>0</v>
      </c>
      <c r="W289" s="106"/>
      <c r="X289" s="106"/>
      <c r="Y289" s="617"/>
      <c r="Z289" s="7"/>
      <c r="AA289" s="7"/>
    </row>
    <row r="290" spans="1:27" ht="15.6">
      <c r="A290" s="106"/>
      <c r="B290" s="107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6"/>
      <c r="N290" s="106"/>
      <c r="O290" s="106"/>
      <c r="P290" s="106"/>
      <c r="Q290" s="109"/>
      <c r="R290" s="256"/>
      <c r="S290" s="107"/>
      <c r="T290" s="106"/>
      <c r="U290" s="106" t="str">
        <f>TEXT(Table626893456791011121314[[#This Row],[PO Date]], "mmmm")</f>
        <v>January</v>
      </c>
      <c r="V290" s="284">
        <f>Table626893456791011121314[[#This Row],[Offer Value]]-Table626893456791011121314[[#This Row],[PO Value]]</f>
        <v>0</v>
      </c>
      <c r="W290" s="106"/>
      <c r="X290" s="106"/>
      <c r="Y290" s="617"/>
      <c r="Z290" s="7"/>
      <c r="AA290" s="7"/>
    </row>
    <row r="291" spans="1:27" ht="15.6">
      <c r="A291" s="106"/>
      <c r="B291" s="107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7"/>
      <c r="N291" s="106"/>
      <c r="O291" s="106"/>
      <c r="P291" s="106"/>
      <c r="Q291" s="109"/>
      <c r="R291" s="289"/>
      <c r="S291" s="107"/>
      <c r="T291" s="106"/>
      <c r="U291" s="106" t="str">
        <f>TEXT(Table626893456791011121314[[#This Row],[PO Date]], "mmmm")</f>
        <v>January</v>
      </c>
      <c r="V291" s="284">
        <f>Table626893456791011121314[[#This Row],[Offer Value]]-Table626893456791011121314[[#This Row],[PO Value]]</f>
        <v>0</v>
      </c>
      <c r="W291" s="106"/>
      <c r="X291" s="106"/>
      <c r="Y291" s="217"/>
      <c r="Z291" s="7"/>
      <c r="AA291" s="7"/>
    </row>
    <row r="292" spans="1:27" ht="15.6">
      <c r="A292" s="106"/>
      <c r="B292" s="107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7"/>
      <c r="N292" s="106"/>
      <c r="O292" s="106"/>
      <c r="P292" s="106"/>
      <c r="Q292" s="109"/>
      <c r="R292" s="289"/>
      <c r="S292" s="107"/>
      <c r="T292" s="106"/>
      <c r="U292" s="106" t="str">
        <f>TEXT(Table626893456791011121314[[#This Row],[PO Date]], "mmmm")</f>
        <v>January</v>
      </c>
      <c r="V292" s="284">
        <f>Table626893456791011121314[[#This Row],[Offer Value]]-Table626893456791011121314[[#This Row],[PO Value]]</f>
        <v>0</v>
      </c>
      <c r="W292" s="106"/>
      <c r="X292" s="106"/>
      <c r="Y292" s="217"/>
      <c r="Z292" s="7"/>
      <c r="AA292" s="7"/>
    </row>
    <row r="293" spans="1:27" ht="15.6">
      <c r="A293" s="106"/>
      <c r="B293" s="107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106"/>
      <c r="O293" s="106"/>
      <c r="P293" s="106"/>
      <c r="Q293" s="109"/>
      <c r="R293" s="289"/>
      <c r="S293" s="107"/>
      <c r="T293" s="106"/>
      <c r="U293" s="106" t="str">
        <f>TEXT(Table626893456791011121314[[#This Row],[PO Date]], "mmmm")</f>
        <v>January</v>
      </c>
      <c r="V293" s="284">
        <f>Table626893456791011121314[[#This Row],[Offer Value]]-Table626893456791011121314[[#This Row],[PO Value]]</f>
        <v>0</v>
      </c>
      <c r="W293" s="106"/>
      <c r="X293" s="106"/>
      <c r="Y293" s="217"/>
      <c r="Z293" s="7"/>
      <c r="AA293" s="7"/>
    </row>
    <row r="294" spans="1:27" ht="15.6">
      <c r="A294" s="106"/>
      <c r="B294" s="107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106"/>
      <c r="P294" s="106"/>
      <c r="Q294" s="109"/>
      <c r="R294" s="289"/>
      <c r="S294" s="107"/>
      <c r="T294" s="106"/>
      <c r="U294" s="106" t="str">
        <f>TEXT(Table626893456791011121314[[#This Row],[PO Date]], "mmmm")</f>
        <v>January</v>
      </c>
      <c r="V294" s="284">
        <f>Table626893456791011121314[[#This Row],[Offer Value]]-Table626893456791011121314[[#This Row],[PO Value]]</f>
        <v>0</v>
      </c>
      <c r="W294" s="106"/>
      <c r="X294" s="106"/>
      <c r="Y294" s="217"/>
      <c r="Z294" s="7"/>
      <c r="AA294" s="7"/>
    </row>
    <row r="295" spans="1:27" ht="15.6">
      <c r="A295" s="106"/>
      <c r="B295" s="107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6"/>
      <c r="N295" s="106"/>
      <c r="O295" s="106"/>
      <c r="P295" s="106"/>
      <c r="Q295" s="109"/>
      <c r="R295" s="289"/>
      <c r="S295" s="107"/>
      <c r="T295" s="106"/>
      <c r="U295" s="106" t="str">
        <f>TEXT(Table626893456791011121314[[#This Row],[PO Date]], "mmmm")</f>
        <v>January</v>
      </c>
      <c r="V295" s="284">
        <f>Table626893456791011121314[[#This Row],[Offer Value]]-Table626893456791011121314[[#This Row],[PO Value]]</f>
        <v>0</v>
      </c>
      <c r="W295" s="106"/>
      <c r="X295" s="106"/>
      <c r="Y295" s="217"/>
      <c r="Z295" s="7"/>
      <c r="AA295" s="7"/>
    </row>
    <row r="296" spans="1:27" ht="15.6">
      <c r="A296" s="106"/>
      <c r="B296" s="107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6"/>
      <c r="N296" s="106"/>
      <c r="O296" s="106"/>
      <c r="P296" s="106"/>
      <c r="Q296" s="109"/>
      <c r="R296" s="256"/>
      <c r="S296" s="107"/>
      <c r="T296" s="106"/>
      <c r="U296" s="106" t="str">
        <f>TEXT(Table626893456791011121314[[#This Row],[PO Date]], "mmmm")</f>
        <v>January</v>
      </c>
      <c r="V296" s="284">
        <f>Table626893456791011121314[[#This Row],[Offer Value]]-Table626893456791011121314[[#This Row],[PO Value]]</f>
        <v>0</v>
      </c>
      <c r="W296" s="106"/>
      <c r="X296" s="106"/>
      <c r="Y296" s="617"/>
      <c r="Z296" s="7"/>
      <c r="AA296" s="7"/>
    </row>
    <row r="297" spans="1:27" ht="15.6">
      <c r="A297" s="106"/>
      <c r="B297" s="107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106"/>
      <c r="P297" s="106"/>
      <c r="Q297" s="109"/>
      <c r="R297" s="289"/>
      <c r="S297" s="107"/>
      <c r="T297" s="106"/>
      <c r="U297" s="106" t="str">
        <f>TEXT(Table626893456791011121314[[#This Row],[PO Date]], "mmmm")</f>
        <v>January</v>
      </c>
      <c r="V297" s="284">
        <f>Table626893456791011121314[[#This Row],[Offer Value]]-Table626893456791011121314[[#This Row],[PO Value]]</f>
        <v>0</v>
      </c>
      <c r="W297" s="106"/>
      <c r="X297" s="106"/>
      <c r="Y297" s="217"/>
      <c r="Z297" s="7"/>
      <c r="AA297" s="7"/>
    </row>
    <row r="298" spans="1:27" ht="15.6">
      <c r="A298" s="106"/>
      <c r="B298" s="107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6"/>
      <c r="N298" s="106"/>
      <c r="O298" s="106"/>
      <c r="P298" s="106"/>
      <c r="Q298" s="109"/>
      <c r="R298" s="289"/>
      <c r="S298" s="107"/>
      <c r="T298" s="106"/>
      <c r="U298" s="106" t="str">
        <f>TEXT(Table626893456791011121314[[#This Row],[PO Date]], "mmmm")</f>
        <v>January</v>
      </c>
      <c r="V298" s="284">
        <f>Table626893456791011121314[[#This Row],[Offer Value]]-Table626893456791011121314[[#This Row],[PO Value]]</f>
        <v>0</v>
      </c>
      <c r="W298" s="106"/>
      <c r="X298" s="106"/>
      <c r="Y298" s="217"/>
      <c r="Z298" s="7"/>
      <c r="AA298" s="7"/>
    </row>
    <row r="299" spans="1:27" ht="15.6">
      <c r="A299" s="106"/>
      <c r="B299" s="107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6"/>
      <c r="N299" s="106"/>
      <c r="O299" s="106"/>
      <c r="P299" s="106"/>
      <c r="Q299" s="109"/>
      <c r="R299" s="289"/>
      <c r="S299" s="107"/>
      <c r="T299" s="106"/>
      <c r="U299" s="106" t="str">
        <f>TEXT(Table626893456791011121314[[#This Row],[PO Date]], "mmmm")</f>
        <v>January</v>
      </c>
      <c r="V299" s="284">
        <f>Table626893456791011121314[[#This Row],[Offer Value]]-Table626893456791011121314[[#This Row],[PO Value]]</f>
        <v>0</v>
      </c>
      <c r="W299" s="106"/>
      <c r="X299" s="106"/>
      <c r="Y299" s="217"/>
      <c r="Z299" s="7"/>
      <c r="AA299" s="7"/>
    </row>
    <row r="300" spans="1:27" ht="15.6">
      <c r="A300" s="106"/>
      <c r="B300" s="107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7"/>
      <c r="N300" s="106"/>
      <c r="O300" s="106"/>
      <c r="P300" s="106"/>
      <c r="Q300" s="109"/>
      <c r="R300" s="289"/>
      <c r="S300" s="107"/>
      <c r="T300" s="106"/>
      <c r="U300" s="106" t="str">
        <f>TEXT(Table626893456791011121314[[#This Row],[PO Date]], "mmmm")</f>
        <v>January</v>
      </c>
      <c r="V300" s="284">
        <f>Table626893456791011121314[[#This Row],[Offer Value]]-Table626893456791011121314[[#This Row],[PO Value]]</f>
        <v>0</v>
      </c>
      <c r="W300" s="106"/>
      <c r="X300" s="106"/>
      <c r="Y300" s="217"/>
      <c r="Z300" s="7"/>
      <c r="AA300" s="7"/>
    </row>
    <row r="301" spans="1:27" ht="15.6">
      <c r="A301" s="106"/>
      <c r="B301" s="107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6"/>
      <c r="N301" s="106"/>
      <c r="O301" s="106"/>
      <c r="P301" s="106"/>
      <c r="Q301" s="109"/>
      <c r="R301" s="256"/>
      <c r="S301" s="107"/>
      <c r="T301" s="106"/>
      <c r="U301" s="106" t="str">
        <f>TEXT(Table626893456791011121314[[#This Row],[PO Date]], "mmmm")</f>
        <v>January</v>
      </c>
      <c r="V301" s="284">
        <f>Table626893456791011121314[[#This Row],[Offer Value]]-Table626893456791011121314[[#This Row],[PO Value]]</f>
        <v>0</v>
      </c>
      <c r="W301" s="106"/>
      <c r="X301" s="106"/>
      <c r="Y301" s="617"/>
      <c r="Z301" s="7"/>
      <c r="AA301" s="7"/>
    </row>
    <row r="302" spans="1:27" ht="15.6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6"/>
      <c r="N302" s="106"/>
      <c r="O302" s="106"/>
      <c r="P302" s="106"/>
      <c r="Q302" s="109"/>
      <c r="R302" s="289"/>
      <c r="S302" s="107"/>
      <c r="T302" s="106"/>
      <c r="U302" s="106" t="str">
        <f>TEXT(Table626893456791011121314[[#This Row],[PO Date]], "mmmm")</f>
        <v>January</v>
      </c>
      <c r="V302" s="284">
        <f>Table626893456791011121314[[#This Row],[Offer Value]]-Table626893456791011121314[[#This Row],[PO Value]]</f>
        <v>0</v>
      </c>
      <c r="W302" s="106"/>
      <c r="X302" s="106"/>
      <c r="Y302" s="217"/>
      <c r="Z302" s="7"/>
      <c r="AA302" s="7"/>
    </row>
    <row r="303" spans="1:27" ht="15.6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106"/>
      <c r="O303" s="106"/>
      <c r="P303" s="106"/>
      <c r="Q303" s="109"/>
      <c r="R303" s="289"/>
      <c r="S303" s="107"/>
      <c r="T303" s="106"/>
      <c r="U303" s="106" t="str">
        <f>TEXT(Table626893456791011121314[[#This Row],[PO Date]], "mmmm")</f>
        <v>January</v>
      </c>
      <c r="V303" s="284">
        <f>Table626893456791011121314[[#This Row],[Offer Value]]-Table626893456791011121314[[#This Row],[PO Value]]</f>
        <v>0</v>
      </c>
      <c r="W303" s="106"/>
      <c r="X303" s="106"/>
      <c r="Y303" s="217"/>
      <c r="Z303" s="7"/>
      <c r="AA303" s="7"/>
    </row>
    <row r="304" spans="1:27" ht="15.6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7"/>
      <c r="N304" s="106"/>
      <c r="O304" s="106"/>
      <c r="P304" s="106"/>
      <c r="Q304" s="109"/>
      <c r="R304" s="289"/>
      <c r="S304" s="107"/>
      <c r="T304" s="106"/>
      <c r="U304" s="106" t="str">
        <f>TEXT(Table626893456791011121314[[#This Row],[PO Date]], "mmmm")</f>
        <v>January</v>
      </c>
      <c r="V304" s="284">
        <f>Table626893456791011121314[[#This Row],[Offer Value]]-Table626893456791011121314[[#This Row],[PO Value]]</f>
        <v>0</v>
      </c>
      <c r="W304" s="106"/>
      <c r="X304" s="106"/>
      <c r="Y304" s="217"/>
      <c r="Z304" s="7"/>
      <c r="AA304" s="7"/>
    </row>
    <row r="305" spans="1:27" ht="14.85" customHeight="1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7"/>
      <c r="N305" s="106"/>
      <c r="O305" s="106"/>
      <c r="P305" s="106"/>
      <c r="Q305" s="109"/>
      <c r="R305" s="289"/>
      <c r="S305" s="107"/>
      <c r="T305" s="106"/>
      <c r="U305" s="106" t="str">
        <f>TEXT(Table626893456791011121314[[#This Row],[PO Date]], "mmmm")</f>
        <v>January</v>
      </c>
      <c r="V305" s="284">
        <f>Table626893456791011121314[[#This Row],[Offer Value]]-Table626893456791011121314[[#This Row],[PO Value]]</f>
        <v>0</v>
      </c>
      <c r="W305" s="106"/>
      <c r="X305" s="106"/>
      <c r="Y305" s="217"/>
      <c r="Z305" s="7"/>
      <c r="AA305" s="7"/>
    </row>
    <row r="306" spans="1:27" ht="14.85" customHeight="1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7"/>
      <c r="N306" s="106"/>
      <c r="O306" s="106"/>
      <c r="P306" s="106"/>
      <c r="Q306" s="109"/>
      <c r="R306" s="289"/>
      <c r="S306" s="107"/>
      <c r="T306" s="106"/>
      <c r="U306" s="106" t="str">
        <f>TEXT(Table626893456791011121314[[#This Row],[PO Date]], "mmmm")</f>
        <v>January</v>
      </c>
      <c r="V306" s="284">
        <f>Table626893456791011121314[[#This Row],[Offer Value]]-Table626893456791011121314[[#This Row],[PO Value]]</f>
        <v>0</v>
      </c>
      <c r="W306" s="106"/>
      <c r="X306" s="106"/>
      <c r="Y306" s="217"/>
      <c r="Z306" s="7"/>
      <c r="AA306" s="7"/>
    </row>
    <row r="307" spans="1:27" ht="14.85" customHeight="1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7"/>
      <c r="N307" s="106"/>
      <c r="O307" s="106"/>
      <c r="P307" s="106"/>
      <c r="Q307" s="109"/>
      <c r="R307" s="289"/>
      <c r="S307" s="107"/>
      <c r="T307" s="106"/>
      <c r="U307" s="106" t="str">
        <f>TEXT(Table626893456791011121314[[#This Row],[PO Date]], "mmmm")</f>
        <v>January</v>
      </c>
      <c r="V307" s="284">
        <f>Table626893456791011121314[[#This Row],[Offer Value]]-Table626893456791011121314[[#This Row],[PO Value]]</f>
        <v>0</v>
      </c>
      <c r="W307" s="106"/>
      <c r="X307" s="106"/>
      <c r="Y307" s="217"/>
      <c r="Z307" s="7"/>
      <c r="AA307" s="7"/>
    </row>
    <row r="308" spans="1:27" ht="14.85" customHeight="1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7"/>
      <c r="N308" s="106"/>
      <c r="O308" s="106"/>
      <c r="P308" s="106"/>
      <c r="Q308" s="109"/>
      <c r="R308" s="289"/>
      <c r="S308" s="107"/>
      <c r="T308" s="106"/>
      <c r="U308" s="106" t="str">
        <f>TEXT(Table626893456791011121314[[#This Row],[PO Date]], "mmmm")</f>
        <v>January</v>
      </c>
      <c r="V308" s="284">
        <f>Table626893456791011121314[[#This Row],[Offer Value]]-Table626893456791011121314[[#This Row],[PO Value]]</f>
        <v>0</v>
      </c>
      <c r="W308" s="106"/>
      <c r="X308" s="106"/>
      <c r="Y308" s="217"/>
      <c r="Z308" s="7"/>
      <c r="AA308" s="7"/>
    </row>
    <row r="309" spans="1:27" ht="14.85" customHeight="1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7"/>
      <c r="N309" s="106"/>
      <c r="O309" s="106"/>
      <c r="P309" s="106"/>
      <c r="Q309" s="109"/>
      <c r="R309" s="289"/>
      <c r="S309" s="107"/>
      <c r="T309" s="106"/>
      <c r="U309" s="106" t="str">
        <f>TEXT(Table626893456791011121314[[#This Row],[PO Date]], "mmmm")</f>
        <v>January</v>
      </c>
      <c r="V309" s="284">
        <f>Table626893456791011121314[[#This Row],[Offer Value]]-Table626893456791011121314[[#This Row],[PO Value]]</f>
        <v>0</v>
      </c>
      <c r="W309" s="106"/>
      <c r="X309" s="106"/>
      <c r="Y309" s="217"/>
      <c r="Z309" s="7"/>
      <c r="AA309" s="7"/>
    </row>
    <row r="310" spans="1:27" ht="14.85" customHeight="1">
      <c r="A310" s="106"/>
      <c r="B310" s="106"/>
      <c r="C310" s="105"/>
      <c r="D310" s="105"/>
      <c r="E310" s="105"/>
      <c r="F310" s="105"/>
      <c r="G310" s="105"/>
      <c r="H310" s="105"/>
      <c r="I310" s="105"/>
      <c r="J310" s="108"/>
      <c r="K310" s="108"/>
      <c r="L310" s="106"/>
      <c r="M310" s="107"/>
      <c r="N310" s="106"/>
      <c r="O310" s="106"/>
      <c r="P310" s="106"/>
      <c r="Q310" s="109"/>
      <c r="R310" s="289"/>
      <c r="S310" s="107"/>
      <c r="T310" s="106"/>
      <c r="U310" s="106" t="str">
        <f>TEXT(Table626893456791011121314[[#This Row],[PO Date]], "mmmm")</f>
        <v>January</v>
      </c>
      <c r="V310" s="284">
        <f>Table626893456791011121314[[#This Row],[Offer Value]]-Table626893456791011121314[[#This Row],[PO Value]]</f>
        <v>0</v>
      </c>
      <c r="W310" s="106"/>
      <c r="X310" s="106"/>
      <c r="Y310" s="217"/>
      <c r="Z310" s="7"/>
      <c r="AA310" s="7"/>
    </row>
    <row r="311" spans="1:27" ht="14.85" customHeight="1">
      <c r="A311" s="106"/>
      <c r="B311" s="106"/>
      <c r="C311" s="105"/>
      <c r="D311" s="105"/>
      <c r="E311" s="105"/>
      <c r="F311" s="105"/>
      <c r="G311" s="105"/>
      <c r="H311" s="105"/>
      <c r="I311" s="105"/>
      <c r="J311" s="108"/>
      <c r="K311" s="108"/>
      <c r="L311" s="106"/>
      <c r="M311" s="106"/>
      <c r="N311" s="106"/>
      <c r="O311" s="106"/>
      <c r="P311" s="106"/>
      <c r="Q311" s="109"/>
      <c r="R311" s="289"/>
      <c r="S311" s="107"/>
      <c r="T311" s="106"/>
      <c r="U311" s="106" t="str">
        <f>TEXT(Table626893456791011121314[[#This Row],[PO Date]], "mmmm")</f>
        <v>January</v>
      </c>
      <c r="V311" s="284">
        <f>Table626893456791011121314[[#This Row],[Offer Value]]-Table626893456791011121314[[#This Row],[PO Value]]</f>
        <v>0</v>
      </c>
      <c r="W311" s="106"/>
      <c r="X311" s="106"/>
      <c r="Y311" s="217"/>
      <c r="Z311" s="7"/>
      <c r="AA311" s="7"/>
    </row>
    <row r="312" spans="1:27" ht="14.85" customHeight="1">
      <c r="A312" s="106"/>
      <c r="B312" s="106"/>
      <c r="C312" s="105"/>
      <c r="D312" s="105"/>
      <c r="E312" s="105"/>
      <c r="F312" s="105"/>
      <c r="G312" s="105"/>
      <c r="H312" s="105"/>
      <c r="I312" s="105"/>
      <c r="J312" s="108"/>
      <c r="K312" s="108"/>
      <c r="L312" s="106"/>
      <c r="M312" s="106"/>
      <c r="N312" s="106"/>
      <c r="O312" s="106"/>
      <c r="P312" s="106"/>
      <c r="Q312" s="109"/>
      <c r="R312" s="289"/>
      <c r="S312" s="107"/>
      <c r="T312" s="106"/>
      <c r="U312" s="106" t="str">
        <f>TEXT(Table626893456791011121314[[#This Row],[PO Date]], "mmmm")</f>
        <v>January</v>
      </c>
      <c r="V312" s="284">
        <f>Table626893456791011121314[[#This Row],[Offer Value]]-Table626893456791011121314[[#This Row],[PO Value]]</f>
        <v>0</v>
      </c>
      <c r="W312" s="106"/>
      <c r="X312" s="106"/>
      <c r="Y312" s="217"/>
      <c r="Z312" s="7"/>
      <c r="AA312" s="7"/>
    </row>
    <row r="313" spans="1:27" ht="14.85" customHeight="1">
      <c r="A313" s="106"/>
      <c r="B313" s="106"/>
      <c r="C313" s="105"/>
      <c r="D313" s="105"/>
      <c r="E313" s="105"/>
      <c r="F313" s="105"/>
      <c r="G313" s="105"/>
      <c r="H313" s="105"/>
      <c r="I313" s="105"/>
      <c r="J313" s="108"/>
      <c r="K313" s="108"/>
      <c r="L313" s="106"/>
      <c r="M313" s="106"/>
      <c r="N313" s="106"/>
      <c r="O313" s="106"/>
      <c r="P313" s="106"/>
      <c r="Q313" s="109"/>
      <c r="R313" s="289"/>
      <c r="S313" s="107"/>
      <c r="T313" s="106"/>
      <c r="U313" s="106" t="str">
        <f>TEXT(Table626893456791011121314[[#This Row],[PO Date]], "mmmm")</f>
        <v>January</v>
      </c>
      <c r="V313" s="284">
        <f>Table626893456791011121314[[#This Row],[Offer Value]]-Table626893456791011121314[[#This Row],[PO Value]]</f>
        <v>0</v>
      </c>
      <c r="W313" s="106"/>
      <c r="X313" s="106"/>
      <c r="Y313" s="217"/>
      <c r="Z313" s="7"/>
      <c r="AA313" s="7"/>
    </row>
    <row r="314" spans="1:27" ht="14.85" customHeight="1">
      <c r="A314" s="106"/>
      <c r="B314" s="106"/>
      <c r="C314" s="105"/>
      <c r="D314" s="105"/>
      <c r="E314" s="105"/>
      <c r="F314" s="105"/>
      <c r="G314" s="105"/>
      <c r="H314" s="105"/>
      <c r="I314" s="105"/>
      <c r="J314" s="108"/>
      <c r="K314" s="108"/>
      <c r="L314" s="106"/>
      <c r="M314" s="106"/>
      <c r="N314" s="106"/>
      <c r="O314" s="106"/>
      <c r="P314" s="106"/>
      <c r="Q314" s="109"/>
      <c r="R314" s="289"/>
      <c r="S314" s="107"/>
      <c r="T314" s="106"/>
      <c r="U314" s="106" t="str">
        <f>TEXT(Table626893456791011121314[[#This Row],[PO Date]], "mmmm")</f>
        <v>January</v>
      </c>
      <c r="V314" s="284">
        <f>Table626893456791011121314[[#This Row],[Offer Value]]-Table626893456791011121314[[#This Row],[PO Value]]</f>
        <v>0</v>
      </c>
      <c r="W314" s="106"/>
      <c r="X314" s="106"/>
      <c r="Y314" s="217"/>
      <c r="Z314" s="7"/>
      <c r="AA314" s="7"/>
    </row>
    <row r="315" spans="1:27" ht="14.85" customHeight="1">
      <c r="A315" s="106"/>
      <c r="B315" s="106"/>
      <c r="C315" s="105"/>
      <c r="D315" s="105"/>
      <c r="E315" s="105"/>
      <c r="F315" s="105"/>
      <c r="G315" s="105"/>
      <c r="H315" s="105"/>
      <c r="I315" s="105"/>
      <c r="J315" s="108"/>
      <c r="K315" s="108"/>
      <c r="L315" s="106"/>
      <c r="M315" s="106"/>
      <c r="N315" s="106"/>
      <c r="O315" s="106"/>
      <c r="P315" s="106"/>
      <c r="Q315" s="109"/>
      <c r="R315" s="289"/>
      <c r="S315" s="107"/>
      <c r="T315" s="106"/>
      <c r="U315" s="106" t="str">
        <f>TEXT(Table626893456791011121314[[#This Row],[PO Date]], "mmmm")</f>
        <v>January</v>
      </c>
      <c r="V315" s="284">
        <f>Table626893456791011121314[[#This Row],[Offer Value]]-Table626893456791011121314[[#This Row],[PO Value]]</f>
        <v>0</v>
      </c>
      <c r="W315" s="106"/>
      <c r="X315" s="106"/>
      <c r="Y315" s="217"/>
      <c r="Z315" s="7"/>
      <c r="AA315" s="7"/>
    </row>
    <row r="316" spans="1:27" ht="14.85" customHeight="1">
      <c r="A316" s="106"/>
      <c r="B316" s="106"/>
      <c r="C316" s="105"/>
      <c r="D316" s="105"/>
      <c r="E316" s="105"/>
      <c r="F316" s="105"/>
      <c r="G316" s="105"/>
      <c r="H316" s="105"/>
      <c r="I316" s="105"/>
      <c r="J316" s="108"/>
      <c r="K316" s="108"/>
      <c r="L316" s="106"/>
      <c r="M316" s="107"/>
      <c r="N316" s="106"/>
      <c r="O316" s="106"/>
      <c r="P316" s="106"/>
      <c r="Q316" s="109"/>
      <c r="R316" s="289"/>
      <c r="S316" s="107"/>
      <c r="T316" s="106"/>
      <c r="U316" s="106" t="str">
        <f>TEXT(Table626893456791011121314[[#This Row],[PO Date]], "mmmm")</f>
        <v>January</v>
      </c>
      <c r="V316" s="284">
        <f>Table626893456791011121314[[#This Row],[Offer Value]]-Table626893456791011121314[[#This Row],[PO Value]]</f>
        <v>0</v>
      </c>
      <c r="W316" s="106"/>
      <c r="X316" s="106"/>
      <c r="Y316" s="217"/>
      <c r="Z316" s="7"/>
      <c r="AA316" s="7"/>
    </row>
    <row r="317" spans="1:27" ht="14.85" customHeight="1">
      <c r="A317" s="106"/>
      <c r="B317" s="106"/>
      <c r="C317" s="105"/>
      <c r="D317" s="105"/>
      <c r="E317" s="105"/>
      <c r="F317" s="105"/>
      <c r="G317" s="105"/>
      <c r="H317" s="105"/>
      <c r="I317" s="105"/>
      <c r="J317" s="108"/>
      <c r="K317" s="108"/>
      <c r="L317" s="106"/>
      <c r="M317" s="106"/>
      <c r="N317" s="106"/>
      <c r="O317" s="106"/>
      <c r="P317" s="106"/>
      <c r="Q317" s="109"/>
      <c r="R317" s="289"/>
      <c r="S317" s="107"/>
      <c r="T317" s="106"/>
      <c r="U317" s="106" t="str">
        <f>TEXT(Table626893456791011121314[[#This Row],[PO Date]], "mmmm")</f>
        <v>January</v>
      </c>
      <c r="V317" s="284">
        <f>Table626893456791011121314[[#This Row],[Offer Value]]-Table626893456791011121314[[#This Row],[PO Value]]</f>
        <v>0</v>
      </c>
      <c r="W317" s="106"/>
      <c r="X317" s="106"/>
      <c r="Y317" s="217"/>
      <c r="Z317" s="7"/>
      <c r="AA317" s="7"/>
    </row>
    <row r="318" spans="1:27" ht="14.85" customHeight="1">
      <c r="A318" s="106"/>
      <c r="B318" s="106"/>
      <c r="C318" s="105"/>
      <c r="D318" s="105"/>
      <c r="E318" s="105"/>
      <c r="F318" s="105"/>
      <c r="G318" s="105"/>
      <c r="H318" s="105"/>
      <c r="I318" s="105"/>
      <c r="J318" s="108"/>
      <c r="K318" s="108"/>
      <c r="L318" s="106"/>
      <c r="M318" s="106"/>
      <c r="N318" s="106"/>
      <c r="O318" s="106"/>
      <c r="P318" s="106"/>
      <c r="Q318" s="109"/>
      <c r="R318" s="289"/>
      <c r="S318" s="107"/>
      <c r="T318" s="106"/>
      <c r="U318" s="106" t="str">
        <f>TEXT(Table626893456791011121314[[#This Row],[PO Date]], "mmmm")</f>
        <v>January</v>
      </c>
      <c r="V318" s="284">
        <f>Table626893456791011121314[[#This Row],[Offer Value]]-Table626893456791011121314[[#This Row],[PO Value]]</f>
        <v>0</v>
      </c>
      <c r="W318" s="106"/>
      <c r="X318" s="106"/>
      <c r="Y318" s="217"/>
      <c r="Z318" s="7"/>
      <c r="AA318" s="7"/>
    </row>
    <row r="319" spans="1:27" ht="14.85" customHeight="1">
      <c r="A319" s="106"/>
      <c r="B319" s="106"/>
      <c r="C319" s="105"/>
      <c r="D319" s="105"/>
      <c r="E319" s="105"/>
      <c r="F319" s="105"/>
      <c r="G319" s="105"/>
      <c r="H319" s="105"/>
      <c r="I319" s="105"/>
      <c r="J319" s="108"/>
      <c r="K319" s="108"/>
      <c r="L319" s="106"/>
      <c r="M319" s="107"/>
      <c r="N319" s="106"/>
      <c r="O319" s="106"/>
      <c r="P319" s="106"/>
      <c r="Q319" s="109"/>
      <c r="R319" s="289"/>
      <c r="S319" s="107"/>
      <c r="T319" s="106"/>
      <c r="U319" s="106" t="str">
        <f>TEXT(Table626893456791011121314[[#This Row],[PO Date]], "mmmm")</f>
        <v>January</v>
      </c>
      <c r="V319" s="284">
        <f>Table626893456791011121314[[#This Row],[Offer Value]]-Table626893456791011121314[[#This Row],[PO Value]]</f>
        <v>0</v>
      </c>
      <c r="W319" s="106"/>
      <c r="X319" s="106"/>
      <c r="Y319" s="217"/>
      <c r="Z319" s="7"/>
      <c r="AA319" s="7"/>
    </row>
    <row r="320" spans="1:27" ht="14.85" customHeight="1">
      <c r="A320" s="106"/>
      <c r="B320" s="106"/>
      <c r="C320" s="105"/>
      <c r="D320" s="105"/>
      <c r="E320" s="105"/>
      <c r="F320" s="105"/>
      <c r="G320" s="105"/>
      <c r="H320" s="105"/>
      <c r="I320" s="105"/>
      <c r="J320" s="108"/>
      <c r="K320" s="108"/>
      <c r="L320" s="106"/>
      <c r="M320" s="106"/>
      <c r="N320" s="106"/>
      <c r="O320" s="106"/>
      <c r="P320" s="106"/>
      <c r="Q320" s="109"/>
      <c r="R320" s="289"/>
      <c r="S320" s="107"/>
      <c r="T320" s="106"/>
      <c r="U320" s="106" t="str">
        <f>TEXT(Table626893456791011121314[[#This Row],[PO Date]], "mmmm")</f>
        <v>January</v>
      </c>
      <c r="V320" s="284">
        <f>Table626893456791011121314[[#This Row],[Offer Value]]-Table626893456791011121314[[#This Row],[PO Value]]</f>
        <v>0</v>
      </c>
      <c r="W320" s="106"/>
      <c r="X320" s="106"/>
      <c r="Y320" s="217"/>
      <c r="Z320" s="7"/>
      <c r="AA320" s="7"/>
    </row>
    <row r="321" spans="1:27" ht="14.85" customHeight="1">
      <c r="A321" s="106"/>
      <c r="B321" s="106"/>
      <c r="C321" s="105"/>
      <c r="D321" s="105"/>
      <c r="E321" s="105"/>
      <c r="F321" s="105"/>
      <c r="G321" s="105"/>
      <c r="H321" s="105"/>
      <c r="I321" s="105"/>
      <c r="J321" s="108"/>
      <c r="K321" s="108"/>
      <c r="L321" s="106"/>
      <c r="M321" s="106"/>
      <c r="N321" s="106"/>
      <c r="O321" s="106"/>
      <c r="P321" s="106"/>
      <c r="Q321" s="109"/>
      <c r="R321" s="256"/>
      <c r="S321" s="107"/>
      <c r="T321" s="106"/>
      <c r="U321" s="106" t="str">
        <f>TEXT(Table626893456791011121314[[#This Row],[PO Date]], "mmmm")</f>
        <v>January</v>
      </c>
      <c r="V321" s="284">
        <f>Table626893456791011121314[[#This Row],[Offer Value]]-Table626893456791011121314[[#This Row],[PO Value]]</f>
        <v>0</v>
      </c>
      <c r="W321" s="106"/>
      <c r="X321" s="106"/>
      <c r="Y321" s="617"/>
      <c r="Z321" s="7"/>
      <c r="AA321" s="7"/>
    </row>
    <row r="322" spans="1:27" ht="14.85" customHeight="1">
      <c r="A322" s="106"/>
      <c r="B322" s="106"/>
      <c r="C322" s="105"/>
      <c r="D322" s="105"/>
      <c r="E322" s="105"/>
      <c r="F322" s="105"/>
      <c r="G322" s="105"/>
      <c r="H322" s="105"/>
      <c r="I322" s="105"/>
      <c r="J322" s="108"/>
      <c r="K322" s="108"/>
      <c r="L322" s="106"/>
      <c r="M322" s="106"/>
      <c r="N322" s="106"/>
      <c r="O322" s="106"/>
      <c r="P322" s="106"/>
      <c r="Q322" s="109"/>
      <c r="R322" s="289"/>
      <c r="S322" s="107"/>
      <c r="T322" s="106"/>
      <c r="U322" s="106" t="str">
        <f>TEXT(Table626893456791011121314[[#This Row],[PO Date]], "mmmm")</f>
        <v>January</v>
      </c>
      <c r="V322" s="284">
        <f>Table626893456791011121314[[#This Row],[Offer Value]]-Table626893456791011121314[[#This Row],[PO Value]]</f>
        <v>0</v>
      </c>
      <c r="W322" s="106"/>
      <c r="X322" s="106"/>
      <c r="Y322" s="217"/>
      <c r="Z322" s="7"/>
      <c r="AA322" s="7"/>
    </row>
    <row r="323" spans="1:27" ht="14.85" customHeight="1">
      <c r="A323" s="106"/>
      <c r="B323" s="106"/>
      <c r="C323" s="105"/>
      <c r="D323" s="105"/>
      <c r="E323" s="105"/>
      <c r="F323" s="105"/>
      <c r="G323" s="105"/>
      <c r="H323" s="105"/>
      <c r="I323" s="105"/>
      <c r="J323" s="108"/>
      <c r="K323" s="108"/>
      <c r="L323" s="106"/>
      <c r="M323" s="107"/>
      <c r="N323" s="106"/>
      <c r="O323" s="106"/>
      <c r="P323" s="106"/>
      <c r="Q323" s="109"/>
      <c r="R323" s="289"/>
      <c r="S323" s="107"/>
      <c r="T323" s="106"/>
      <c r="U323" s="106" t="str">
        <f>TEXT(Table626893456791011121314[[#This Row],[PO Date]], "mmmm")</f>
        <v>January</v>
      </c>
      <c r="V323" s="284">
        <f>Table626893456791011121314[[#This Row],[Offer Value]]-Table626893456791011121314[[#This Row],[PO Value]]</f>
        <v>0</v>
      </c>
      <c r="W323" s="106"/>
      <c r="X323" s="106"/>
      <c r="Y323" s="217"/>
      <c r="Z323" s="7"/>
      <c r="AA323" s="7"/>
    </row>
    <row r="324" spans="1:27" ht="14.85" customHeight="1">
      <c r="A324" s="106"/>
      <c r="B324" s="106"/>
      <c r="C324" s="105"/>
      <c r="D324" s="105"/>
      <c r="E324" s="105"/>
      <c r="F324" s="105"/>
      <c r="G324" s="105"/>
      <c r="H324" s="105"/>
      <c r="I324" s="105"/>
      <c r="J324" s="108"/>
      <c r="K324" s="108"/>
      <c r="L324" s="106"/>
      <c r="M324" s="106"/>
      <c r="N324" s="106"/>
      <c r="O324" s="106"/>
      <c r="P324" s="106"/>
      <c r="Q324" s="109"/>
      <c r="R324" s="289"/>
      <c r="S324" s="107"/>
      <c r="T324" s="106"/>
      <c r="U324" s="106" t="str">
        <f>TEXT(Table626893456791011121314[[#This Row],[PO Date]], "mmmm")</f>
        <v>January</v>
      </c>
      <c r="V324" s="284">
        <f>Table626893456791011121314[[#This Row],[Offer Value]]-Table626893456791011121314[[#This Row],[PO Value]]</f>
        <v>0</v>
      </c>
      <c r="W324" s="106"/>
      <c r="X324" s="106"/>
      <c r="Y324" s="217"/>
      <c r="Z324" s="7"/>
      <c r="AA324" s="7"/>
    </row>
    <row r="325" spans="1:27" ht="14.85" customHeight="1">
      <c r="A325" s="106"/>
      <c r="B325" s="106"/>
      <c r="C325" s="105"/>
      <c r="D325" s="105"/>
      <c r="E325" s="105"/>
      <c r="F325" s="105"/>
      <c r="G325" s="105"/>
      <c r="H325" s="105"/>
      <c r="I325" s="105"/>
      <c r="J325" s="108"/>
      <c r="K325" s="108"/>
      <c r="L325" s="106"/>
      <c r="M325" s="106"/>
      <c r="N325" s="106"/>
      <c r="O325" s="106"/>
      <c r="P325" s="106"/>
      <c r="Q325" s="109"/>
      <c r="R325" s="289"/>
      <c r="S325" s="107"/>
      <c r="T325" s="106"/>
      <c r="U325" s="106" t="str">
        <f>TEXT(Table626893456791011121314[[#This Row],[PO Date]], "mmmm")</f>
        <v>January</v>
      </c>
      <c r="V325" s="284">
        <f>Table626893456791011121314[[#This Row],[Offer Value]]-Table626893456791011121314[[#This Row],[PO Value]]</f>
        <v>0</v>
      </c>
      <c r="W325" s="106"/>
      <c r="X325" s="106"/>
      <c r="Y325" s="217"/>
      <c r="Z325" s="7"/>
      <c r="AA325" s="7"/>
    </row>
    <row r="326" spans="1:27" ht="14.85" customHeight="1">
      <c r="A326" s="106"/>
      <c r="B326" s="106"/>
      <c r="C326" s="105"/>
      <c r="D326" s="105"/>
      <c r="E326" s="105"/>
      <c r="F326" s="105"/>
      <c r="G326" s="105"/>
      <c r="H326" s="105"/>
      <c r="I326" s="105"/>
      <c r="J326" s="108"/>
      <c r="K326" s="108"/>
      <c r="L326" s="106"/>
      <c r="M326" s="106"/>
      <c r="N326" s="106"/>
      <c r="O326" s="106"/>
      <c r="P326" s="106"/>
      <c r="Q326" s="109"/>
      <c r="R326" s="289"/>
      <c r="S326" s="107"/>
      <c r="T326" s="106"/>
      <c r="U326" s="106" t="str">
        <f>TEXT(Table626893456791011121314[[#This Row],[PO Date]], "mmmm")</f>
        <v>January</v>
      </c>
      <c r="V326" s="284">
        <f>Table626893456791011121314[[#This Row],[Offer Value]]-Table626893456791011121314[[#This Row],[PO Value]]</f>
        <v>0</v>
      </c>
      <c r="W326" s="106"/>
      <c r="X326" s="106"/>
      <c r="Y326" s="217"/>
      <c r="Z326" s="7"/>
      <c r="AA326" s="7"/>
    </row>
    <row r="327" spans="1:27" ht="14.85" customHeight="1">
      <c r="A327" s="106"/>
      <c r="B327" s="106"/>
      <c r="C327" s="105"/>
      <c r="D327" s="105"/>
      <c r="E327" s="105"/>
      <c r="F327" s="105"/>
      <c r="G327" s="105"/>
      <c r="H327" s="105"/>
      <c r="I327" s="105"/>
      <c r="J327" s="108"/>
      <c r="K327" s="108"/>
      <c r="L327" s="106"/>
      <c r="M327" s="107"/>
      <c r="N327" s="106"/>
      <c r="O327" s="106"/>
      <c r="P327" s="106"/>
      <c r="Q327" s="109"/>
      <c r="R327" s="289"/>
      <c r="S327" s="107"/>
      <c r="T327" s="106"/>
      <c r="U327" s="106" t="str">
        <f>TEXT(Table626893456791011121314[[#This Row],[PO Date]], "mmmm")</f>
        <v>January</v>
      </c>
      <c r="V327" s="284">
        <f>Table626893456791011121314[[#This Row],[Offer Value]]-Table626893456791011121314[[#This Row],[PO Value]]</f>
        <v>0</v>
      </c>
      <c r="W327" s="106"/>
      <c r="X327" s="106"/>
      <c r="Y327" s="217"/>
      <c r="Z327" s="7"/>
      <c r="AA327" s="7"/>
    </row>
    <row r="328" spans="1:27" ht="14.85" customHeight="1">
      <c r="A328" s="106"/>
      <c r="B328" s="106"/>
      <c r="C328" s="105"/>
      <c r="D328" s="105"/>
      <c r="E328" s="105"/>
      <c r="F328" s="105"/>
      <c r="G328" s="105"/>
      <c r="H328" s="105"/>
      <c r="I328" s="105"/>
      <c r="J328" s="108"/>
      <c r="K328" s="108"/>
      <c r="L328" s="106"/>
      <c r="M328" s="107"/>
      <c r="N328" s="106"/>
      <c r="O328" s="106"/>
      <c r="P328" s="106"/>
      <c r="Q328" s="109"/>
      <c r="R328" s="289"/>
      <c r="S328" s="107"/>
      <c r="T328" s="106"/>
      <c r="U328" s="106" t="str">
        <f>TEXT(Table626893456791011121314[[#This Row],[PO Date]], "mmmm")</f>
        <v>January</v>
      </c>
      <c r="V328" s="284">
        <f>Table626893456791011121314[[#This Row],[Offer Value]]-Table626893456791011121314[[#This Row],[PO Value]]</f>
        <v>0</v>
      </c>
      <c r="W328" s="106"/>
      <c r="X328" s="106"/>
      <c r="Y328" s="217"/>
      <c r="Z328" s="7"/>
      <c r="AA328" s="7"/>
    </row>
    <row r="329" spans="1:27" ht="14.85" customHeight="1">
      <c r="A329" s="106"/>
      <c r="B329" s="106"/>
      <c r="C329" s="105"/>
      <c r="D329" s="105"/>
      <c r="E329" s="105"/>
      <c r="F329" s="105"/>
      <c r="G329" s="105"/>
      <c r="H329" s="105"/>
      <c r="I329" s="105"/>
      <c r="J329" s="108"/>
      <c r="K329" s="108"/>
      <c r="L329" s="106"/>
      <c r="M329" s="106"/>
      <c r="N329" s="106"/>
      <c r="O329" s="106"/>
      <c r="P329" s="106"/>
      <c r="Q329" s="109"/>
      <c r="R329" s="256"/>
      <c r="S329" s="107"/>
      <c r="T329" s="106"/>
      <c r="U329" s="106" t="str">
        <f>TEXT(Table626893456791011121314[[#This Row],[PO Date]], "mmmm")</f>
        <v>January</v>
      </c>
      <c r="V329" s="284">
        <f>Table626893456791011121314[[#This Row],[Offer Value]]-Table626893456791011121314[[#This Row],[PO Value]]</f>
        <v>0</v>
      </c>
      <c r="W329" s="106"/>
      <c r="X329" s="106"/>
      <c r="Y329" s="617"/>
      <c r="Z329" s="7"/>
      <c r="AA329" s="7"/>
    </row>
    <row r="330" spans="1:27" ht="14.8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106"/>
      <c r="O330" s="106"/>
      <c r="P330" s="106"/>
      <c r="Q330" s="109"/>
      <c r="R330" s="289"/>
      <c r="S330" s="107"/>
      <c r="T330" s="106"/>
      <c r="U330" s="106" t="str">
        <f>TEXT(Table626893456791011121314[[#This Row],[PO Date]], "mmmm")</f>
        <v>January</v>
      </c>
      <c r="V330" s="284">
        <f>Table626893456791011121314[[#This Row],[Offer Value]]-Table626893456791011121314[[#This Row],[PO Value]]</f>
        <v>0</v>
      </c>
      <c r="W330" s="106"/>
      <c r="X330" s="106"/>
      <c r="Y330" s="217"/>
      <c r="Z330" s="7"/>
      <c r="AA330" s="7"/>
    </row>
    <row r="331" spans="1:27" ht="14.8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106"/>
      <c r="O331" s="106"/>
      <c r="P331" s="106"/>
      <c r="Q331" s="109"/>
      <c r="R331" s="289"/>
      <c r="S331" s="107"/>
      <c r="T331" s="106"/>
      <c r="U331" s="106" t="str">
        <f>TEXT(Table626893456791011121314[[#This Row],[PO Date]], "mmmm")</f>
        <v>January</v>
      </c>
      <c r="V331" s="284">
        <f>Table626893456791011121314[[#This Row],[Offer Value]]-Table626893456791011121314[[#This Row],[PO Value]]</f>
        <v>0</v>
      </c>
      <c r="W331" s="106"/>
      <c r="X331" s="106"/>
      <c r="Y331" s="217"/>
      <c r="Z331" s="7"/>
      <c r="AA331" s="7"/>
    </row>
    <row r="332" spans="1:27" ht="14.8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106"/>
      <c r="O332" s="106"/>
      <c r="P332" s="106"/>
      <c r="Q332" s="109"/>
      <c r="R332" s="289"/>
      <c r="S332" s="107"/>
      <c r="T332" s="106"/>
      <c r="U332" s="106" t="str">
        <f>TEXT(Table626893456791011121314[[#This Row],[PO Date]], "mmmm")</f>
        <v>January</v>
      </c>
      <c r="V332" s="284">
        <f>Table626893456791011121314[[#This Row],[Offer Value]]-Table626893456791011121314[[#This Row],[PO Value]]</f>
        <v>0</v>
      </c>
      <c r="W332" s="106"/>
      <c r="X332" s="106"/>
      <c r="Y332" s="217"/>
      <c r="Z332" s="7"/>
      <c r="AA332" s="7"/>
    </row>
    <row r="333" spans="1:27" ht="14.8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106"/>
      <c r="O333" s="106"/>
      <c r="P333" s="106"/>
      <c r="Q333" s="109"/>
      <c r="R333" s="289"/>
      <c r="S333" s="107"/>
      <c r="T333" s="106"/>
      <c r="U333" s="106" t="str">
        <f>TEXT(Table626893456791011121314[[#This Row],[PO Date]], "mmmm")</f>
        <v>January</v>
      </c>
      <c r="V333" s="284">
        <f>Table626893456791011121314[[#This Row],[Offer Value]]-Table626893456791011121314[[#This Row],[PO Value]]</f>
        <v>0</v>
      </c>
      <c r="W333" s="106"/>
      <c r="X333" s="106"/>
      <c r="Y333" s="217"/>
      <c r="Z333" s="7"/>
      <c r="AA333" s="7"/>
    </row>
    <row r="334" spans="1:27" ht="14.8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106"/>
      <c r="O334" s="106"/>
      <c r="P334" s="106"/>
      <c r="Q334" s="109"/>
      <c r="R334" s="289"/>
      <c r="S334" s="107"/>
      <c r="T334" s="106"/>
      <c r="U334" s="106" t="str">
        <f>TEXT(Table626893456791011121314[[#This Row],[PO Date]], "mmmm")</f>
        <v>January</v>
      </c>
      <c r="V334" s="284">
        <f>Table626893456791011121314[[#This Row],[Offer Value]]-Table626893456791011121314[[#This Row],[PO Value]]</f>
        <v>0</v>
      </c>
      <c r="W334" s="106"/>
      <c r="X334" s="106"/>
      <c r="Y334" s="217"/>
      <c r="Z334" s="7"/>
      <c r="AA334" s="7"/>
    </row>
    <row r="335" spans="1:27" ht="14.8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106"/>
      <c r="O335" s="106"/>
      <c r="P335" s="106"/>
      <c r="Q335" s="109"/>
      <c r="R335" s="289"/>
      <c r="S335" s="107"/>
      <c r="T335" s="106"/>
      <c r="U335" s="106" t="str">
        <f>TEXT(Table626893456791011121314[[#This Row],[PO Date]], "mmmm")</f>
        <v>January</v>
      </c>
      <c r="V335" s="284">
        <f>Table626893456791011121314[[#This Row],[Offer Value]]-Table626893456791011121314[[#This Row],[PO Value]]</f>
        <v>0</v>
      </c>
      <c r="W335" s="106"/>
      <c r="X335" s="106"/>
      <c r="Y335" s="217"/>
      <c r="Z335" s="7"/>
      <c r="AA335" s="7"/>
    </row>
    <row r="336" spans="1:27" ht="14.8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106"/>
      <c r="O336" s="106"/>
      <c r="P336" s="106"/>
      <c r="Q336" s="109"/>
      <c r="R336" s="289"/>
      <c r="S336" s="107"/>
      <c r="T336" s="106"/>
      <c r="U336" s="106" t="str">
        <f>TEXT(Table626893456791011121314[[#This Row],[PO Date]], "mmmm")</f>
        <v>January</v>
      </c>
      <c r="V336" s="284">
        <f>Table626893456791011121314[[#This Row],[Offer Value]]-Table626893456791011121314[[#This Row],[PO Value]]</f>
        <v>0</v>
      </c>
      <c r="W336" s="106"/>
      <c r="X336" s="106"/>
      <c r="Y336" s="217"/>
      <c r="Z336" s="7"/>
      <c r="AA336" s="7"/>
    </row>
    <row r="337" spans="1:27" ht="14.8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106"/>
      <c r="O337" s="106"/>
      <c r="P337" s="106"/>
      <c r="Q337" s="109"/>
      <c r="R337" s="289"/>
      <c r="S337" s="107"/>
      <c r="T337" s="106"/>
      <c r="U337" s="106" t="str">
        <f>TEXT(Table626893456791011121314[[#This Row],[PO Date]], "mmmm")</f>
        <v>January</v>
      </c>
      <c r="V337" s="284">
        <f>Table626893456791011121314[[#This Row],[Offer Value]]-Table626893456791011121314[[#This Row],[PO Value]]</f>
        <v>0</v>
      </c>
      <c r="W337" s="106"/>
      <c r="X337" s="106"/>
      <c r="Y337" s="217"/>
      <c r="Z337" s="7"/>
      <c r="AA337" s="7"/>
    </row>
    <row r="338" spans="1:27" ht="14.8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106"/>
      <c r="O338" s="106"/>
      <c r="P338" s="106"/>
      <c r="Q338" s="109"/>
      <c r="R338" s="289"/>
      <c r="S338" s="107"/>
      <c r="T338" s="106"/>
      <c r="U338" s="106" t="str">
        <f>TEXT(Table626893456791011121314[[#This Row],[PO Date]], "mmmm")</f>
        <v>January</v>
      </c>
      <c r="V338" s="284">
        <f>Table626893456791011121314[[#This Row],[Offer Value]]-Table626893456791011121314[[#This Row],[PO Value]]</f>
        <v>0</v>
      </c>
      <c r="W338" s="106"/>
      <c r="X338" s="106"/>
      <c r="Y338" s="217"/>
      <c r="Z338" s="7"/>
      <c r="AA338" s="7"/>
    </row>
    <row r="339" spans="1:27" ht="14.8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106"/>
      <c r="O339" s="106"/>
      <c r="P339" s="106"/>
      <c r="Q339" s="109"/>
      <c r="R339" s="289"/>
      <c r="S339" s="107"/>
      <c r="T339" s="106"/>
      <c r="U339" s="106" t="str">
        <f>TEXT(Table626893456791011121314[[#This Row],[PO Date]], "mmmm")</f>
        <v>January</v>
      </c>
      <c r="V339" s="284">
        <f>Table626893456791011121314[[#This Row],[Offer Value]]-Table626893456791011121314[[#This Row],[PO Value]]</f>
        <v>0</v>
      </c>
      <c r="W339" s="106"/>
      <c r="X339" s="106"/>
      <c r="Y339" s="217"/>
      <c r="Z339" s="7"/>
      <c r="AA339" s="7"/>
    </row>
    <row r="340" spans="1:27" ht="14.8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106"/>
      <c r="O340" s="106"/>
      <c r="P340" s="106"/>
      <c r="Q340" s="109"/>
      <c r="R340" s="289"/>
      <c r="S340" s="107"/>
      <c r="T340" s="106"/>
      <c r="U340" s="106" t="str">
        <f>TEXT(Table626893456791011121314[[#This Row],[PO Date]], "mmmm")</f>
        <v>January</v>
      </c>
      <c r="V340" s="284">
        <f>Table626893456791011121314[[#This Row],[Offer Value]]-Table626893456791011121314[[#This Row],[PO Value]]</f>
        <v>0</v>
      </c>
      <c r="W340" s="106"/>
      <c r="X340" s="106"/>
      <c r="Y340" s="217"/>
      <c r="Z340" s="7"/>
      <c r="AA340" s="7"/>
    </row>
    <row r="341" spans="1:27" ht="14.8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106"/>
      <c r="O341" s="106"/>
      <c r="P341" s="106"/>
      <c r="Q341" s="109"/>
      <c r="R341" s="289"/>
      <c r="S341" s="107"/>
      <c r="T341" s="106"/>
      <c r="U341" s="106" t="str">
        <f>TEXT(Table626893456791011121314[[#This Row],[PO Date]], "mmmm")</f>
        <v>January</v>
      </c>
      <c r="V341" s="284">
        <f>Table626893456791011121314[[#This Row],[Offer Value]]-Table626893456791011121314[[#This Row],[PO Value]]</f>
        <v>0</v>
      </c>
      <c r="W341" s="106"/>
      <c r="X341" s="106"/>
      <c r="Y341" s="217"/>
      <c r="Z341" s="7"/>
      <c r="AA341" s="7"/>
    </row>
    <row r="342" spans="1:27" ht="14.8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06"/>
      <c r="N342" s="106"/>
      <c r="O342" s="106"/>
      <c r="P342" s="106"/>
      <c r="Q342" s="109"/>
      <c r="R342" s="289"/>
      <c r="S342" s="107"/>
      <c r="T342" s="106"/>
      <c r="U342" s="106" t="str">
        <f>TEXT(Table626893456791011121314[[#This Row],[PO Date]], "mmmm")</f>
        <v>January</v>
      </c>
      <c r="V342" s="284">
        <f>Table626893456791011121314[[#This Row],[Offer Value]]-Table626893456791011121314[[#This Row],[PO Value]]</f>
        <v>0</v>
      </c>
      <c r="W342" s="106"/>
      <c r="X342" s="106"/>
      <c r="Y342" s="217"/>
      <c r="Z342" s="7"/>
      <c r="AA342" s="7"/>
    </row>
    <row r="343" spans="1:27" ht="14.8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106"/>
      <c r="O343" s="106"/>
      <c r="P343" s="106"/>
      <c r="Q343" s="109"/>
      <c r="R343" s="289"/>
      <c r="S343" s="107"/>
      <c r="T343" s="106"/>
      <c r="U343" s="106" t="str">
        <f>TEXT(Table626893456791011121314[[#This Row],[PO Date]], "mmmm")</f>
        <v>January</v>
      </c>
      <c r="V343" s="284">
        <f>Table626893456791011121314[[#This Row],[Offer Value]]-Table626893456791011121314[[#This Row],[PO Value]]</f>
        <v>0</v>
      </c>
      <c r="W343" s="106"/>
      <c r="X343" s="106"/>
      <c r="Y343" s="217"/>
      <c r="Z343" s="7"/>
      <c r="AA343" s="7"/>
    </row>
    <row r="344" spans="1:27" ht="14.8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106"/>
      <c r="O344" s="106"/>
      <c r="P344" s="106"/>
      <c r="Q344" s="109"/>
      <c r="R344" s="289"/>
      <c r="S344" s="107"/>
      <c r="T344" s="106"/>
      <c r="U344" s="106" t="str">
        <f>TEXT(Table626893456791011121314[[#This Row],[PO Date]], "mmmm")</f>
        <v>January</v>
      </c>
      <c r="V344" s="284">
        <f>Table626893456791011121314[[#This Row],[Offer Value]]-Table626893456791011121314[[#This Row],[PO Value]]</f>
        <v>0</v>
      </c>
      <c r="W344" s="106"/>
      <c r="X344" s="106"/>
      <c r="Y344" s="217"/>
      <c r="Z344" s="7"/>
      <c r="AA344" s="7"/>
    </row>
    <row r="345" spans="1:27" ht="14.8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106"/>
      <c r="O345" s="106"/>
      <c r="P345" s="106"/>
      <c r="Q345" s="109"/>
      <c r="R345" s="289"/>
      <c r="S345" s="107"/>
      <c r="T345" s="106"/>
      <c r="U345" s="106" t="str">
        <f>TEXT(Table626893456791011121314[[#This Row],[PO Date]], "mmmm")</f>
        <v>January</v>
      </c>
      <c r="V345" s="284">
        <f>Table626893456791011121314[[#This Row],[Offer Value]]-Table626893456791011121314[[#This Row],[PO Value]]</f>
        <v>0</v>
      </c>
      <c r="W345" s="106"/>
      <c r="X345" s="106"/>
      <c r="Y345" s="217"/>
      <c r="Z345" s="7"/>
      <c r="AA345" s="7"/>
    </row>
    <row r="346" spans="1:27" ht="14.8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106"/>
      <c r="O346" s="106"/>
      <c r="P346" s="106"/>
      <c r="Q346" s="109"/>
      <c r="R346" s="289"/>
      <c r="S346" s="107"/>
      <c r="T346" s="106"/>
      <c r="U346" s="106" t="str">
        <f>TEXT(Table626893456791011121314[[#This Row],[PO Date]], "mmmm")</f>
        <v>January</v>
      </c>
      <c r="V346" s="284">
        <f>Table626893456791011121314[[#This Row],[Offer Value]]-Table626893456791011121314[[#This Row],[PO Value]]</f>
        <v>0</v>
      </c>
      <c r="W346" s="106"/>
      <c r="X346" s="106"/>
      <c r="Y346" s="217"/>
      <c r="Z346" s="7"/>
      <c r="AA346" s="7"/>
    </row>
    <row r="347" spans="1:27" ht="14.8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106"/>
      <c r="O347" s="106"/>
      <c r="P347" s="106"/>
      <c r="Q347" s="109"/>
      <c r="R347" s="289"/>
      <c r="S347" s="107"/>
      <c r="T347" s="106"/>
      <c r="U347" s="106" t="str">
        <f>TEXT(Table626893456791011121314[[#This Row],[PO Date]], "mmmm")</f>
        <v>January</v>
      </c>
      <c r="V347" s="284">
        <f>Table626893456791011121314[[#This Row],[Offer Value]]-Table626893456791011121314[[#This Row],[PO Value]]</f>
        <v>0</v>
      </c>
      <c r="W347" s="106"/>
      <c r="X347" s="106"/>
      <c r="Y347" s="217"/>
      <c r="Z347" s="7"/>
      <c r="AA347" s="7"/>
    </row>
    <row r="348" spans="1:27" ht="14.8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106"/>
      <c r="O348" s="106"/>
      <c r="P348" s="106"/>
      <c r="Q348" s="109"/>
      <c r="R348" s="289"/>
      <c r="S348" s="107"/>
      <c r="T348" s="106"/>
      <c r="U348" s="106" t="str">
        <f>TEXT(Table626893456791011121314[[#This Row],[PO Date]], "mmmm")</f>
        <v>January</v>
      </c>
      <c r="V348" s="284">
        <f>Table626893456791011121314[[#This Row],[Offer Value]]-Table626893456791011121314[[#This Row],[PO Value]]</f>
        <v>0</v>
      </c>
      <c r="W348" s="106"/>
      <c r="X348" s="106"/>
      <c r="Y348" s="217"/>
      <c r="Z348" s="7"/>
      <c r="AA348" s="7"/>
    </row>
    <row r="349" spans="1:27" ht="14.8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106"/>
      <c r="O349" s="106"/>
      <c r="P349" s="106"/>
      <c r="Q349" s="109"/>
      <c r="R349" s="289"/>
      <c r="S349" s="107"/>
      <c r="T349" s="106"/>
      <c r="U349" s="106" t="str">
        <f>TEXT(Table626893456791011121314[[#This Row],[PO Date]], "mmmm")</f>
        <v>January</v>
      </c>
      <c r="V349" s="284">
        <f>Table626893456791011121314[[#This Row],[Offer Value]]-Table626893456791011121314[[#This Row],[PO Value]]</f>
        <v>0</v>
      </c>
      <c r="W349" s="106"/>
      <c r="X349" s="106"/>
      <c r="Y349" s="217"/>
      <c r="Z349" s="7"/>
      <c r="AA349" s="7"/>
    </row>
    <row r="350" spans="1:27" ht="14.8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106"/>
      <c r="O350" s="106"/>
      <c r="P350" s="106"/>
      <c r="Q350" s="109"/>
      <c r="R350" s="289"/>
      <c r="S350" s="107"/>
      <c r="T350" s="106"/>
      <c r="U350" s="106" t="str">
        <f>TEXT(Table626893456791011121314[[#This Row],[PO Date]], "mmmm")</f>
        <v>January</v>
      </c>
      <c r="V350" s="284">
        <f>Table626893456791011121314[[#This Row],[Offer Value]]-Table626893456791011121314[[#This Row],[PO Value]]</f>
        <v>0</v>
      </c>
      <c r="W350" s="106"/>
      <c r="X350" s="106"/>
      <c r="Y350" s="217"/>
      <c r="Z350" s="7"/>
      <c r="AA350" s="7"/>
    </row>
    <row r="351" spans="1:27" ht="14.8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106"/>
      <c r="O351" s="106"/>
      <c r="P351" s="106"/>
      <c r="Q351" s="109"/>
      <c r="R351" s="289"/>
      <c r="S351" s="107"/>
      <c r="T351" s="106"/>
      <c r="U351" s="106" t="str">
        <f>TEXT(Table626893456791011121314[[#This Row],[PO Date]], "mmmm")</f>
        <v>January</v>
      </c>
      <c r="V351" s="284">
        <f>Table626893456791011121314[[#This Row],[Offer Value]]-Table626893456791011121314[[#This Row],[PO Value]]</f>
        <v>0</v>
      </c>
      <c r="W351" s="106"/>
      <c r="X351" s="106"/>
      <c r="Y351" s="217"/>
      <c r="Z351" s="7"/>
      <c r="AA351" s="7"/>
    </row>
    <row r="352" spans="1:27" ht="14.8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106"/>
      <c r="O352" s="106"/>
      <c r="P352" s="106"/>
      <c r="Q352" s="109"/>
      <c r="R352" s="289"/>
      <c r="S352" s="107"/>
      <c r="T352" s="106"/>
      <c r="U352" s="106" t="str">
        <f>TEXT(Table626893456791011121314[[#This Row],[PO Date]], "mmmm")</f>
        <v>January</v>
      </c>
      <c r="V352" s="284">
        <f>Table626893456791011121314[[#This Row],[Offer Value]]-Table626893456791011121314[[#This Row],[PO Value]]</f>
        <v>0</v>
      </c>
      <c r="W352" s="106"/>
      <c r="X352" s="106"/>
      <c r="Y352" s="217"/>
      <c r="Z352" s="7"/>
      <c r="AA352" s="7"/>
    </row>
    <row r="353" spans="1:27" ht="14.8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106"/>
      <c r="O353" s="106"/>
      <c r="P353" s="106"/>
      <c r="Q353" s="109"/>
      <c r="R353" s="289"/>
      <c r="S353" s="107"/>
      <c r="T353" s="106"/>
      <c r="U353" s="106" t="str">
        <f>TEXT(Table626893456791011121314[[#This Row],[PO Date]], "mmmm")</f>
        <v>January</v>
      </c>
      <c r="V353" s="284">
        <f>Table626893456791011121314[[#This Row],[Offer Value]]-Table626893456791011121314[[#This Row],[PO Value]]</f>
        <v>0</v>
      </c>
      <c r="W353" s="106"/>
      <c r="X353" s="106"/>
      <c r="Y353" s="217"/>
      <c r="Z353" s="7"/>
      <c r="AA353" s="7"/>
    </row>
    <row r="354" spans="1:27" ht="14.8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106"/>
      <c r="O354" s="106"/>
      <c r="P354" s="106"/>
      <c r="Q354" s="109"/>
      <c r="R354" s="289"/>
      <c r="S354" s="107"/>
      <c r="T354" s="106"/>
      <c r="U354" s="106" t="str">
        <f>TEXT(Table626893456791011121314[[#This Row],[PO Date]], "mmmm")</f>
        <v>January</v>
      </c>
      <c r="V354" s="284">
        <f>Table626893456791011121314[[#This Row],[Offer Value]]-Table626893456791011121314[[#This Row],[PO Value]]</f>
        <v>0</v>
      </c>
      <c r="W354" s="106"/>
      <c r="X354" s="106"/>
      <c r="Y354" s="217"/>
      <c r="Z354" s="7"/>
      <c r="AA354" s="7"/>
    </row>
    <row r="355" spans="1:27" ht="14.8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106"/>
      <c r="O355" s="106"/>
      <c r="P355" s="106"/>
      <c r="Q355" s="109"/>
      <c r="R355" s="289"/>
      <c r="S355" s="107"/>
      <c r="T355" s="106"/>
      <c r="U355" s="106" t="str">
        <f>TEXT(Table626893456791011121314[[#This Row],[PO Date]], "mmmm")</f>
        <v>January</v>
      </c>
      <c r="V355" s="284">
        <f>Table626893456791011121314[[#This Row],[Offer Value]]-Table626893456791011121314[[#This Row],[PO Value]]</f>
        <v>0</v>
      </c>
      <c r="W355" s="106"/>
      <c r="X355" s="106"/>
      <c r="Y355" s="217"/>
      <c r="Z355" s="7"/>
      <c r="AA355" s="7"/>
    </row>
    <row r="356" spans="1:27" ht="14.8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106"/>
      <c r="O356" s="106"/>
      <c r="P356" s="106"/>
      <c r="Q356" s="109"/>
      <c r="R356" s="289"/>
      <c r="S356" s="107"/>
      <c r="T356" s="106"/>
      <c r="U356" s="106" t="str">
        <f>TEXT(Table626893456791011121314[[#This Row],[PO Date]], "mmmm")</f>
        <v>January</v>
      </c>
      <c r="V356" s="284">
        <f>Table626893456791011121314[[#This Row],[Offer Value]]-Table626893456791011121314[[#This Row],[PO Value]]</f>
        <v>0</v>
      </c>
      <c r="W356" s="106"/>
      <c r="X356" s="106"/>
      <c r="Y356" s="217"/>
      <c r="Z356" s="7"/>
      <c r="AA356" s="7"/>
    </row>
    <row r="357" spans="1:27" ht="14.8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106"/>
      <c r="N357" s="106"/>
      <c r="O357" s="106"/>
      <c r="P357" s="106"/>
      <c r="Q357" s="109"/>
      <c r="R357" s="289"/>
      <c r="S357" s="107"/>
      <c r="T357" s="106"/>
      <c r="U357" s="106" t="str">
        <f>TEXT(Table626893456791011121314[[#This Row],[PO Date]], "mmmm")</f>
        <v>January</v>
      </c>
      <c r="V357" s="284">
        <f>Table626893456791011121314[[#This Row],[Offer Value]]-Table626893456791011121314[[#This Row],[PO Value]]</f>
        <v>0</v>
      </c>
      <c r="W357" s="106"/>
      <c r="X357" s="106"/>
      <c r="Y357" s="217"/>
      <c r="Z357" s="7"/>
      <c r="AA357" s="7"/>
    </row>
    <row r="358" spans="1:27" ht="14.8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06"/>
      <c r="N358" s="106"/>
      <c r="O358" s="106"/>
      <c r="P358" s="106"/>
      <c r="Q358" s="109"/>
      <c r="R358" s="289"/>
      <c r="S358" s="107"/>
      <c r="T358" s="106"/>
      <c r="U358" s="106" t="str">
        <f>TEXT(Table626893456791011121314[[#This Row],[PO Date]], "mmmm")</f>
        <v>January</v>
      </c>
      <c r="V358" s="284">
        <f>Table626893456791011121314[[#This Row],[Offer Value]]-Table626893456791011121314[[#This Row],[PO Value]]</f>
        <v>0</v>
      </c>
      <c r="W358" s="106"/>
      <c r="X358" s="106"/>
      <c r="Y358" s="217"/>
      <c r="Z358" s="7"/>
      <c r="AA358" s="7"/>
    </row>
    <row r="359" spans="1:27" ht="14.8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106"/>
      <c r="O359" s="106"/>
      <c r="P359" s="106"/>
      <c r="Q359" s="109"/>
      <c r="R359" s="289"/>
      <c r="S359" s="107"/>
      <c r="T359" s="106"/>
      <c r="U359" s="106" t="str">
        <f>TEXT(Table626893456791011121314[[#This Row],[PO Date]], "mmmm")</f>
        <v>January</v>
      </c>
      <c r="V359" s="284">
        <f>Table626893456791011121314[[#This Row],[Offer Value]]-Table626893456791011121314[[#This Row],[PO Value]]</f>
        <v>0</v>
      </c>
      <c r="W359" s="106"/>
      <c r="X359" s="106"/>
      <c r="Y359" s="217"/>
      <c r="Z359" s="7"/>
      <c r="AA359" s="7"/>
    </row>
    <row r="360" spans="1:27" ht="14.8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106"/>
      <c r="O360" s="106"/>
      <c r="P360" s="106"/>
      <c r="Q360" s="109"/>
      <c r="R360" s="289"/>
      <c r="S360" s="107"/>
      <c r="T360" s="106"/>
      <c r="U360" s="106" t="str">
        <f>TEXT(Table626893456791011121314[[#This Row],[PO Date]], "mmmm")</f>
        <v>January</v>
      </c>
      <c r="V360" s="284">
        <f>Table626893456791011121314[[#This Row],[Offer Value]]-Table626893456791011121314[[#This Row],[PO Value]]</f>
        <v>0</v>
      </c>
      <c r="W360" s="106"/>
      <c r="X360" s="106"/>
      <c r="Y360" s="217"/>
      <c r="Z360" s="7"/>
      <c r="AA360" s="7"/>
    </row>
    <row r="361" spans="1:27" ht="14.8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106"/>
      <c r="O361" s="106"/>
      <c r="P361" s="106"/>
      <c r="Q361" s="109"/>
      <c r="R361" s="289"/>
      <c r="S361" s="107"/>
      <c r="T361" s="106"/>
      <c r="U361" s="106" t="str">
        <f>TEXT(Table626893456791011121314[[#This Row],[PO Date]], "mmmm")</f>
        <v>January</v>
      </c>
      <c r="V361" s="284">
        <f>Table626893456791011121314[[#This Row],[Offer Value]]-Table626893456791011121314[[#This Row],[PO Value]]</f>
        <v>0</v>
      </c>
      <c r="W361" s="106"/>
      <c r="X361" s="106"/>
      <c r="Y361" s="217"/>
      <c r="Z361" s="7"/>
      <c r="AA361" s="7"/>
    </row>
    <row r="362" spans="1:27" ht="14.85" customHeight="1">
      <c r="A362" s="106"/>
      <c r="B362" s="106"/>
      <c r="C362" s="110"/>
      <c r="D362" s="110"/>
      <c r="E362" s="110"/>
      <c r="F362" s="110"/>
      <c r="G362" s="110"/>
      <c r="H362" s="110"/>
      <c r="I362" s="110"/>
      <c r="J362" s="108"/>
      <c r="K362" s="108"/>
      <c r="L362" s="106"/>
      <c r="M362" s="106"/>
      <c r="N362" s="106"/>
      <c r="O362" s="106"/>
      <c r="P362" s="106"/>
      <c r="Q362" s="109"/>
      <c r="R362" s="289"/>
      <c r="S362" s="107"/>
      <c r="T362" s="106"/>
      <c r="U362" s="106" t="str">
        <f>TEXT(Table626893456791011121314[[#This Row],[PO Date]], "mmmm")</f>
        <v>January</v>
      </c>
      <c r="V362" s="284">
        <f>Table626893456791011121314[[#This Row],[Offer Value]]-Table626893456791011121314[[#This Row],[PO Value]]</f>
        <v>0</v>
      </c>
      <c r="W362" s="106"/>
      <c r="X362" s="106"/>
      <c r="Y362" s="217"/>
      <c r="Z362" s="7"/>
      <c r="AA362" s="7"/>
    </row>
    <row r="363" spans="1:27" ht="14.8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106"/>
      <c r="O363" s="106"/>
      <c r="P363" s="106"/>
      <c r="Q363" s="109"/>
      <c r="R363" s="289"/>
      <c r="S363" s="107"/>
      <c r="T363" s="106"/>
      <c r="U363" s="106" t="str">
        <f>TEXT(Table626893456791011121314[[#This Row],[PO Date]], "mmmm")</f>
        <v>January</v>
      </c>
      <c r="V363" s="284">
        <f>Table626893456791011121314[[#This Row],[Offer Value]]-Table626893456791011121314[[#This Row],[PO Value]]</f>
        <v>0</v>
      </c>
      <c r="W363" s="106"/>
      <c r="X363" s="106"/>
      <c r="Y363" s="217"/>
      <c r="Z363" s="7"/>
      <c r="AA363" s="7"/>
    </row>
    <row r="364" spans="1:27" ht="14.8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106"/>
      <c r="O364" s="106"/>
      <c r="P364" s="106"/>
      <c r="Q364" s="109"/>
      <c r="R364" s="289"/>
      <c r="S364" s="107"/>
      <c r="T364" s="106"/>
      <c r="U364" s="106" t="str">
        <f>TEXT(Table626893456791011121314[[#This Row],[PO Date]], "mmmm")</f>
        <v>January</v>
      </c>
      <c r="V364" s="284">
        <f>Table626893456791011121314[[#This Row],[Offer Value]]-Table626893456791011121314[[#This Row],[PO Value]]</f>
        <v>0</v>
      </c>
      <c r="W364" s="106"/>
      <c r="X364" s="106"/>
      <c r="Y364" s="217"/>
      <c r="Z364" s="7"/>
      <c r="AA364" s="7"/>
    </row>
    <row r="365" spans="1:27" ht="14.8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106"/>
      <c r="O365" s="106"/>
      <c r="P365" s="106"/>
      <c r="Q365" s="109"/>
      <c r="R365" s="289"/>
      <c r="S365" s="107"/>
      <c r="T365" s="106"/>
      <c r="U365" s="106" t="str">
        <f>TEXT(Table626893456791011121314[[#This Row],[PO Date]], "mmmm")</f>
        <v>January</v>
      </c>
      <c r="V365" s="284">
        <f>Table626893456791011121314[[#This Row],[Offer Value]]-Table626893456791011121314[[#This Row],[PO Value]]</f>
        <v>0</v>
      </c>
      <c r="W365" s="106"/>
      <c r="X365" s="106"/>
      <c r="Y365" s="217"/>
      <c r="Z365" s="7"/>
      <c r="AA365" s="7"/>
    </row>
    <row r="366" spans="1:27" ht="14.8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106"/>
      <c r="O366" s="106"/>
      <c r="P366" s="106"/>
      <c r="Q366" s="109"/>
      <c r="R366" s="289"/>
      <c r="S366" s="107"/>
      <c r="T366" s="106"/>
      <c r="U366" s="106" t="str">
        <f>TEXT(Table626893456791011121314[[#This Row],[PO Date]], "mmmm")</f>
        <v>January</v>
      </c>
      <c r="V366" s="284">
        <f>Table626893456791011121314[[#This Row],[Offer Value]]-Table626893456791011121314[[#This Row],[PO Value]]</f>
        <v>0</v>
      </c>
      <c r="W366" s="106"/>
      <c r="X366" s="106"/>
      <c r="Y366" s="217"/>
      <c r="Z366" s="7"/>
      <c r="AA366" s="7"/>
    </row>
    <row r="367" spans="1:27" ht="14.8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106"/>
      <c r="O367" s="106"/>
      <c r="P367" s="106"/>
      <c r="Q367" s="109"/>
      <c r="R367" s="289"/>
      <c r="S367" s="107"/>
      <c r="T367" s="106"/>
      <c r="U367" s="106" t="str">
        <f>TEXT(Table626893456791011121314[[#This Row],[PO Date]], "mmmm")</f>
        <v>January</v>
      </c>
      <c r="V367" s="284">
        <f>Table626893456791011121314[[#This Row],[Offer Value]]-Table626893456791011121314[[#This Row],[PO Value]]</f>
        <v>0</v>
      </c>
      <c r="W367" s="106"/>
      <c r="X367" s="106"/>
      <c r="Y367" s="217"/>
      <c r="Z367" s="7"/>
      <c r="AA367" s="7"/>
    </row>
    <row r="368" spans="1:27" ht="14.8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106"/>
      <c r="O368" s="106"/>
      <c r="P368" s="106"/>
      <c r="Q368" s="109"/>
      <c r="R368" s="289"/>
      <c r="S368" s="107"/>
      <c r="T368" s="106"/>
      <c r="U368" s="106" t="str">
        <f>TEXT(Table626893456791011121314[[#This Row],[PO Date]], "mmmm")</f>
        <v>January</v>
      </c>
      <c r="V368" s="284">
        <f>Table626893456791011121314[[#This Row],[Offer Value]]-Table626893456791011121314[[#This Row],[PO Value]]</f>
        <v>0</v>
      </c>
      <c r="W368" s="106"/>
      <c r="X368" s="106"/>
      <c r="Y368" s="217"/>
      <c r="Z368" s="7"/>
      <c r="AA368" s="7"/>
    </row>
    <row r="369" spans="1:27" ht="14.8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106"/>
      <c r="O369" s="106"/>
      <c r="P369" s="106"/>
      <c r="Q369" s="109"/>
      <c r="R369" s="289"/>
      <c r="S369" s="107"/>
      <c r="T369" s="106"/>
      <c r="U369" s="106" t="str">
        <f>TEXT(Table626893456791011121314[[#This Row],[PO Date]], "mmmm")</f>
        <v>January</v>
      </c>
      <c r="V369" s="284">
        <f>Table626893456791011121314[[#This Row],[Offer Value]]-Table626893456791011121314[[#This Row],[PO Value]]</f>
        <v>0</v>
      </c>
      <c r="W369" s="106"/>
      <c r="X369" s="106"/>
      <c r="Y369" s="217"/>
      <c r="Z369" s="7"/>
      <c r="AA369" s="7"/>
    </row>
    <row r="370" spans="1:27" ht="14.8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106"/>
      <c r="O370" s="106"/>
      <c r="P370" s="106"/>
      <c r="Q370" s="109"/>
      <c r="R370" s="289"/>
      <c r="S370" s="107"/>
      <c r="T370" s="106"/>
      <c r="U370" s="106" t="str">
        <f>TEXT(Table626893456791011121314[[#This Row],[PO Date]], "mmmm")</f>
        <v>January</v>
      </c>
      <c r="V370" s="284">
        <f>Table626893456791011121314[[#This Row],[Offer Value]]-Table626893456791011121314[[#This Row],[PO Value]]</f>
        <v>0</v>
      </c>
      <c r="W370" s="106"/>
      <c r="X370" s="106"/>
      <c r="Y370" s="217"/>
      <c r="Z370" s="7"/>
      <c r="AA370" s="7"/>
    </row>
    <row r="371" spans="1:27" ht="14.8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106"/>
      <c r="O371" s="106"/>
      <c r="P371" s="106"/>
      <c r="Q371" s="109"/>
      <c r="R371" s="289"/>
      <c r="S371" s="107"/>
      <c r="T371" s="106"/>
      <c r="U371" s="106" t="str">
        <f>TEXT(Table626893456791011121314[[#This Row],[PO Date]], "mmmm")</f>
        <v>January</v>
      </c>
      <c r="V371" s="284">
        <f>Table626893456791011121314[[#This Row],[Offer Value]]-Table626893456791011121314[[#This Row],[PO Value]]</f>
        <v>0</v>
      </c>
      <c r="W371" s="106"/>
      <c r="X371" s="106"/>
      <c r="Y371" s="217"/>
      <c r="Z371" s="7"/>
      <c r="AA371" s="7"/>
    </row>
    <row r="372" spans="1:27" ht="24.6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106"/>
      <c r="O372" s="106"/>
      <c r="P372" s="106"/>
      <c r="Q372" s="109"/>
      <c r="R372" s="289"/>
      <c r="S372" s="107"/>
      <c r="T372" s="106"/>
      <c r="U372" s="106" t="str">
        <f>TEXT(Table626893456791011121314[[#This Row],[PO Date]], "mmmm")</f>
        <v>January</v>
      </c>
      <c r="V372" s="284">
        <f>Table626893456791011121314[[#This Row],[Offer Value]]-Table626893456791011121314[[#This Row],[PO Value]]</f>
        <v>0</v>
      </c>
      <c r="W372" s="106"/>
      <c r="X372" s="106"/>
      <c r="Y372" s="217"/>
      <c r="Z372" s="7"/>
      <c r="AA372" s="7"/>
    </row>
    <row r="373" spans="1:27" ht="14.8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106"/>
      <c r="O373" s="106"/>
      <c r="P373" s="106"/>
      <c r="Q373" s="109"/>
      <c r="R373" s="289"/>
      <c r="S373" s="107"/>
      <c r="T373" s="106"/>
      <c r="U373" s="106" t="str">
        <f>TEXT(Table626893456791011121314[[#This Row],[PO Date]], "mmmm")</f>
        <v>January</v>
      </c>
      <c r="V373" s="284">
        <f>Table626893456791011121314[[#This Row],[Offer Value]]-Table626893456791011121314[[#This Row],[PO Value]]</f>
        <v>0</v>
      </c>
      <c r="W373" s="106"/>
      <c r="X373" s="106"/>
      <c r="Y373" s="217"/>
      <c r="Z373" s="7"/>
      <c r="AA373" s="7"/>
    </row>
    <row r="374" spans="1:27" ht="14.8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106"/>
      <c r="O374" s="106"/>
      <c r="P374" s="106"/>
      <c r="Q374" s="109"/>
      <c r="R374" s="289"/>
      <c r="S374" s="107"/>
      <c r="T374" s="106"/>
      <c r="U374" s="106" t="str">
        <f>TEXT(Table626893456791011121314[[#This Row],[PO Date]], "mmmm")</f>
        <v>January</v>
      </c>
      <c r="V374" s="284">
        <f>Table626893456791011121314[[#This Row],[Offer Value]]-Table626893456791011121314[[#This Row],[PO Value]]</f>
        <v>0</v>
      </c>
      <c r="W374" s="106"/>
      <c r="X374" s="106"/>
      <c r="Y374" s="217"/>
      <c r="Z374" s="7"/>
      <c r="AA374" s="7"/>
    </row>
    <row r="375" spans="1:27" ht="14.8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106"/>
      <c r="O375" s="106"/>
      <c r="P375" s="106"/>
      <c r="Q375" s="109"/>
      <c r="R375" s="289"/>
      <c r="S375" s="107"/>
      <c r="T375" s="106"/>
      <c r="U375" s="106" t="str">
        <f>TEXT(Table626893456791011121314[[#This Row],[PO Date]], "mmmm")</f>
        <v>January</v>
      </c>
      <c r="V375" s="284">
        <f>Table626893456791011121314[[#This Row],[Offer Value]]-Table626893456791011121314[[#This Row],[PO Value]]</f>
        <v>0</v>
      </c>
      <c r="W375" s="106"/>
      <c r="X375" s="106"/>
      <c r="Y375" s="217"/>
      <c r="Z375" s="7"/>
      <c r="AA375" s="7"/>
    </row>
    <row r="376" spans="1:27" ht="14.8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106"/>
      <c r="O376" s="106"/>
      <c r="P376" s="106"/>
      <c r="Q376" s="109"/>
      <c r="R376" s="289"/>
      <c r="S376" s="107"/>
      <c r="T376" s="106"/>
      <c r="U376" s="106" t="str">
        <f>TEXT(Table626893456791011121314[[#This Row],[PO Date]], "mmmm")</f>
        <v>January</v>
      </c>
      <c r="V376" s="284">
        <f>Table626893456791011121314[[#This Row],[Offer Value]]-Table626893456791011121314[[#This Row],[PO Value]]</f>
        <v>0</v>
      </c>
      <c r="W376" s="106"/>
      <c r="X376" s="106"/>
      <c r="Y376" s="217"/>
      <c r="Z376" s="7"/>
      <c r="AA376" s="7"/>
    </row>
    <row r="377" spans="1:27" ht="14.8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106"/>
      <c r="O377" s="106"/>
      <c r="P377" s="106"/>
      <c r="Q377" s="109"/>
      <c r="R377" s="289"/>
      <c r="S377" s="107"/>
      <c r="T377" s="106"/>
      <c r="U377" s="106" t="str">
        <f>TEXT(Table626893456791011121314[[#This Row],[PO Date]], "mmmm")</f>
        <v>January</v>
      </c>
      <c r="V377" s="284">
        <f>Table626893456791011121314[[#This Row],[Offer Value]]-Table626893456791011121314[[#This Row],[PO Value]]</f>
        <v>0</v>
      </c>
      <c r="W377" s="106"/>
      <c r="X377" s="106"/>
      <c r="Y377" s="217"/>
      <c r="Z377" s="7"/>
      <c r="AA377" s="7"/>
    </row>
    <row r="378" spans="1:27" ht="14.8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8"/>
      <c r="K378" s="108"/>
      <c r="L378" s="106"/>
      <c r="M378" s="106"/>
      <c r="N378" s="106"/>
      <c r="O378" s="106"/>
      <c r="P378" s="106"/>
      <c r="Q378" s="109"/>
      <c r="R378" s="289"/>
      <c r="S378" s="107"/>
      <c r="T378" s="106"/>
      <c r="U378" s="106" t="str">
        <f>TEXT(Table626893456791011121314[[#This Row],[PO Date]], "mmmm")</f>
        <v>January</v>
      </c>
      <c r="V378" s="284">
        <f>Table626893456791011121314[[#This Row],[Offer Value]]-Table626893456791011121314[[#This Row],[PO Value]]</f>
        <v>0</v>
      </c>
      <c r="W378" s="106"/>
      <c r="X378" s="106"/>
      <c r="Y378" s="217"/>
      <c r="Z378" s="7"/>
      <c r="AA378" s="7"/>
    </row>
    <row r="379" spans="1:27" ht="14.8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8"/>
      <c r="K379" s="108"/>
      <c r="L379" s="106"/>
      <c r="M379" s="106"/>
      <c r="N379" s="106"/>
      <c r="O379" s="106"/>
      <c r="P379" s="106"/>
      <c r="Q379" s="109"/>
      <c r="R379" s="289"/>
      <c r="S379" s="107"/>
      <c r="T379" s="106"/>
      <c r="U379" s="106" t="str">
        <f>TEXT(Table626893456791011121314[[#This Row],[PO Date]], "mmmm")</f>
        <v>January</v>
      </c>
      <c r="V379" s="284">
        <f>Table626893456791011121314[[#This Row],[Offer Value]]-Table626893456791011121314[[#This Row],[PO Value]]</f>
        <v>0</v>
      </c>
      <c r="W379" s="106"/>
      <c r="X379" s="106"/>
      <c r="Y379" s="217"/>
      <c r="Z379" s="7"/>
      <c r="AA379" s="7"/>
    </row>
    <row r="380" spans="1:27" ht="14.8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8"/>
      <c r="K380" s="108"/>
      <c r="L380" s="106"/>
      <c r="M380" s="106"/>
      <c r="N380" s="106"/>
      <c r="O380" s="106"/>
      <c r="P380" s="106"/>
      <c r="Q380" s="109"/>
      <c r="R380" s="289"/>
      <c r="S380" s="107"/>
      <c r="T380" s="106"/>
      <c r="U380" s="106" t="str">
        <f>TEXT(Table626893456791011121314[[#This Row],[PO Date]], "mmmm")</f>
        <v>January</v>
      </c>
      <c r="V380" s="284">
        <f>Table626893456791011121314[[#This Row],[Offer Value]]-Table626893456791011121314[[#This Row],[PO Value]]</f>
        <v>0</v>
      </c>
      <c r="W380" s="106"/>
      <c r="X380" s="106"/>
      <c r="Y380" s="217"/>
      <c r="Z380" s="7"/>
      <c r="AA380" s="7"/>
    </row>
    <row r="381" spans="1:27" ht="14.8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8"/>
      <c r="K381" s="108"/>
      <c r="L381" s="106"/>
      <c r="M381" s="106"/>
      <c r="N381" s="106"/>
      <c r="O381" s="106"/>
      <c r="P381" s="106"/>
      <c r="Q381" s="109"/>
      <c r="R381" s="289"/>
      <c r="S381" s="107"/>
      <c r="T381" s="106"/>
      <c r="U381" s="106" t="str">
        <f>TEXT(Table626893456791011121314[[#This Row],[PO Date]], "mmmm")</f>
        <v>January</v>
      </c>
      <c r="V381" s="284">
        <f>Table626893456791011121314[[#This Row],[Offer Value]]-Table626893456791011121314[[#This Row],[PO Value]]</f>
        <v>0</v>
      </c>
      <c r="W381" s="106"/>
      <c r="X381" s="106"/>
      <c r="Y381" s="217"/>
      <c r="Z381" s="7"/>
      <c r="AA381" s="7"/>
    </row>
    <row r="382" spans="1:27" ht="14.8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8"/>
      <c r="K382" s="108"/>
      <c r="L382" s="106"/>
      <c r="M382" s="106"/>
      <c r="N382" s="106"/>
      <c r="O382" s="106"/>
      <c r="P382" s="106"/>
      <c r="Q382" s="109"/>
      <c r="R382" s="289"/>
      <c r="S382" s="107"/>
      <c r="T382" s="106"/>
      <c r="U382" s="106" t="str">
        <f>TEXT(Table626893456791011121314[[#This Row],[PO Date]], "mmmm")</f>
        <v>January</v>
      </c>
      <c r="V382" s="284">
        <f>Table626893456791011121314[[#This Row],[Offer Value]]-Table626893456791011121314[[#This Row],[PO Value]]</f>
        <v>0</v>
      </c>
      <c r="W382" s="106"/>
      <c r="X382" s="106"/>
      <c r="Y382" s="217"/>
      <c r="Z382" s="7"/>
      <c r="AA382" s="7"/>
    </row>
    <row r="383" spans="1:27" ht="14.8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8"/>
      <c r="K383" s="108"/>
      <c r="L383" s="106"/>
      <c r="M383" s="106"/>
      <c r="N383" s="106"/>
      <c r="O383" s="106"/>
      <c r="P383" s="106"/>
      <c r="Q383" s="109"/>
      <c r="R383" s="289"/>
      <c r="S383" s="107"/>
      <c r="T383" s="106"/>
      <c r="U383" s="106" t="str">
        <f>TEXT(Table626893456791011121314[[#This Row],[PO Date]], "mmmm")</f>
        <v>January</v>
      </c>
      <c r="V383" s="284">
        <f>Table626893456791011121314[[#This Row],[Offer Value]]-Table626893456791011121314[[#This Row],[PO Value]]</f>
        <v>0</v>
      </c>
      <c r="W383" s="106"/>
      <c r="X383" s="106"/>
      <c r="Y383" s="217"/>
      <c r="Z383" s="7"/>
      <c r="AA383" s="7"/>
    </row>
    <row r="384" spans="1:27" ht="14.8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8"/>
      <c r="K384" s="108"/>
      <c r="L384" s="106"/>
      <c r="M384" s="106"/>
      <c r="N384" s="106"/>
      <c r="O384" s="106"/>
      <c r="P384" s="106"/>
      <c r="Q384" s="109"/>
      <c r="R384" s="289"/>
      <c r="S384" s="107"/>
      <c r="T384" s="106"/>
      <c r="U384" s="106" t="str">
        <f>TEXT(Table626893456791011121314[[#This Row],[PO Date]], "mmmm")</f>
        <v>January</v>
      </c>
      <c r="V384" s="284">
        <f>Table626893456791011121314[[#This Row],[Offer Value]]-Table626893456791011121314[[#This Row],[PO Value]]</f>
        <v>0</v>
      </c>
      <c r="W384" s="106"/>
      <c r="X384" s="106"/>
      <c r="Y384" s="217"/>
      <c r="Z384" s="7"/>
      <c r="AA384" s="7"/>
    </row>
    <row r="385" spans="1:27" ht="14.8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8"/>
      <c r="K385" s="108"/>
      <c r="L385" s="106"/>
      <c r="M385" s="106"/>
      <c r="N385" s="106"/>
      <c r="O385" s="106"/>
      <c r="P385" s="106"/>
      <c r="Q385" s="109"/>
      <c r="R385" s="289"/>
      <c r="S385" s="107"/>
      <c r="T385" s="106"/>
      <c r="U385" s="106" t="str">
        <f>TEXT(Table626893456791011121314[[#This Row],[PO Date]], "mmmm")</f>
        <v>January</v>
      </c>
      <c r="V385" s="284">
        <f>Table626893456791011121314[[#This Row],[Offer Value]]-Table626893456791011121314[[#This Row],[PO Value]]</f>
        <v>0</v>
      </c>
      <c r="W385" s="106"/>
      <c r="X385" s="106"/>
      <c r="Y385" s="217"/>
      <c r="Z385" s="7"/>
      <c r="AA385" s="7"/>
    </row>
    <row r="386" spans="1:27" ht="14.8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8"/>
      <c r="K386" s="108"/>
      <c r="L386" s="106"/>
      <c r="M386" s="106"/>
      <c r="N386" s="106"/>
      <c r="O386" s="106"/>
      <c r="P386" s="106"/>
      <c r="Q386" s="109"/>
      <c r="R386" s="289"/>
      <c r="S386" s="107"/>
      <c r="T386" s="106"/>
      <c r="U386" s="106" t="str">
        <f>TEXT(Table626893456791011121314[[#This Row],[PO Date]], "mmmm")</f>
        <v>January</v>
      </c>
      <c r="V386" s="284">
        <f>Table626893456791011121314[[#This Row],[Offer Value]]-Table626893456791011121314[[#This Row],[PO Value]]</f>
        <v>0</v>
      </c>
      <c r="W386" s="106"/>
      <c r="X386" s="106"/>
      <c r="Y386" s="217"/>
      <c r="Z386" s="7"/>
      <c r="AA386" s="7"/>
    </row>
    <row r="387" spans="1:27" ht="14.8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8"/>
      <c r="K387" s="108"/>
      <c r="L387" s="106"/>
      <c r="M387" s="106"/>
      <c r="N387" s="106"/>
      <c r="O387" s="106"/>
      <c r="P387" s="106"/>
      <c r="Q387" s="109"/>
      <c r="R387" s="289"/>
      <c r="S387" s="107"/>
      <c r="T387" s="106"/>
      <c r="U387" s="106" t="str">
        <f>TEXT(Table626893456791011121314[[#This Row],[PO Date]], "mmmm")</f>
        <v>January</v>
      </c>
      <c r="V387" s="284">
        <f>Table626893456791011121314[[#This Row],[Offer Value]]-Table626893456791011121314[[#This Row],[PO Value]]</f>
        <v>0</v>
      </c>
      <c r="W387" s="106"/>
      <c r="X387" s="106"/>
      <c r="Y387" s="217"/>
      <c r="Z387" s="7"/>
      <c r="AA387" s="7"/>
    </row>
    <row r="388" spans="1:27" ht="14.8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8"/>
      <c r="K388" s="108"/>
      <c r="L388" s="106"/>
      <c r="M388" s="106"/>
      <c r="N388" s="106"/>
      <c r="O388" s="106"/>
      <c r="P388" s="106"/>
      <c r="Q388" s="109"/>
      <c r="R388" s="289"/>
      <c r="S388" s="107"/>
      <c r="T388" s="106"/>
      <c r="U388" s="106" t="str">
        <f>TEXT(Table626893456791011121314[[#This Row],[PO Date]], "mmmm")</f>
        <v>January</v>
      </c>
      <c r="V388" s="284">
        <f>Table626893456791011121314[[#This Row],[Offer Value]]-Table626893456791011121314[[#This Row],[PO Value]]</f>
        <v>0</v>
      </c>
      <c r="W388" s="106"/>
      <c r="X388" s="106"/>
      <c r="Y388" s="217"/>
      <c r="Z388" s="7"/>
      <c r="AA388" s="7"/>
    </row>
    <row r="389" spans="1:27" ht="14.8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8"/>
      <c r="K389" s="108"/>
      <c r="L389" s="106"/>
      <c r="M389" s="106"/>
      <c r="N389" s="106"/>
      <c r="O389" s="106"/>
      <c r="P389" s="106"/>
      <c r="Q389" s="109"/>
      <c r="R389" s="289"/>
      <c r="S389" s="107"/>
      <c r="T389" s="106"/>
      <c r="U389" s="106" t="str">
        <f>TEXT(Table626893456791011121314[[#This Row],[PO Date]], "mmmm")</f>
        <v>January</v>
      </c>
      <c r="V389" s="284">
        <f>Table626893456791011121314[[#This Row],[Offer Value]]-Table626893456791011121314[[#This Row],[PO Value]]</f>
        <v>0</v>
      </c>
      <c r="W389" s="106"/>
      <c r="X389" s="106"/>
      <c r="Y389" s="217"/>
      <c r="Z389" s="7"/>
      <c r="AA389" s="7"/>
    </row>
    <row r="390" spans="1:27" ht="15.6">
      <c r="A390" s="106"/>
      <c r="B390" s="106"/>
      <c r="C390" s="106"/>
      <c r="D390" s="106"/>
      <c r="E390" s="106"/>
      <c r="F390" s="106"/>
      <c r="G390" s="106"/>
      <c r="H390" s="106"/>
      <c r="I390" s="106"/>
      <c r="J390" s="108"/>
      <c r="K390" s="108"/>
      <c r="L390" s="106"/>
      <c r="M390" s="106"/>
      <c r="N390" s="106"/>
      <c r="O390" s="106"/>
      <c r="P390" s="106"/>
      <c r="Q390" s="109"/>
      <c r="R390" s="289"/>
      <c r="S390" s="107"/>
      <c r="T390" s="106"/>
      <c r="U390" s="106" t="str">
        <f>TEXT(Table626893456791011121314[[#This Row],[PO Date]], "mmmm")</f>
        <v>January</v>
      </c>
      <c r="V390" s="284">
        <f>Table626893456791011121314[[#This Row],[Offer Value]]-Table626893456791011121314[[#This Row],[PO Value]]</f>
        <v>0</v>
      </c>
      <c r="W390" s="106"/>
      <c r="X390" s="106"/>
      <c r="Y390" s="217"/>
      <c r="Z390" s="7"/>
      <c r="AA390" s="7"/>
    </row>
    <row r="391" spans="1:27" ht="15.6">
      <c r="A391" s="106"/>
      <c r="B391" s="106"/>
      <c r="C391" s="106"/>
      <c r="D391" s="106"/>
      <c r="E391" s="106"/>
      <c r="F391" s="106"/>
      <c r="G391" s="106"/>
      <c r="H391" s="106"/>
      <c r="I391" s="106"/>
      <c r="J391" s="108"/>
      <c r="K391" s="108"/>
      <c r="L391" s="106"/>
      <c r="M391" s="106"/>
      <c r="N391" s="106"/>
      <c r="O391" s="106"/>
      <c r="P391" s="106"/>
      <c r="Q391" s="109"/>
      <c r="R391" s="289"/>
      <c r="S391" s="107"/>
      <c r="T391" s="106"/>
      <c r="U391" s="106" t="str">
        <f>TEXT(Table626893456791011121314[[#This Row],[PO Date]], "mmmm")</f>
        <v>January</v>
      </c>
      <c r="V391" s="284">
        <f>Table626893456791011121314[[#This Row],[Offer Value]]-Table626893456791011121314[[#This Row],[PO Value]]</f>
        <v>0</v>
      </c>
      <c r="W391" s="106"/>
      <c r="X391" s="106"/>
      <c r="Y391" s="217"/>
      <c r="Z391" s="7"/>
      <c r="AA391" s="7"/>
    </row>
    <row r="392" spans="1:27" ht="15.6">
      <c r="A392" s="106"/>
      <c r="B392" s="106"/>
      <c r="C392" s="106"/>
      <c r="D392" s="106"/>
      <c r="E392" s="106"/>
      <c r="F392" s="106"/>
      <c r="G392" s="106"/>
      <c r="H392" s="106"/>
      <c r="I392" s="106"/>
      <c r="J392" s="108"/>
      <c r="K392" s="108"/>
      <c r="L392" s="106"/>
      <c r="M392" s="106"/>
      <c r="N392" s="106"/>
      <c r="O392" s="106"/>
      <c r="P392" s="106"/>
      <c r="Q392" s="109"/>
      <c r="R392" s="289"/>
      <c r="S392" s="107"/>
      <c r="T392" s="106"/>
      <c r="U392" s="106" t="str">
        <f>TEXT(Table626893456791011121314[[#This Row],[PO Date]], "mmmm")</f>
        <v>January</v>
      </c>
      <c r="V392" s="284">
        <f>Table626893456791011121314[[#This Row],[Offer Value]]-Table626893456791011121314[[#This Row],[PO Value]]</f>
        <v>0</v>
      </c>
      <c r="W392" s="106"/>
      <c r="X392" s="106"/>
      <c r="Y392" s="217"/>
      <c r="Z392" s="7"/>
      <c r="AA392" s="7"/>
    </row>
    <row r="393" spans="1:27" ht="15.6">
      <c r="A393" s="106"/>
      <c r="B393" s="106"/>
      <c r="C393" s="106"/>
      <c r="D393" s="106"/>
      <c r="E393" s="106"/>
      <c r="F393" s="106"/>
      <c r="G393" s="106"/>
      <c r="H393" s="106"/>
      <c r="I393" s="106"/>
      <c r="J393" s="108"/>
      <c r="K393" s="108"/>
      <c r="L393" s="106"/>
      <c r="M393" s="106"/>
      <c r="N393" s="106"/>
      <c r="O393" s="106"/>
      <c r="P393" s="106"/>
      <c r="Q393" s="109"/>
      <c r="R393" s="289"/>
      <c r="S393" s="107"/>
      <c r="T393" s="106"/>
      <c r="U393" s="106" t="str">
        <f>TEXT(Table626893456791011121314[[#This Row],[PO Date]], "mmmm")</f>
        <v>January</v>
      </c>
      <c r="V393" s="284">
        <f>Table626893456791011121314[[#This Row],[Offer Value]]-Table626893456791011121314[[#This Row],[PO Value]]</f>
        <v>0</v>
      </c>
      <c r="W393" s="106"/>
      <c r="X393" s="106"/>
      <c r="Y393" s="217"/>
      <c r="Z393" s="7"/>
      <c r="AA393" s="7"/>
    </row>
    <row r="394" spans="1:27" ht="15.6">
      <c r="A394" s="106"/>
      <c r="B394" s="106"/>
      <c r="C394" s="106"/>
      <c r="D394" s="106"/>
      <c r="E394" s="106"/>
      <c r="F394" s="106"/>
      <c r="G394" s="106"/>
      <c r="H394" s="106"/>
      <c r="I394" s="106"/>
      <c r="J394" s="108"/>
      <c r="K394" s="108"/>
      <c r="L394" s="106"/>
      <c r="M394" s="106"/>
      <c r="N394" s="106"/>
      <c r="O394" s="106"/>
      <c r="P394" s="106"/>
      <c r="Q394" s="109"/>
      <c r="R394" s="289"/>
      <c r="S394" s="107"/>
      <c r="T394" s="106"/>
      <c r="U394" s="106" t="str">
        <f>TEXT(Table626893456791011121314[[#This Row],[PO Date]], "mmmm")</f>
        <v>January</v>
      </c>
      <c r="V394" s="284">
        <f>Table626893456791011121314[[#This Row],[Offer Value]]-Table626893456791011121314[[#This Row],[PO Value]]</f>
        <v>0</v>
      </c>
      <c r="W394" s="106"/>
      <c r="X394" s="106"/>
      <c r="Y394" s="217"/>
      <c r="Z394" s="7"/>
      <c r="AA394" s="7"/>
    </row>
    <row r="395" spans="1:27" ht="15.6">
      <c r="A395" s="106"/>
      <c r="B395" s="106"/>
      <c r="C395" s="106"/>
      <c r="D395" s="106"/>
      <c r="E395" s="106"/>
      <c r="F395" s="106"/>
      <c r="G395" s="106"/>
      <c r="H395" s="106"/>
      <c r="I395" s="106"/>
      <c r="J395" s="108"/>
      <c r="K395" s="108"/>
      <c r="L395" s="106"/>
      <c r="M395" s="106"/>
      <c r="N395" s="106"/>
      <c r="O395" s="106"/>
      <c r="P395" s="106"/>
      <c r="Q395" s="109"/>
      <c r="R395" s="289"/>
      <c r="S395" s="107"/>
      <c r="T395" s="106"/>
      <c r="U395" s="106" t="str">
        <f>TEXT(Table626893456791011121314[[#This Row],[PO Date]], "mmmm")</f>
        <v>January</v>
      </c>
      <c r="V395" s="284">
        <f>Table626893456791011121314[[#This Row],[Offer Value]]-Table626893456791011121314[[#This Row],[PO Value]]</f>
        <v>0</v>
      </c>
      <c r="W395" s="106"/>
      <c r="X395" s="106"/>
      <c r="Y395" s="217"/>
      <c r="Z395" s="7"/>
      <c r="AA395" s="7"/>
    </row>
    <row r="396" spans="1:27" ht="15.6">
      <c r="A396" s="106"/>
      <c r="B396" s="106"/>
      <c r="C396" s="106"/>
      <c r="D396" s="106"/>
      <c r="E396" s="106"/>
      <c r="F396" s="106"/>
      <c r="G396" s="106"/>
      <c r="H396" s="106"/>
      <c r="I396" s="106"/>
      <c r="J396" s="108"/>
      <c r="K396" s="108"/>
      <c r="L396" s="106"/>
      <c r="M396" s="106"/>
      <c r="N396" s="106"/>
      <c r="O396" s="106"/>
      <c r="P396" s="106"/>
      <c r="Q396" s="109"/>
      <c r="R396" s="289"/>
      <c r="S396" s="107"/>
      <c r="T396" s="106"/>
      <c r="U396" s="106" t="str">
        <f>TEXT(Table626893456791011121314[[#This Row],[PO Date]], "mmmm")</f>
        <v>January</v>
      </c>
      <c r="V396" s="284">
        <f>Table626893456791011121314[[#This Row],[Offer Value]]-Table626893456791011121314[[#This Row],[PO Value]]</f>
        <v>0</v>
      </c>
      <c r="W396" s="106"/>
      <c r="X396" s="106"/>
      <c r="Y396" s="217"/>
      <c r="Z396" s="7"/>
      <c r="AA396" s="7"/>
    </row>
    <row r="397" spans="1:27" ht="15.6">
      <c r="A397" s="106"/>
      <c r="B397" s="106"/>
      <c r="C397" s="106"/>
      <c r="D397" s="106"/>
      <c r="E397" s="106"/>
      <c r="F397" s="106"/>
      <c r="G397" s="106"/>
      <c r="H397" s="106"/>
      <c r="I397" s="106"/>
      <c r="J397" s="108"/>
      <c r="K397" s="108"/>
      <c r="L397" s="106"/>
      <c r="M397" s="106"/>
      <c r="N397" s="106"/>
      <c r="O397" s="106"/>
      <c r="P397" s="106"/>
      <c r="Q397" s="109"/>
      <c r="R397" s="289"/>
      <c r="S397" s="107"/>
      <c r="T397" s="106"/>
      <c r="U397" s="106" t="str">
        <f>TEXT(Table626893456791011121314[[#This Row],[PO Date]], "mmmm")</f>
        <v>January</v>
      </c>
      <c r="V397" s="284">
        <f>Table626893456791011121314[[#This Row],[Offer Value]]-Table626893456791011121314[[#This Row],[PO Value]]</f>
        <v>0</v>
      </c>
      <c r="W397" s="106"/>
      <c r="X397" s="106"/>
      <c r="Y397" s="217"/>
      <c r="Z397" s="7"/>
      <c r="AA397" s="7"/>
    </row>
    <row r="398" spans="1:27" ht="15.6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28"/>
      <c r="O398" s="128"/>
      <c r="P398" s="106"/>
      <c r="Q398" s="109"/>
      <c r="R398" s="619"/>
      <c r="S398" s="130"/>
      <c r="T398" s="106"/>
      <c r="U398" s="129" t="str">
        <f>TEXT(Table626893456791011121314[[#This Row],[PO Date]], "mmmm")</f>
        <v>January</v>
      </c>
      <c r="V398" s="284">
        <f>Table626893456791011121314[[#This Row],[Offer Value]]-Table626893456791011121314[[#This Row],[PO Value]]</f>
        <v>0</v>
      </c>
      <c r="W398" s="106"/>
      <c r="X398" s="106"/>
      <c r="Y398" s="620"/>
      <c r="Z398" s="7"/>
      <c r="AA398" s="7"/>
    </row>
    <row r="399" spans="1:27" ht="15.6">
      <c r="A399" s="118"/>
      <c r="B399" s="119"/>
      <c r="C399" s="120"/>
      <c r="D399" s="120"/>
      <c r="E399" s="120"/>
      <c r="F399" s="120"/>
      <c r="G399" s="120"/>
      <c r="H399" s="120"/>
      <c r="I399" s="120"/>
      <c r="J399" s="121"/>
      <c r="K399" s="121"/>
      <c r="L399" s="120"/>
      <c r="M399" s="122"/>
      <c r="N399" s="131"/>
      <c r="O399" s="131"/>
      <c r="P399" s="123"/>
      <c r="Q399" s="124"/>
      <c r="R399" s="122"/>
      <c r="S399" s="125"/>
      <c r="T399" s="123"/>
      <c r="U399" s="131" t="str">
        <f>TEXT(Table626893456791011121314[[#This Row],[PO Date]], "mmmm")</f>
        <v>January</v>
      </c>
      <c r="V399" s="284">
        <f>Table626893456791011121314[[#This Row],[Offer Value]]-Table626893456791011121314[[#This Row],[PO Value]]</f>
        <v>0</v>
      </c>
      <c r="W399" s="123"/>
      <c r="X399" s="123"/>
      <c r="Y399" s="621"/>
      <c r="Z399" s="7"/>
      <c r="AA399" s="7"/>
    </row>
    <row r="400" spans="1:27" ht="15.6">
      <c r="A400" s="118"/>
      <c r="B400" s="119"/>
      <c r="C400" s="120"/>
      <c r="D400" s="120"/>
      <c r="E400" s="120"/>
      <c r="F400" s="120"/>
      <c r="G400" s="120"/>
      <c r="H400" s="120"/>
      <c r="I400" s="120"/>
      <c r="J400" s="121"/>
      <c r="K400" s="121"/>
      <c r="L400" s="120"/>
      <c r="M400" s="122"/>
      <c r="N400" s="131"/>
      <c r="O400" s="131"/>
      <c r="P400" s="123"/>
      <c r="Q400" s="124"/>
      <c r="R400" s="122"/>
      <c r="S400" s="125"/>
      <c r="T400" s="123"/>
      <c r="U400" s="131" t="str">
        <f>TEXT(Table626893456791011121314[[#This Row],[PO Date]], "mmmm")</f>
        <v>January</v>
      </c>
      <c r="V400" s="284">
        <f>Table626893456791011121314[[#This Row],[Offer Value]]-Table626893456791011121314[[#This Row],[PO Value]]</f>
        <v>0</v>
      </c>
      <c r="W400" s="123"/>
      <c r="X400" s="123"/>
      <c r="Y400" s="621"/>
      <c r="Z400" s="7"/>
      <c r="AA400" s="7"/>
    </row>
    <row r="401" spans="1:27" ht="15.6">
      <c r="A401" s="118"/>
      <c r="B401" s="126"/>
      <c r="C401" s="120"/>
      <c r="D401" s="120"/>
      <c r="E401" s="120"/>
      <c r="F401" s="120"/>
      <c r="G401" s="120"/>
      <c r="H401" s="120"/>
      <c r="I401" s="120"/>
      <c r="J401" s="121"/>
      <c r="K401" s="121"/>
      <c r="L401" s="120"/>
      <c r="M401" s="122"/>
      <c r="N401" s="131"/>
      <c r="O401" s="131"/>
      <c r="P401" s="123"/>
      <c r="Q401" s="124"/>
      <c r="R401" s="122"/>
      <c r="S401" s="125"/>
      <c r="T401" s="131"/>
      <c r="U401" s="131" t="str">
        <f>TEXT(Table626893456791011121314[[#This Row],[PO Date]], "mmmm")</f>
        <v>January</v>
      </c>
      <c r="V401" s="284">
        <f>Table626893456791011121314[[#This Row],[Offer Value]]-Table626893456791011121314[[#This Row],[PO Value]]</f>
        <v>0</v>
      </c>
      <c r="W401" s="123"/>
      <c r="X401" s="123"/>
      <c r="Y401" s="621"/>
      <c r="Z401" s="7"/>
      <c r="AA401" s="7"/>
    </row>
    <row r="402" spans="1:27" ht="15.6">
      <c r="A402" s="118"/>
      <c r="B402" s="119"/>
      <c r="C402" s="120"/>
      <c r="D402" s="120"/>
      <c r="E402" s="120"/>
      <c r="F402" s="120"/>
      <c r="G402" s="120"/>
      <c r="H402" s="120"/>
      <c r="I402" s="120"/>
      <c r="J402" s="121"/>
      <c r="K402" s="121"/>
      <c r="L402" s="120"/>
      <c r="M402" s="122"/>
      <c r="N402" s="131"/>
      <c r="O402" s="131"/>
      <c r="P402" s="123"/>
      <c r="Q402" s="124"/>
      <c r="R402" s="122"/>
      <c r="S402" s="125"/>
      <c r="T402" s="123"/>
      <c r="U402" s="131" t="str">
        <f>TEXT(Table626893456791011121314[[#This Row],[PO Date]], "mmmm")</f>
        <v>January</v>
      </c>
      <c r="V402" s="284">
        <f>Table626893456791011121314[[#This Row],[Offer Value]]-Table626893456791011121314[[#This Row],[PO Value]]</f>
        <v>0</v>
      </c>
      <c r="W402" s="123"/>
      <c r="X402" s="123"/>
      <c r="Y402" s="621"/>
      <c r="Z402" s="7"/>
      <c r="AA402" s="7"/>
    </row>
    <row r="403" spans="1:27" ht="14.4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37"/>
      <c r="N403" s="38"/>
      <c r="O403" s="38"/>
      <c r="P403" s="39"/>
      <c r="Q403" s="98"/>
      <c r="R403" s="37"/>
      <c r="S403" s="40"/>
      <c r="T403" s="39"/>
      <c r="U403" s="41" t="str">
        <f>TEXT(Table626893456791011121314[[#This Row],[PO Date]], "mmmm")</f>
        <v>January</v>
      </c>
      <c r="V403" s="284">
        <f>Table626893456791011121314[[#This Row],[Offer Value]]-Table626893456791011121314[[#This Row],[PO Value]]</f>
        <v>0</v>
      </c>
      <c r="W403" s="39"/>
      <c r="X403" s="39"/>
      <c r="Y403" s="622"/>
      <c r="Z403" s="7"/>
      <c r="AA403" s="7"/>
    </row>
    <row r="404" spans="1:27" ht="14.4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37"/>
      <c r="N404" s="38"/>
      <c r="O404" s="38"/>
      <c r="P404" s="39"/>
      <c r="Q404" s="98"/>
      <c r="R404" s="37"/>
      <c r="S404" s="40"/>
      <c r="T404" s="39"/>
      <c r="U404" s="41" t="str">
        <f>TEXT(Table626893456791011121314[[#This Row],[PO Date]], "mmmm")</f>
        <v>January</v>
      </c>
      <c r="V404" s="284">
        <f>Table626893456791011121314[[#This Row],[Offer Value]]-Table626893456791011121314[[#This Row],[PO Value]]</f>
        <v>0</v>
      </c>
      <c r="W404" s="39"/>
      <c r="X404" s="39"/>
      <c r="Y404" s="622"/>
      <c r="Z404" s="7"/>
      <c r="AA404" s="7"/>
    </row>
    <row r="405" spans="1:27" ht="14.4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37"/>
      <c r="N405" s="38"/>
      <c r="O405" s="38"/>
      <c r="P405" s="39"/>
      <c r="Q405" s="98"/>
      <c r="R405" s="37"/>
      <c r="S405" s="40"/>
      <c r="T405" s="39"/>
      <c r="U405" s="41" t="str">
        <f>TEXT(Table626893456791011121314[[#This Row],[PO Date]], "mmmm")</f>
        <v>January</v>
      </c>
      <c r="V405" s="284">
        <f>Table626893456791011121314[[#This Row],[Offer Value]]-Table626893456791011121314[[#This Row],[PO Value]]</f>
        <v>0</v>
      </c>
      <c r="W405" s="39"/>
      <c r="X405" s="39"/>
      <c r="Y405" s="622"/>
      <c r="Z405" s="7"/>
      <c r="AA405" s="7"/>
    </row>
    <row r="406" spans="1:27" ht="14.4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37"/>
      <c r="N406" s="38"/>
      <c r="O406" s="38"/>
      <c r="P406" s="39"/>
      <c r="Q406" s="98"/>
      <c r="R406" s="37"/>
      <c r="S406" s="40"/>
      <c r="T406" s="39"/>
      <c r="U406" s="41" t="str">
        <f>TEXT(Table626893456791011121314[[#This Row],[PO Date]], "mmmm")</f>
        <v>January</v>
      </c>
      <c r="V406" s="284">
        <f>Table626893456791011121314[[#This Row],[Offer Value]]-Table626893456791011121314[[#This Row],[PO Value]]</f>
        <v>0</v>
      </c>
      <c r="W406" s="39"/>
      <c r="X406" s="39"/>
      <c r="Y406" s="622"/>
      <c r="Z406" s="7"/>
      <c r="AA406" s="7"/>
    </row>
    <row r="407" spans="1:27" ht="14.4">
      <c r="A407" s="33"/>
      <c r="B407" s="34"/>
      <c r="C407" s="35"/>
      <c r="D407" s="35"/>
      <c r="E407" s="35"/>
      <c r="F407" s="35"/>
      <c r="G407" s="35"/>
      <c r="H407" s="35"/>
      <c r="I407" s="35"/>
      <c r="J407" s="36"/>
      <c r="K407" s="36"/>
      <c r="L407" s="35"/>
      <c r="M407" s="37"/>
      <c r="N407" s="38"/>
      <c r="O407" s="38"/>
      <c r="P407" s="39"/>
      <c r="Q407" s="98"/>
      <c r="R407" s="37"/>
      <c r="S407" s="40"/>
      <c r="T407" s="39"/>
      <c r="U407" s="41" t="str">
        <f>TEXT(Table626893456791011121314[[#This Row],[PO Date]], "mmmm")</f>
        <v>January</v>
      </c>
      <c r="V407" s="284">
        <f>Table626893456791011121314[[#This Row],[Offer Value]]-Table626893456791011121314[[#This Row],[PO Value]]</f>
        <v>0</v>
      </c>
      <c r="W407" s="39"/>
      <c r="X407" s="39"/>
      <c r="Y407" s="622"/>
      <c r="Z407" s="7"/>
      <c r="AA407" s="7"/>
    </row>
    <row r="408" spans="1:27" ht="14.4">
      <c r="A408" s="33"/>
      <c r="B408" s="34"/>
      <c r="C408" s="35"/>
      <c r="D408" s="35"/>
      <c r="E408" s="35"/>
      <c r="F408" s="35"/>
      <c r="G408" s="35"/>
      <c r="H408" s="35"/>
      <c r="I408" s="35"/>
      <c r="J408" s="36"/>
      <c r="K408" s="36"/>
      <c r="L408" s="35"/>
      <c r="M408" s="37"/>
      <c r="N408" s="38"/>
      <c r="O408" s="38"/>
      <c r="P408" s="39"/>
      <c r="Q408" s="98"/>
      <c r="R408" s="37"/>
      <c r="S408" s="40"/>
      <c r="T408" s="39"/>
      <c r="U408" s="41" t="str">
        <f>TEXT(Table626893456791011121314[[#This Row],[PO Date]], "mmmm")</f>
        <v>January</v>
      </c>
      <c r="V408" s="284">
        <f>Table626893456791011121314[[#This Row],[Offer Value]]-Table626893456791011121314[[#This Row],[PO Value]]</f>
        <v>0</v>
      </c>
      <c r="W408" s="39"/>
      <c r="X408" s="39"/>
      <c r="Y408" s="622"/>
      <c r="Z408" s="7"/>
      <c r="AA408" s="7"/>
    </row>
    <row r="409" spans="1:27" ht="14.4">
      <c r="A409" s="33"/>
      <c r="B409" s="34"/>
      <c r="C409" s="35"/>
      <c r="D409" s="35"/>
      <c r="E409" s="35"/>
      <c r="F409" s="35"/>
      <c r="G409" s="35"/>
      <c r="H409" s="35"/>
      <c r="I409" s="35"/>
      <c r="J409" s="36"/>
      <c r="K409" s="36"/>
      <c r="L409" s="35"/>
      <c r="M409" s="37"/>
      <c r="N409" s="38"/>
      <c r="O409" s="38"/>
      <c r="P409" s="39"/>
      <c r="Q409" s="98"/>
      <c r="R409" s="37"/>
      <c r="S409" s="40"/>
      <c r="T409" s="39"/>
      <c r="U409" s="41" t="str">
        <f>TEXT(Table626893456791011121314[[#This Row],[PO Date]], "mmmm")</f>
        <v>January</v>
      </c>
      <c r="V409" s="284">
        <f>Table626893456791011121314[[#This Row],[Offer Value]]-Table626893456791011121314[[#This Row],[PO Value]]</f>
        <v>0</v>
      </c>
      <c r="W409" s="39"/>
      <c r="X409" s="39"/>
      <c r="Y409" s="622"/>
      <c r="Z409" s="7"/>
      <c r="AA409" s="7"/>
    </row>
    <row r="410" spans="1:27" ht="14.4">
      <c r="A410" s="33"/>
      <c r="B410" s="34"/>
      <c r="C410" s="35"/>
      <c r="D410" s="35"/>
      <c r="E410" s="35"/>
      <c r="F410" s="35"/>
      <c r="G410" s="35"/>
      <c r="H410" s="35"/>
      <c r="I410" s="35"/>
      <c r="J410" s="36"/>
      <c r="K410" s="36"/>
      <c r="L410" s="35"/>
      <c r="M410" s="37"/>
      <c r="N410" s="38"/>
      <c r="O410" s="38"/>
      <c r="P410" s="39"/>
      <c r="Q410" s="98"/>
      <c r="R410" s="37"/>
      <c r="S410" s="40"/>
      <c r="T410" s="39"/>
      <c r="U410" s="41" t="str">
        <f>TEXT(Table626893456791011121314[[#This Row],[PO Date]], "mmmm")</f>
        <v>January</v>
      </c>
      <c r="V410" s="284">
        <f>Table626893456791011121314[[#This Row],[Offer Value]]-Table626893456791011121314[[#This Row],[PO Value]]</f>
        <v>0</v>
      </c>
      <c r="W410" s="39"/>
      <c r="X410" s="39"/>
      <c r="Y410" s="622"/>
      <c r="Z410" s="7"/>
      <c r="AA410" s="7"/>
    </row>
    <row r="411" spans="1:27" ht="14.4">
      <c r="A411" s="33"/>
      <c r="B411" s="34"/>
      <c r="C411" s="35"/>
      <c r="D411" s="35"/>
      <c r="E411" s="35"/>
      <c r="F411" s="35"/>
      <c r="G411" s="35"/>
      <c r="H411" s="35"/>
      <c r="I411" s="35"/>
      <c r="J411" s="36"/>
      <c r="K411" s="36"/>
      <c r="L411" s="35"/>
      <c r="M411" s="37"/>
      <c r="N411" s="38"/>
      <c r="O411" s="38"/>
      <c r="P411" s="39"/>
      <c r="Q411" s="98"/>
      <c r="R411" s="37"/>
      <c r="S411" s="40"/>
      <c r="T411" s="39"/>
      <c r="U411" s="41" t="str">
        <f>TEXT(Table626893456791011121314[[#This Row],[PO Date]], "mmmm")</f>
        <v>January</v>
      </c>
      <c r="V411" s="284">
        <f>Table626893456791011121314[[#This Row],[Offer Value]]-Table626893456791011121314[[#This Row],[PO Value]]</f>
        <v>0</v>
      </c>
      <c r="W411" s="39"/>
      <c r="X411" s="39"/>
      <c r="Y411" s="622"/>
      <c r="Z411" s="7"/>
      <c r="AA411" s="7"/>
    </row>
    <row r="412" spans="1:27" ht="14.4">
      <c r="A412" s="42"/>
      <c r="B412" s="43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5"/>
      <c r="N412" s="38"/>
      <c r="O412" s="38"/>
      <c r="P412" s="7"/>
      <c r="Q412" s="99"/>
      <c r="R412" s="623"/>
      <c r="S412" s="46"/>
      <c r="T412" s="7"/>
      <c r="U412" s="47" t="str">
        <f>TEXT(Table626893456791011121314[[#This Row],[PO Date]], "mmmm")</f>
        <v>January</v>
      </c>
      <c r="V412" s="284">
        <f>Table626893456791011121314[[#This Row],[Offer Value]]-Table626893456791011121314[[#This Row],[PO Value]]</f>
        <v>0</v>
      </c>
      <c r="W412" s="7"/>
      <c r="X412" s="7"/>
      <c r="Y412" s="624"/>
      <c r="Z412" s="7"/>
      <c r="AA412" s="7"/>
    </row>
    <row r="413" spans="1:27" ht="14.4">
      <c r="R413" s="1"/>
      <c r="U413" t="str">
        <f>TEXT(Table626893456791011121314[[#This Row],[PO Date]], "mmmm")</f>
        <v>January</v>
      </c>
      <c r="V413" s="284">
        <f>Table626893456791011121314[[#This Row],[Offer Value]]-Table626893456791011121314[[#This Row],[PO Value]]</f>
        <v>0</v>
      </c>
      <c r="Y413" s="428"/>
      <c r="Z413" s="7"/>
      <c r="AA413" s="7"/>
    </row>
    <row r="414" spans="1:27" ht="14.4">
      <c r="R414" s="1"/>
      <c r="U414" t="str">
        <f>TEXT(Table626893456791011121314[[#This Row],[PO Date]], "mmmm")</f>
        <v>January</v>
      </c>
      <c r="V414" s="284">
        <f>Table626893456791011121314[[#This Row],[Offer Value]]-Table626893456791011121314[[#This Row],[PO Value]]</f>
        <v>0</v>
      </c>
      <c r="Y414" s="428"/>
      <c r="Z414" s="7"/>
      <c r="AA414" s="7"/>
    </row>
    <row r="415" spans="1:27" ht="14.4">
      <c r="R415" s="1"/>
      <c r="U415" t="str">
        <f>TEXT(Table626893456791011121314[[#This Row],[PO Date]], "mmmm")</f>
        <v>January</v>
      </c>
      <c r="V415" s="284">
        <f>Table626893456791011121314[[#This Row],[Offer Value]]-Table626893456791011121314[[#This Row],[PO Value]]</f>
        <v>0</v>
      </c>
      <c r="Y415" s="428"/>
      <c r="Z415" s="7"/>
      <c r="AA415" s="7"/>
    </row>
    <row r="416" spans="1:27" ht="14.4">
      <c r="R416" s="1"/>
      <c r="U416" t="str">
        <f>TEXT(Table626893456791011121314[[#This Row],[PO Date]], "mmmm")</f>
        <v>January</v>
      </c>
      <c r="V416" s="284">
        <f>Table626893456791011121314[[#This Row],[Offer Value]]-Table626893456791011121314[[#This Row],[PO Value]]</f>
        <v>0</v>
      </c>
      <c r="Y416" s="428"/>
      <c r="Z416" s="7"/>
      <c r="AA416" s="7"/>
    </row>
    <row r="417" spans="1:27" ht="14.4">
      <c r="R417" s="1"/>
      <c r="U417" t="str">
        <f>TEXT(Table626893456791011121314[[#This Row],[PO Date]], "mmmm")</f>
        <v>January</v>
      </c>
      <c r="V417" s="284">
        <f>Table626893456791011121314[[#This Row],[Offer Value]]-Table626893456791011121314[[#This Row],[PO Value]]</f>
        <v>0</v>
      </c>
      <c r="Y417" s="428"/>
      <c r="Z417" s="7"/>
      <c r="AA417" s="7"/>
    </row>
    <row r="418" spans="1:27" ht="14.4">
      <c r="R418" s="1"/>
      <c r="U418" t="str">
        <f>TEXT(Table626893456791011121314[[#This Row],[PO Date]], "mmmm")</f>
        <v>January</v>
      </c>
      <c r="V418" s="284">
        <f>Table626893456791011121314[[#This Row],[Offer Value]]-Table626893456791011121314[[#This Row],[PO Value]]</f>
        <v>0</v>
      </c>
      <c r="Y418" s="428"/>
      <c r="Z418" s="7"/>
      <c r="AA418" s="7"/>
    </row>
    <row r="419" spans="1:27" ht="14.4">
      <c r="R419" s="1"/>
      <c r="U419" t="str">
        <f>TEXT(Table626893456791011121314[[#This Row],[PO Date]], "mmmm")</f>
        <v>January</v>
      </c>
      <c r="V419" s="284">
        <f>Table626893456791011121314[[#This Row],[Offer Value]]-Table626893456791011121314[[#This Row],[PO Value]]</f>
        <v>0</v>
      </c>
      <c r="Y419" s="428"/>
      <c r="Z419" s="7"/>
      <c r="AA419" s="7"/>
    </row>
    <row r="420" spans="1:27" ht="14.4">
      <c r="R420" s="1"/>
      <c r="U420" t="str">
        <f>TEXT(Table626893456791011121314[[#This Row],[PO Date]], "mmmm")</f>
        <v>January</v>
      </c>
      <c r="V420" s="284">
        <f>Table626893456791011121314[[#This Row],[Offer Value]]-Table626893456791011121314[[#This Row],[PO Value]]</f>
        <v>0</v>
      </c>
      <c r="Y420" s="428"/>
      <c r="Z420" s="7"/>
      <c r="AA420" s="7"/>
    </row>
    <row r="421" spans="1:27" ht="14.4">
      <c r="R421" s="1"/>
      <c r="U421" t="str">
        <f>TEXT(Table626893456791011121314[[#This Row],[PO Date]], "mmmm")</f>
        <v>January</v>
      </c>
      <c r="V421" s="284">
        <f>Table626893456791011121314[[#This Row],[Offer Value]]-Table626893456791011121314[[#This Row],[PO Value]]</f>
        <v>0</v>
      </c>
      <c r="Y421" s="428"/>
      <c r="Z421" s="7"/>
      <c r="AA421" s="7"/>
    </row>
    <row r="422" spans="1:27" ht="14.4">
      <c r="R422" s="1"/>
      <c r="U422" t="str">
        <f>TEXT(Table626893456791011121314[[#This Row],[PO Date]], "mmmm")</f>
        <v>January</v>
      </c>
      <c r="V422" s="284">
        <f>Table626893456791011121314[[#This Row],[Offer Value]]-Table626893456791011121314[[#This Row],[PO Value]]</f>
        <v>0</v>
      </c>
      <c r="Y422" s="428"/>
      <c r="Z422" s="7"/>
      <c r="AA422" s="7"/>
    </row>
    <row r="423" spans="1:27" ht="14.4">
      <c r="R423" s="1"/>
      <c r="U423" t="str">
        <f>TEXT(Table626893456791011121314[[#This Row],[PO Date]], "mmmm")</f>
        <v>January</v>
      </c>
      <c r="V423" s="284">
        <f>Table626893456791011121314[[#This Row],[Offer Value]]-Table626893456791011121314[[#This Row],[PO Value]]</f>
        <v>0</v>
      </c>
      <c r="Y423" s="428"/>
      <c r="Z423" s="7"/>
      <c r="AA423" s="7"/>
    </row>
    <row r="424" spans="1:27" ht="14.4">
      <c r="R424" s="1"/>
      <c r="U424" t="str">
        <f>TEXT(Table626893456791011121314[[#This Row],[PO Date]], "mmmm")</f>
        <v>January</v>
      </c>
      <c r="V424" s="284">
        <f>Table626893456791011121314[[#This Row],[Offer Value]]-Table626893456791011121314[[#This Row],[PO Value]]</f>
        <v>0</v>
      </c>
      <c r="Y424" s="428"/>
      <c r="Z424" s="7"/>
      <c r="AA424" s="7"/>
    </row>
    <row r="425" spans="1:27" ht="14.4">
      <c r="R425" s="1"/>
      <c r="U425" t="str">
        <f>TEXT(Table626893456791011121314[[#This Row],[PO Date]], "mmmm")</f>
        <v>January</v>
      </c>
      <c r="V425" s="284">
        <f>Table626893456791011121314[[#This Row],[Offer Value]]-Table626893456791011121314[[#This Row],[PO Value]]</f>
        <v>0</v>
      </c>
      <c r="Y425" s="428"/>
      <c r="Z425" s="7"/>
      <c r="AA425" s="7"/>
    </row>
    <row r="426" spans="1:27" ht="14.4">
      <c r="R426" s="1"/>
      <c r="U426" t="str">
        <f>TEXT(Table626893456791011121314[[#This Row],[PO Date]], "mmmm")</f>
        <v>January</v>
      </c>
      <c r="V426" s="284">
        <f>Table626893456791011121314[[#This Row],[Offer Value]]-Table626893456791011121314[[#This Row],[PO Value]]</f>
        <v>0</v>
      </c>
      <c r="Y426" s="428"/>
      <c r="Z426" s="7"/>
      <c r="AA426" s="7"/>
    </row>
    <row r="427" spans="1:27" ht="14.4">
      <c r="R427" s="1"/>
      <c r="U427" t="str">
        <f>TEXT(Table626893456791011121314[[#This Row],[PO Date]], "mmmm")</f>
        <v>January</v>
      </c>
      <c r="V427" s="284">
        <f>Table626893456791011121314[[#This Row],[Offer Value]]-Table626893456791011121314[[#This Row],[PO Value]]</f>
        <v>0</v>
      </c>
      <c r="Y427" s="428"/>
      <c r="Z427" s="7"/>
      <c r="AA427" s="7"/>
    </row>
    <row r="428" spans="1:27" ht="15.6">
      <c r="A428" s="473"/>
      <c r="B428" s="479"/>
      <c r="C428" s="474"/>
      <c r="D428" s="474"/>
      <c r="E428" s="474"/>
      <c r="F428" s="474"/>
      <c r="G428" s="474"/>
      <c r="H428" s="474"/>
      <c r="I428" s="474"/>
      <c r="J428" s="475"/>
      <c r="K428" s="475"/>
      <c r="L428" s="474"/>
      <c r="M428" s="679"/>
      <c r="N428" s="477"/>
      <c r="O428" s="477"/>
      <c r="P428" s="477"/>
      <c r="Q428" s="249"/>
      <c r="R428" s="476"/>
      <c r="S428" s="476"/>
      <c r="T428" s="476"/>
      <c r="U428" s="477" t="str">
        <f>TEXT(Table626893456791011121314[[#This Row],[PO Date]], "mmmm")</f>
        <v>January</v>
      </c>
      <c r="V428" s="284">
        <f>Table626893456791011121314[[#This Row],[Offer Value]]-Table626893456791011121314[[#This Row],[PO Value]]</f>
        <v>0</v>
      </c>
      <c r="W428" s="474"/>
      <c r="X428" s="478"/>
      <c r="Y428" s="647"/>
      <c r="Z428" s="7"/>
      <c r="AA428" s="7"/>
    </row>
    <row r="429" spans="1:27" ht="15.6">
      <c r="A429" s="473"/>
      <c r="B429" s="479"/>
      <c r="C429" s="474"/>
      <c r="D429" s="474"/>
      <c r="E429" s="474"/>
      <c r="F429" s="474"/>
      <c r="G429" s="474"/>
      <c r="H429" s="474"/>
      <c r="I429" s="474"/>
      <c r="J429" s="475"/>
      <c r="K429" s="475"/>
      <c r="L429" s="474"/>
      <c r="M429" s="679"/>
      <c r="N429" s="477"/>
      <c r="O429" s="477"/>
      <c r="P429" s="477"/>
      <c r="Q429" s="249"/>
      <c r="R429" s="476"/>
      <c r="S429" s="476"/>
      <c r="T429" s="476"/>
      <c r="U429" s="477" t="str">
        <f>TEXT(Table626893456791011121314[[#This Row],[PO Date]], "mmmm")</f>
        <v>January</v>
      </c>
      <c r="V429" s="284">
        <f>Table626893456791011121314[[#This Row],[Offer Value]]-Table626893456791011121314[[#This Row],[PO Value]]</f>
        <v>0</v>
      </c>
      <c r="W429" s="474"/>
      <c r="X429" s="478"/>
      <c r="Y429" s="647"/>
      <c r="Z429" s="7"/>
      <c r="AA429" s="7"/>
    </row>
    <row r="430" spans="1:27" ht="15.6">
      <c r="A430" s="473"/>
      <c r="B430" s="479"/>
      <c r="C430" s="474"/>
      <c r="D430" s="474"/>
      <c r="E430" s="474"/>
      <c r="F430" s="474"/>
      <c r="G430" s="474"/>
      <c r="H430" s="474"/>
      <c r="I430" s="474"/>
      <c r="J430" s="475"/>
      <c r="K430" s="475"/>
      <c r="L430" s="474"/>
      <c r="M430" s="679"/>
      <c r="N430" s="477"/>
      <c r="O430" s="477"/>
      <c r="P430" s="477"/>
      <c r="Q430" s="249"/>
      <c r="R430" s="476"/>
      <c r="S430" s="476"/>
      <c r="T430" s="476"/>
      <c r="U430" s="477" t="str">
        <f>TEXT(Table626893456791011121314[[#This Row],[PO Date]], "mmmm")</f>
        <v>January</v>
      </c>
      <c r="V430" s="284">
        <f>Table626893456791011121314[[#This Row],[Offer Value]]-Table626893456791011121314[[#This Row],[PO Value]]</f>
        <v>0</v>
      </c>
      <c r="W430" s="474"/>
      <c r="X430" s="478"/>
      <c r="Y430" s="647"/>
      <c r="Z430" s="7"/>
      <c r="AA430" s="7"/>
    </row>
    <row r="431" spans="1:27" ht="15.6">
      <c r="A431" s="473">
        <v>240</v>
      </c>
      <c r="B431" s="479"/>
      <c r="C431" s="474"/>
      <c r="D431" s="474"/>
      <c r="E431" s="474"/>
      <c r="F431" s="474"/>
      <c r="G431" s="474"/>
      <c r="H431" s="474"/>
      <c r="I431" s="474"/>
      <c r="J431" s="475"/>
      <c r="K431" s="475"/>
      <c r="L431" s="474"/>
      <c r="M431" s="679"/>
      <c r="N431" s="477"/>
      <c r="O431" s="477"/>
      <c r="P431" s="477"/>
      <c r="Q431" s="249"/>
      <c r="R431" s="476"/>
      <c r="S431" s="476"/>
      <c r="T431" s="476"/>
      <c r="U431" s="477" t="str">
        <f>TEXT(Table626893456791011121314[[#This Row],[PO Date]], "mmmm")</f>
        <v>January</v>
      </c>
      <c r="V431" s="284">
        <f>Table626893456791011121314[[#This Row],[Offer Value]]-Table626893456791011121314[[#This Row],[PO Value]]</f>
        <v>0</v>
      </c>
      <c r="W431" s="474"/>
      <c r="X431" s="478"/>
      <c r="Y431" s="647"/>
      <c r="Z431" s="7"/>
      <c r="AA431" s="7"/>
    </row>
    <row r="432" spans="1:27" ht="14.4">
      <c r="B432" s="262"/>
      <c r="M432" s="262"/>
      <c r="N432" s="87"/>
      <c r="O432" s="87"/>
      <c r="P432" s="2"/>
      <c r="Q432" s="278"/>
      <c r="R432" s="2"/>
      <c r="S432" s="267"/>
      <c r="T432" s="2"/>
      <c r="U432" s="2" t="str">
        <f>TEXT(Table626893456791011121314[[#This Row],[PO Date]], "mmmm")</f>
        <v>January</v>
      </c>
      <c r="V432" s="284">
        <f>Table626893456791011121314[[#This Row],[Offer Value]]-Table626893456791011121314[[#This Row],[PO Value]]</f>
        <v>0</v>
      </c>
      <c r="W432" s="2"/>
      <c r="Y432" s="2"/>
      <c r="Z432" s="7"/>
      <c r="AA432" s="7"/>
    </row>
    <row r="433" spans="1:27" ht="14.4">
      <c r="B433" s="262"/>
      <c r="M433" s="262"/>
      <c r="N433" s="87"/>
      <c r="O433" s="87"/>
      <c r="P433" s="2"/>
      <c r="Q433" s="278"/>
      <c r="R433" s="2"/>
      <c r="S433" s="267"/>
      <c r="T433" s="2"/>
      <c r="U433" s="2" t="str">
        <f>TEXT(Table626893456791011121314[[#This Row],[PO Date]], "mmmm")</f>
        <v>January</v>
      </c>
      <c r="V433" s="284">
        <f>Table626893456791011121314[[#This Row],[Offer Value]]-Table626893456791011121314[[#This Row],[PO Value]]</f>
        <v>0</v>
      </c>
      <c r="W433" s="2"/>
      <c r="Y433" s="2"/>
      <c r="Z433" s="7"/>
      <c r="AA433" s="7"/>
    </row>
    <row r="434" spans="1:27" ht="14.4">
      <c r="B434" s="262"/>
      <c r="M434" s="262"/>
      <c r="N434" s="87"/>
      <c r="O434" s="87"/>
      <c r="P434" s="2"/>
      <c r="Q434" s="278"/>
      <c r="R434" s="2"/>
      <c r="S434" s="267"/>
      <c r="T434" s="2"/>
      <c r="U434" s="2" t="str">
        <f>TEXT(Table626893456791011121314[[#This Row],[PO Date]], "mmmm")</f>
        <v>January</v>
      </c>
      <c r="V434" s="284">
        <f>Table626893456791011121314[[#This Row],[Offer Value]]-Table626893456791011121314[[#This Row],[PO Value]]</f>
        <v>0</v>
      </c>
      <c r="W434" s="2"/>
      <c r="Y434" s="2"/>
      <c r="Z434" s="7"/>
      <c r="AA434" s="7"/>
    </row>
    <row r="435" spans="1:27" ht="14.4">
      <c r="B435" s="262"/>
      <c r="M435" s="262"/>
      <c r="N435" s="87"/>
      <c r="O435" s="87"/>
      <c r="P435" s="2"/>
      <c r="Q435" s="278"/>
      <c r="R435" s="2"/>
      <c r="S435" s="267"/>
      <c r="T435" s="2"/>
      <c r="U435" s="2" t="str">
        <f>TEXT(Table626893456791011121314[[#This Row],[PO Date]], "mmmm")</f>
        <v>January</v>
      </c>
      <c r="V435" s="284">
        <f>Table626893456791011121314[[#This Row],[Offer Value]]-Table626893456791011121314[[#This Row],[PO Value]]</f>
        <v>0</v>
      </c>
      <c r="W435" s="2"/>
      <c r="Y435" s="2"/>
      <c r="Z435" s="7"/>
      <c r="AA435" s="7"/>
    </row>
    <row r="436" spans="1:27" ht="14.4">
      <c r="B436" s="262"/>
      <c r="M436" s="262"/>
      <c r="N436" s="87"/>
      <c r="O436" s="87"/>
      <c r="P436" s="2"/>
      <c r="Q436" s="278"/>
      <c r="R436" s="2"/>
      <c r="S436" s="267"/>
      <c r="T436" s="2"/>
      <c r="U436" s="2" t="str">
        <f>TEXT(Table626893456791011121314[[#This Row],[PO Date]], "mmmm")</f>
        <v>January</v>
      </c>
      <c r="V436" s="284">
        <f>Table626893456791011121314[[#This Row],[Offer Value]]-Table626893456791011121314[[#This Row],[PO Value]]</f>
        <v>0</v>
      </c>
      <c r="W436" s="2"/>
      <c r="Y436" s="2"/>
      <c r="Z436" s="7"/>
      <c r="AA436" s="7"/>
    </row>
    <row r="437" spans="1:27" ht="14.4">
      <c r="B437" s="262"/>
      <c r="M437" s="262"/>
      <c r="N437" s="87"/>
      <c r="O437" s="87"/>
      <c r="P437" s="2"/>
      <c r="Q437" s="278"/>
      <c r="R437" s="2"/>
      <c r="S437" s="267"/>
      <c r="T437" s="2"/>
      <c r="U437" s="2" t="str">
        <f>TEXT(Table626893456791011121314[[#This Row],[PO Date]], "mmmm")</f>
        <v>January</v>
      </c>
      <c r="V437" s="284">
        <f>Table626893456791011121314[[#This Row],[Offer Value]]-Table626893456791011121314[[#This Row],[PO Value]]</f>
        <v>0</v>
      </c>
      <c r="W437" s="2"/>
      <c r="Y437" s="2"/>
      <c r="Z437" s="7"/>
      <c r="AA437" s="7"/>
    </row>
    <row r="438" spans="1:27" ht="14.4">
      <c r="B438" s="262"/>
      <c r="M438" s="262"/>
      <c r="N438" s="87"/>
      <c r="O438" s="87"/>
      <c r="P438" s="2"/>
      <c r="Q438" s="278"/>
      <c r="R438" s="2"/>
      <c r="S438" s="267"/>
      <c r="T438" s="2"/>
      <c r="U438" s="2" t="str">
        <f>TEXT(Table626893456791011121314[[#This Row],[PO Date]], "mmmm")</f>
        <v>January</v>
      </c>
      <c r="V438" s="284">
        <f>Table626893456791011121314[[#This Row],[Offer Value]]-Table626893456791011121314[[#This Row],[PO Value]]</f>
        <v>0</v>
      </c>
      <c r="W438" s="2"/>
      <c r="Y438" s="2"/>
      <c r="Z438" s="7"/>
      <c r="AA438" s="7"/>
    </row>
    <row r="439" spans="1:27" ht="14.4">
      <c r="B439" s="262"/>
      <c r="M439" s="262"/>
      <c r="N439" s="87"/>
      <c r="O439" s="87"/>
      <c r="P439" s="2"/>
      <c r="Q439" s="278"/>
      <c r="R439" s="2"/>
      <c r="S439" s="267"/>
      <c r="T439" s="2"/>
      <c r="U439" s="2" t="str">
        <f>TEXT(Table626893456791011121314[[#This Row],[PO Date]], "mmmm")</f>
        <v>January</v>
      </c>
      <c r="V439" s="284">
        <f>Table626893456791011121314[[#This Row],[Offer Value]]-Table626893456791011121314[[#This Row],[PO Value]]</f>
        <v>0</v>
      </c>
      <c r="W439" s="2"/>
      <c r="Y439" s="2"/>
      <c r="Z439" s="7"/>
      <c r="AA439" s="7"/>
    </row>
    <row r="440" spans="1:27" ht="14.4">
      <c r="B440" s="262"/>
      <c r="M440" s="262"/>
      <c r="N440" s="87"/>
      <c r="O440" s="87"/>
      <c r="P440" s="2"/>
      <c r="Q440" s="278"/>
      <c r="R440" s="2"/>
      <c r="S440" s="267"/>
      <c r="T440" s="2"/>
      <c r="U440" s="2" t="str">
        <f>TEXT(Table626893456791011121314[[#This Row],[PO Date]], "mmmm")</f>
        <v>January</v>
      </c>
      <c r="V440" s="284">
        <f>Table626893456791011121314[[#This Row],[Offer Value]]-Table626893456791011121314[[#This Row],[PO Value]]</f>
        <v>0</v>
      </c>
      <c r="W440" s="2"/>
      <c r="Y440" s="2"/>
      <c r="Z440" s="7"/>
      <c r="AA440" s="7"/>
    </row>
    <row r="441" spans="1:27" ht="14.4">
      <c r="A441" s="33"/>
      <c r="B441" s="177"/>
      <c r="C441" s="35"/>
      <c r="D441" s="35"/>
      <c r="E441" s="35"/>
      <c r="F441" s="35"/>
      <c r="G441" s="35"/>
      <c r="H441" s="35"/>
      <c r="I441" s="35"/>
      <c r="J441" s="36"/>
      <c r="K441" s="36"/>
      <c r="L441" s="35"/>
      <c r="M441" s="37"/>
      <c r="N441" s="38"/>
      <c r="O441" s="38"/>
      <c r="P441" s="41"/>
      <c r="Q441" s="175"/>
      <c r="R441" s="40"/>
      <c r="S441" s="40"/>
      <c r="T441" s="40"/>
      <c r="U441" s="41" t="str">
        <f>TEXT(Table626893456791011121314[[#This Row],[PO Date]], "mmmm")</f>
        <v>January</v>
      </c>
      <c r="V441" s="284">
        <f>Table626893456791011121314[[#This Row],[Offer Value]]-Table626893456791011121314[[#This Row],[PO Value]]</f>
        <v>0</v>
      </c>
      <c r="W441" s="39"/>
      <c r="X441" s="39"/>
      <c r="Y441" s="40"/>
      <c r="Z441" s="7"/>
      <c r="AA441" s="7"/>
    </row>
    <row r="442" spans="1:27" ht="14.4">
      <c r="A442" s="33"/>
      <c r="B442" s="177"/>
      <c r="C442" s="35"/>
      <c r="D442" s="35"/>
      <c r="E442" s="35"/>
      <c r="F442" s="35"/>
      <c r="G442" s="35"/>
      <c r="H442" s="35"/>
      <c r="I442" s="35"/>
      <c r="J442" s="36"/>
      <c r="K442" s="36"/>
      <c r="L442" s="35"/>
      <c r="M442" s="37"/>
      <c r="N442" s="38"/>
      <c r="O442" s="38"/>
      <c r="P442" s="41"/>
      <c r="Q442" s="175"/>
      <c r="R442" s="40"/>
      <c r="S442" s="40"/>
      <c r="T442" s="40"/>
      <c r="U442" s="41" t="str">
        <f>TEXT(Table626893456791011121314[[#This Row],[PO Date]], "mmmm")</f>
        <v>January</v>
      </c>
      <c r="V442" s="284">
        <f>Table626893456791011121314[[#This Row],[Offer Value]]-Table626893456791011121314[[#This Row],[PO Value]]</f>
        <v>0</v>
      </c>
      <c r="W442" s="39"/>
      <c r="X442" s="39"/>
      <c r="Y442" s="40"/>
      <c r="Z442" s="7"/>
      <c r="AA442" s="7"/>
    </row>
    <row r="443" spans="1:27" ht="14.4">
      <c r="A443" s="33"/>
      <c r="B443" s="177"/>
      <c r="C443" s="35"/>
      <c r="D443" s="35"/>
      <c r="E443" s="35"/>
      <c r="F443" s="35"/>
      <c r="G443" s="35"/>
      <c r="H443" s="35"/>
      <c r="I443" s="35"/>
      <c r="J443" s="36"/>
      <c r="K443" s="36"/>
      <c r="L443" s="35"/>
      <c r="M443" s="37"/>
      <c r="N443" s="38"/>
      <c r="O443" s="38"/>
      <c r="P443" s="41"/>
      <c r="Q443" s="175"/>
      <c r="R443" s="40"/>
      <c r="S443" s="40"/>
      <c r="T443" s="40"/>
      <c r="U443" s="41" t="str">
        <f>TEXT(Table626893456791011121314[[#This Row],[PO Date]], "mmmm")</f>
        <v>January</v>
      </c>
      <c r="V443" s="284">
        <f>Table626893456791011121314[[#This Row],[Offer Value]]-Table626893456791011121314[[#This Row],[PO Value]]</f>
        <v>0</v>
      </c>
      <c r="W443" s="39"/>
      <c r="X443" s="39"/>
      <c r="Y443" s="40"/>
      <c r="Z443" s="7"/>
      <c r="AA443" s="7"/>
    </row>
    <row r="444" spans="1:27" ht="14.4">
      <c r="A444" s="33"/>
      <c r="B444" s="177"/>
      <c r="C444" s="35"/>
      <c r="D444" s="35"/>
      <c r="E444" s="35"/>
      <c r="F444" s="35"/>
      <c r="G444" s="35"/>
      <c r="H444" s="35"/>
      <c r="I444" s="35"/>
      <c r="J444" s="36"/>
      <c r="K444" s="36"/>
      <c r="L444" s="35"/>
      <c r="M444" s="37"/>
      <c r="N444" s="38"/>
      <c r="O444" s="38"/>
      <c r="P444" s="41"/>
      <c r="Q444" s="175"/>
      <c r="R444" s="40"/>
      <c r="S444" s="40"/>
      <c r="T444" s="40"/>
      <c r="U444" s="41" t="str">
        <f>TEXT(Table626893456791011121314[[#This Row],[PO Date]], "mmmm")</f>
        <v>January</v>
      </c>
      <c r="V444" s="284">
        <f>Table626893456791011121314[[#This Row],[Offer Value]]-Table626893456791011121314[[#This Row],[PO Value]]</f>
        <v>0</v>
      </c>
      <c r="W444" s="39"/>
      <c r="X444" s="39"/>
      <c r="Y444" s="40"/>
      <c r="Z444" s="7"/>
      <c r="AA444" s="7"/>
    </row>
    <row r="445" spans="1:27" ht="14.4">
      <c r="A445" s="33"/>
      <c r="B445" s="177"/>
      <c r="C445" s="35"/>
      <c r="D445" s="35"/>
      <c r="E445" s="35"/>
      <c r="F445" s="35"/>
      <c r="G445" s="35"/>
      <c r="H445" s="35"/>
      <c r="I445" s="35"/>
      <c r="J445" s="36"/>
      <c r="K445" s="36"/>
      <c r="L445" s="35"/>
      <c r="M445" s="37"/>
      <c r="N445" s="38"/>
      <c r="O445" s="38"/>
      <c r="P445" s="41"/>
      <c r="Q445" s="175"/>
      <c r="R445" s="40"/>
      <c r="S445" s="40"/>
      <c r="T445" s="40"/>
      <c r="U445" s="41" t="str">
        <f>TEXT(Table626893456791011121314[[#This Row],[PO Date]], "mmmm")</f>
        <v>January</v>
      </c>
      <c r="V445" s="284">
        <f>Table626893456791011121314[[#This Row],[Offer Value]]-Table626893456791011121314[[#This Row],[PO Value]]</f>
        <v>0</v>
      </c>
      <c r="W445" s="39"/>
      <c r="X445" s="39"/>
      <c r="Y445" s="40"/>
      <c r="Z445" s="7"/>
      <c r="AA445" s="7"/>
    </row>
    <row r="446" spans="1:27" ht="14.4">
      <c r="A446" s="33"/>
      <c r="B446" s="177"/>
      <c r="C446" s="35"/>
      <c r="D446" s="35"/>
      <c r="E446" s="35"/>
      <c r="F446" s="35"/>
      <c r="G446" s="35"/>
      <c r="H446" s="35"/>
      <c r="I446" s="35"/>
      <c r="J446" s="36"/>
      <c r="K446" s="36"/>
      <c r="L446" s="35"/>
      <c r="M446" s="37"/>
      <c r="N446" s="38"/>
      <c r="O446" s="38"/>
      <c r="P446" s="41"/>
      <c r="Q446" s="175"/>
      <c r="R446" s="40"/>
      <c r="S446" s="40"/>
      <c r="T446" s="40"/>
      <c r="U446" s="41" t="str">
        <f>TEXT(Table626893456791011121314[[#This Row],[PO Date]], "mmmm")</f>
        <v>January</v>
      </c>
      <c r="V446" s="284">
        <f>Table626893456791011121314[[#This Row],[Offer Value]]-Table626893456791011121314[[#This Row],[PO Value]]</f>
        <v>0</v>
      </c>
      <c r="W446" s="39"/>
      <c r="X446" s="39"/>
      <c r="Y446" s="40"/>
      <c r="Z446" s="7"/>
      <c r="AA446" s="7"/>
    </row>
    <row r="447" spans="1:27" ht="14.4">
      <c r="A447" s="33"/>
      <c r="B447" s="177"/>
      <c r="C447" s="35"/>
      <c r="D447" s="35"/>
      <c r="E447" s="35"/>
      <c r="F447" s="35"/>
      <c r="G447" s="35"/>
      <c r="H447" s="35"/>
      <c r="I447" s="35"/>
      <c r="J447" s="36"/>
      <c r="K447" s="36"/>
      <c r="L447" s="35"/>
      <c r="M447" s="37"/>
      <c r="N447" s="38"/>
      <c r="O447" s="38"/>
      <c r="P447" s="41"/>
      <c r="Q447" s="175"/>
      <c r="R447" s="40"/>
      <c r="S447" s="40"/>
      <c r="T447" s="40"/>
      <c r="U447" s="41" t="str">
        <f>TEXT(Table626893456791011121314[[#This Row],[PO Date]], "mmmm")</f>
        <v>January</v>
      </c>
      <c r="V447" s="284">
        <f>Table626893456791011121314[[#This Row],[Offer Value]]-Table626893456791011121314[[#This Row],[PO Value]]</f>
        <v>0</v>
      </c>
      <c r="W447" s="39"/>
      <c r="X447" s="39"/>
      <c r="Y447" s="40"/>
      <c r="Z447" s="7"/>
      <c r="AA447" s="7"/>
    </row>
    <row r="448" spans="1:27" ht="14.4">
      <c r="A448" s="33"/>
      <c r="B448" s="177"/>
      <c r="C448" s="35"/>
      <c r="D448" s="35"/>
      <c r="E448" s="35"/>
      <c r="F448" s="35"/>
      <c r="G448" s="35"/>
      <c r="H448" s="35"/>
      <c r="I448" s="35"/>
      <c r="J448" s="36"/>
      <c r="K448" s="36"/>
      <c r="L448" s="35"/>
      <c r="M448" s="37"/>
      <c r="N448" s="38"/>
      <c r="O448" s="38"/>
      <c r="P448" s="41"/>
      <c r="Q448" s="175"/>
      <c r="R448" s="40"/>
      <c r="S448" s="40"/>
      <c r="T448" s="40"/>
      <c r="U448" s="41" t="str">
        <f>TEXT(Table626893456791011121314[[#This Row],[PO Date]], "mmmm")</f>
        <v>January</v>
      </c>
      <c r="V448" s="284">
        <f>Table626893456791011121314[[#This Row],[Offer Value]]-Table626893456791011121314[[#This Row],[PO Value]]</f>
        <v>0</v>
      </c>
      <c r="W448" s="39"/>
      <c r="X448" s="39"/>
      <c r="Y448" s="40"/>
      <c r="Z448" s="7"/>
      <c r="AA448" s="7"/>
    </row>
    <row r="449" spans="1:27" ht="14.4">
      <c r="A449" s="33"/>
      <c r="B449" s="177"/>
      <c r="C449" s="35"/>
      <c r="D449" s="35"/>
      <c r="E449" s="35"/>
      <c r="F449" s="35"/>
      <c r="G449" s="35"/>
      <c r="H449" s="35"/>
      <c r="I449" s="35"/>
      <c r="J449" s="36"/>
      <c r="K449" s="36"/>
      <c r="L449" s="35"/>
      <c r="M449" s="37"/>
      <c r="N449" s="38"/>
      <c r="O449" s="38"/>
      <c r="P449" s="41"/>
      <c r="Q449" s="175"/>
      <c r="R449" s="40"/>
      <c r="S449" s="40"/>
      <c r="T449" s="40"/>
      <c r="U449" s="41" t="str">
        <f>TEXT(Table626893456791011121314[[#This Row],[PO Date]], "mmmm")</f>
        <v>January</v>
      </c>
      <c r="V449" s="284">
        <f>Table626893456791011121314[[#This Row],[Offer Value]]-Table626893456791011121314[[#This Row],[PO Value]]</f>
        <v>0</v>
      </c>
      <c r="W449" s="39"/>
      <c r="X449" s="39"/>
      <c r="Y449" s="40"/>
      <c r="Z449" s="7"/>
      <c r="AA449" s="7"/>
    </row>
    <row r="450" spans="1:27" ht="14.4">
      <c r="A450" s="33"/>
      <c r="B450" s="177"/>
      <c r="C450" s="35"/>
      <c r="D450" s="35"/>
      <c r="E450" s="35"/>
      <c r="F450" s="35"/>
      <c r="G450" s="35"/>
      <c r="H450" s="35"/>
      <c r="I450" s="35"/>
      <c r="J450" s="36"/>
      <c r="K450" s="36"/>
      <c r="L450" s="35"/>
      <c r="M450" s="37"/>
      <c r="N450" s="38"/>
      <c r="O450" s="38"/>
      <c r="P450" s="41"/>
      <c r="Q450" s="175"/>
      <c r="R450" s="40"/>
      <c r="S450" s="40"/>
      <c r="T450" s="40"/>
      <c r="U450" s="41" t="str">
        <f>TEXT(Table626893456791011121314[[#This Row],[PO Date]], "mmmm")</f>
        <v>January</v>
      </c>
      <c r="V450" s="284">
        <f>Table626893456791011121314[[#This Row],[Offer Value]]-Table626893456791011121314[[#This Row],[PO Value]]</f>
        <v>0</v>
      </c>
      <c r="W450" s="39"/>
      <c r="X450" s="39"/>
      <c r="Y450" s="40"/>
      <c r="Z450" s="7"/>
      <c r="AA450" s="7"/>
    </row>
    <row r="451" spans="1:27" ht="14.4">
      <c r="A451" s="33"/>
      <c r="B451" s="177"/>
      <c r="C451" s="35"/>
      <c r="D451" s="35"/>
      <c r="E451" s="35"/>
      <c r="F451" s="35"/>
      <c r="G451" s="35"/>
      <c r="H451" s="35"/>
      <c r="I451" s="35"/>
      <c r="J451" s="36"/>
      <c r="K451" s="36"/>
      <c r="L451" s="35"/>
      <c r="M451" s="37"/>
      <c r="N451" s="38"/>
      <c r="O451" s="38"/>
      <c r="P451" s="41"/>
      <c r="Q451" s="175"/>
      <c r="R451" s="40"/>
      <c r="S451" s="40"/>
      <c r="T451" s="40"/>
      <c r="U451" s="41" t="str">
        <f>TEXT(Table626893456791011121314[[#This Row],[PO Date]], "mmmm")</f>
        <v>January</v>
      </c>
      <c r="V451" s="284">
        <f>Table626893456791011121314[[#This Row],[Offer Value]]-Table626893456791011121314[[#This Row],[PO Value]]</f>
        <v>0</v>
      </c>
      <c r="W451" s="39"/>
      <c r="X451" s="39"/>
      <c r="Y451" s="40"/>
      <c r="Z451" s="7"/>
      <c r="AA451" s="7"/>
    </row>
    <row r="452" spans="1:27" ht="14.4">
      <c r="A452" s="33"/>
      <c r="B452" s="177"/>
      <c r="C452" s="35"/>
      <c r="D452" s="35"/>
      <c r="E452" s="35"/>
      <c r="F452" s="35"/>
      <c r="G452" s="35"/>
      <c r="H452" s="35"/>
      <c r="I452" s="35"/>
      <c r="J452" s="36"/>
      <c r="K452" s="36"/>
      <c r="L452" s="35"/>
      <c r="M452" s="37"/>
      <c r="N452" s="38"/>
      <c r="O452" s="38"/>
      <c r="P452" s="41"/>
      <c r="Q452" s="175"/>
      <c r="R452" s="40"/>
      <c r="S452" s="40"/>
      <c r="T452" s="40"/>
      <c r="U452" s="41" t="str">
        <f>TEXT(Table626893456791011121314[[#This Row],[PO Date]], "mmmm")</f>
        <v>January</v>
      </c>
      <c r="V452" s="284">
        <f>Table626893456791011121314[[#This Row],[Offer Value]]-Table626893456791011121314[[#This Row],[PO Value]]</f>
        <v>0</v>
      </c>
      <c r="W452" s="39"/>
      <c r="X452" s="39"/>
      <c r="Y452" s="40"/>
      <c r="Z452" s="7"/>
      <c r="AA452" s="7"/>
    </row>
    <row r="453" spans="1:27" ht="14.4">
      <c r="A453" s="33"/>
      <c r="B453" s="177"/>
      <c r="C453" s="35"/>
      <c r="D453" s="35"/>
      <c r="E453" s="35"/>
      <c r="F453" s="35"/>
      <c r="G453" s="35"/>
      <c r="H453" s="35"/>
      <c r="I453" s="35"/>
      <c r="J453" s="36"/>
      <c r="K453" s="36"/>
      <c r="L453" s="35"/>
      <c r="M453" s="37"/>
      <c r="N453" s="38"/>
      <c r="O453" s="38"/>
      <c r="P453" s="41"/>
      <c r="Q453" s="175"/>
      <c r="R453" s="40"/>
      <c r="S453" s="40"/>
      <c r="T453" s="40"/>
      <c r="U453" s="41" t="str">
        <f>TEXT(Table626893456791011121314[[#This Row],[PO Date]], "mmmm")</f>
        <v>January</v>
      </c>
      <c r="V453" s="284">
        <f>Table626893456791011121314[[#This Row],[Offer Value]]-Table626893456791011121314[[#This Row],[PO Value]]</f>
        <v>0</v>
      </c>
      <c r="W453" s="39"/>
      <c r="X453" s="39"/>
      <c r="Y453" s="40"/>
      <c r="Z453" s="7"/>
      <c r="AA453" s="7"/>
    </row>
    <row r="454" spans="1:27" ht="14.4">
      <c r="A454" s="33"/>
      <c r="B454" s="177"/>
      <c r="C454" s="35"/>
      <c r="D454" s="35"/>
      <c r="E454" s="35"/>
      <c r="F454" s="35"/>
      <c r="G454" s="35"/>
      <c r="H454" s="35"/>
      <c r="I454" s="35"/>
      <c r="J454" s="36"/>
      <c r="K454" s="36"/>
      <c r="L454" s="35"/>
      <c r="M454" s="37"/>
      <c r="N454" s="38"/>
      <c r="O454" s="38"/>
      <c r="P454" s="41"/>
      <c r="Q454" s="175"/>
      <c r="R454" s="40"/>
      <c r="S454" s="40"/>
      <c r="T454" s="40"/>
      <c r="U454" s="41" t="str">
        <f>TEXT(Table626893456791011121314[[#This Row],[PO Date]], "mmmm")</f>
        <v>January</v>
      </c>
      <c r="V454" s="284">
        <f>Table626893456791011121314[[#This Row],[Offer Value]]-Table626893456791011121314[[#This Row],[PO Value]]</f>
        <v>0</v>
      </c>
      <c r="W454" s="39"/>
      <c r="X454" s="39"/>
      <c r="Y454" s="40"/>
      <c r="Z454" s="7"/>
      <c r="AA454" s="7"/>
    </row>
    <row r="455" spans="1:27" ht="14.4">
      <c r="A455" s="33"/>
      <c r="B455" s="177"/>
      <c r="C455" s="35"/>
      <c r="D455" s="35"/>
      <c r="E455" s="35"/>
      <c r="F455" s="35"/>
      <c r="G455" s="35"/>
      <c r="H455" s="35"/>
      <c r="I455" s="35"/>
      <c r="J455" s="36"/>
      <c r="K455" s="36"/>
      <c r="L455" s="35"/>
      <c r="M455" s="37"/>
      <c r="N455" s="38"/>
      <c r="O455" s="38"/>
      <c r="P455" s="41"/>
      <c r="Q455" s="175"/>
      <c r="R455" s="40"/>
      <c r="S455" s="40"/>
      <c r="T455" s="40"/>
      <c r="U455" s="41" t="str">
        <f>TEXT(Table626893456791011121314[[#This Row],[PO Date]], "mmmm")</f>
        <v>January</v>
      </c>
      <c r="V455" s="284">
        <f>Table626893456791011121314[[#This Row],[Offer Value]]-Table626893456791011121314[[#This Row],[PO Value]]</f>
        <v>0</v>
      </c>
      <c r="W455" s="39"/>
      <c r="X455" s="39"/>
      <c r="Y455" s="40"/>
      <c r="Z455" s="7"/>
      <c r="AA455" s="7"/>
    </row>
    <row r="456" spans="1:27" ht="14.4">
      <c r="A456" s="33"/>
      <c r="B456" s="177"/>
      <c r="C456" s="35"/>
      <c r="D456" s="35"/>
      <c r="E456" s="35"/>
      <c r="F456" s="35"/>
      <c r="G456" s="35"/>
      <c r="H456" s="35"/>
      <c r="I456" s="35"/>
      <c r="J456" s="36"/>
      <c r="K456" s="36"/>
      <c r="L456" s="35"/>
      <c r="M456" s="37"/>
      <c r="N456" s="38"/>
      <c r="O456" s="38"/>
      <c r="P456" s="41"/>
      <c r="Q456" s="175"/>
      <c r="R456" s="40"/>
      <c r="S456" s="40"/>
      <c r="T456" s="40"/>
      <c r="U456" s="41" t="str">
        <f>TEXT(Table626893456791011121314[[#This Row],[PO Date]], "mmmm")</f>
        <v>January</v>
      </c>
      <c r="V456" s="284">
        <f>Table626893456791011121314[[#This Row],[Offer Value]]-Table626893456791011121314[[#This Row],[PO Value]]</f>
        <v>0</v>
      </c>
      <c r="W456" s="39"/>
      <c r="X456" s="39"/>
      <c r="Y456" s="40"/>
      <c r="Z456" s="7"/>
      <c r="AA456" s="7"/>
    </row>
    <row r="457" spans="1:27" ht="14.4">
      <c r="A457" s="33"/>
      <c r="B457" s="177"/>
      <c r="C457" s="35"/>
      <c r="D457" s="35"/>
      <c r="E457" s="35"/>
      <c r="F457" s="35"/>
      <c r="G457" s="35"/>
      <c r="H457" s="35"/>
      <c r="I457" s="35"/>
      <c r="J457" s="36"/>
      <c r="K457" s="36"/>
      <c r="L457" s="35"/>
      <c r="M457" s="37"/>
      <c r="N457" s="38"/>
      <c r="O457" s="38"/>
      <c r="P457" s="41"/>
      <c r="Q457" s="175"/>
      <c r="R457" s="40"/>
      <c r="S457" s="40"/>
      <c r="T457" s="40"/>
      <c r="U457" s="41" t="str">
        <f>TEXT(Table626893456791011121314[[#This Row],[PO Date]], "mmmm")</f>
        <v>January</v>
      </c>
      <c r="V457" s="284">
        <f>Table626893456791011121314[[#This Row],[Offer Value]]-Table626893456791011121314[[#This Row],[PO Value]]</f>
        <v>0</v>
      </c>
      <c r="W457" s="39"/>
      <c r="X457" s="39"/>
      <c r="Y457" s="40"/>
      <c r="Z457" s="7"/>
      <c r="AA457" s="7"/>
    </row>
    <row r="458" spans="1:27" ht="14.4">
      <c r="A458" s="33"/>
      <c r="B458" s="177"/>
      <c r="C458" s="35"/>
      <c r="D458" s="35"/>
      <c r="E458" s="35"/>
      <c r="F458" s="35"/>
      <c r="G458" s="35"/>
      <c r="H458" s="35"/>
      <c r="I458" s="35"/>
      <c r="J458" s="36"/>
      <c r="K458" s="36"/>
      <c r="L458" s="35"/>
      <c r="M458" s="37"/>
      <c r="N458" s="38"/>
      <c r="O458" s="38"/>
      <c r="P458" s="41"/>
      <c r="Q458" s="175"/>
      <c r="R458" s="40"/>
      <c r="S458" s="40"/>
      <c r="T458" s="40"/>
      <c r="U458" s="41" t="str">
        <f>TEXT(Table626893456791011121314[[#This Row],[PO Date]], "mmmm")</f>
        <v>January</v>
      </c>
      <c r="V458" s="284">
        <f>Table626893456791011121314[[#This Row],[Offer Value]]-Table626893456791011121314[[#This Row],[PO Value]]</f>
        <v>0</v>
      </c>
      <c r="W458" s="39"/>
      <c r="X458" s="39"/>
      <c r="Y458" s="40"/>
      <c r="Z458" s="7"/>
      <c r="AA458" s="7"/>
    </row>
    <row r="459" spans="1:27" ht="14.4">
      <c r="A459" s="33"/>
      <c r="B459" s="177"/>
      <c r="C459" s="35"/>
      <c r="D459" s="35"/>
      <c r="E459" s="35"/>
      <c r="F459" s="35"/>
      <c r="G459" s="35"/>
      <c r="H459" s="35"/>
      <c r="I459" s="35"/>
      <c r="J459" s="36"/>
      <c r="K459" s="36"/>
      <c r="L459" s="35"/>
      <c r="M459" s="37"/>
      <c r="N459" s="38"/>
      <c r="O459" s="38"/>
      <c r="P459" s="41"/>
      <c r="Q459" s="175"/>
      <c r="R459" s="40"/>
      <c r="S459" s="40"/>
      <c r="T459" s="40"/>
      <c r="U459" s="41" t="str">
        <f>TEXT(Table626893456791011121314[[#This Row],[PO Date]], "mmmm")</f>
        <v>January</v>
      </c>
      <c r="V459" s="284">
        <f>Table626893456791011121314[[#This Row],[Offer Value]]-Table626893456791011121314[[#This Row],[PO Value]]</f>
        <v>0</v>
      </c>
      <c r="W459" s="39"/>
      <c r="X459" s="39"/>
      <c r="Y459" s="40"/>
      <c r="Z459" s="7"/>
      <c r="AA459" s="7"/>
    </row>
    <row r="460" spans="1:27" ht="14.4">
      <c r="A460" s="33"/>
      <c r="B460" s="177"/>
      <c r="C460" s="35"/>
      <c r="D460" s="35"/>
      <c r="E460" s="35"/>
      <c r="F460" s="35"/>
      <c r="G460" s="35"/>
      <c r="H460" s="35"/>
      <c r="I460" s="35"/>
      <c r="J460" s="36"/>
      <c r="K460" s="36"/>
      <c r="L460" s="35"/>
      <c r="M460" s="37"/>
      <c r="N460" s="38"/>
      <c r="O460" s="38"/>
      <c r="P460" s="41"/>
      <c r="Q460" s="175"/>
      <c r="R460" s="40"/>
      <c r="S460" s="40"/>
      <c r="T460" s="40"/>
      <c r="U460" s="41" t="str">
        <f>TEXT(Table626893456791011121314[[#This Row],[PO Date]], "mmmm")</f>
        <v>January</v>
      </c>
      <c r="V460" s="284">
        <f>Table626893456791011121314[[#This Row],[Offer Value]]-Table626893456791011121314[[#This Row],[PO Value]]</f>
        <v>0</v>
      </c>
      <c r="W460" s="39"/>
      <c r="X460" s="39"/>
      <c r="Y460" s="40"/>
      <c r="Z460" s="7"/>
      <c r="AA460" s="7"/>
    </row>
    <row r="461" spans="1:27" ht="14.4">
      <c r="A461" s="33"/>
      <c r="B461" s="177"/>
      <c r="C461" s="35"/>
      <c r="D461" s="35"/>
      <c r="E461" s="35"/>
      <c r="F461" s="35"/>
      <c r="G461" s="35"/>
      <c r="H461" s="35"/>
      <c r="I461" s="35"/>
      <c r="J461" s="36"/>
      <c r="K461" s="36"/>
      <c r="L461" s="35"/>
      <c r="M461" s="37"/>
      <c r="N461" s="38"/>
      <c r="O461" s="38"/>
      <c r="P461" s="41"/>
      <c r="Q461" s="175"/>
      <c r="R461" s="40"/>
      <c r="S461" s="40"/>
      <c r="T461" s="40"/>
      <c r="U461" s="41" t="str">
        <f>TEXT(Table626893456791011121314[[#This Row],[PO Date]], "mmmm")</f>
        <v>January</v>
      </c>
      <c r="V461" s="284">
        <f>Table626893456791011121314[[#This Row],[Offer Value]]-Table626893456791011121314[[#This Row],[PO Value]]</f>
        <v>0</v>
      </c>
      <c r="W461" s="39"/>
      <c r="X461" s="39"/>
      <c r="Y461" s="40"/>
      <c r="Z461" s="7"/>
      <c r="AA461" s="7"/>
    </row>
    <row r="462" spans="1:27" ht="14.4">
      <c r="A462" s="33"/>
      <c r="B462" s="177"/>
      <c r="C462" s="35"/>
      <c r="D462" s="35"/>
      <c r="E462" s="35"/>
      <c r="F462" s="35"/>
      <c r="G462" s="35"/>
      <c r="H462" s="35"/>
      <c r="I462" s="35"/>
      <c r="J462" s="36"/>
      <c r="K462" s="36"/>
      <c r="L462" s="35"/>
      <c r="M462" s="37"/>
      <c r="N462" s="38"/>
      <c r="O462" s="38"/>
      <c r="P462" s="41"/>
      <c r="Q462" s="175"/>
      <c r="R462" s="40"/>
      <c r="S462" s="40"/>
      <c r="T462" s="40"/>
      <c r="U462" s="41" t="str">
        <f>TEXT(Table626893456791011121314[[#This Row],[PO Date]], "mmmm")</f>
        <v>January</v>
      </c>
      <c r="V462" s="284">
        <f>Table626893456791011121314[[#This Row],[Offer Value]]-Table626893456791011121314[[#This Row],[PO Value]]</f>
        <v>0</v>
      </c>
      <c r="W462" s="39"/>
      <c r="X462" s="39"/>
      <c r="Y462" s="40"/>
      <c r="Z462" s="7"/>
      <c r="AA462" s="7"/>
    </row>
    <row r="463" spans="1:27" ht="14.4">
      <c r="A463" s="33"/>
      <c r="B463" s="177"/>
      <c r="C463" s="35"/>
      <c r="D463" s="35"/>
      <c r="E463" s="35"/>
      <c r="F463" s="35"/>
      <c r="G463" s="35"/>
      <c r="H463" s="35"/>
      <c r="I463" s="35"/>
      <c r="J463" s="36"/>
      <c r="K463" s="36"/>
      <c r="L463" s="35"/>
      <c r="M463" s="37"/>
      <c r="N463" s="38"/>
      <c r="O463" s="38"/>
      <c r="P463" s="41"/>
      <c r="Q463" s="175"/>
      <c r="R463" s="40"/>
      <c r="S463" s="40"/>
      <c r="T463" s="40"/>
      <c r="U463" s="41" t="str">
        <f>TEXT(Table626893456791011121314[[#This Row],[PO Date]], "mmmm")</f>
        <v>January</v>
      </c>
      <c r="V463" s="284">
        <f>Table626893456791011121314[[#This Row],[Offer Value]]-Table626893456791011121314[[#This Row],[PO Value]]</f>
        <v>0</v>
      </c>
      <c r="W463" s="39"/>
      <c r="X463" s="39"/>
      <c r="Y463" s="40"/>
      <c r="Z463" s="7"/>
      <c r="AA463" s="7"/>
    </row>
    <row r="464" spans="1:27" ht="14.4">
      <c r="A464" s="33"/>
      <c r="B464" s="177"/>
      <c r="C464" s="35"/>
      <c r="D464" s="35"/>
      <c r="E464" s="35"/>
      <c r="F464" s="35"/>
      <c r="G464" s="35"/>
      <c r="H464" s="35"/>
      <c r="I464" s="35"/>
      <c r="J464" s="36"/>
      <c r="K464" s="36"/>
      <c r="L464" s="35"/>
      <c r="M464" s="37"/>
      <c r="N464" s="38"/>
      <c r="O464" s="38"/>
      <c r="P464" s="41"/>
      <c r="Q464" s="175"/>
      <c r="R464" s="40"/>
      <c r="S464" s="40"/>
      <c r="T464" s="40"/>
      <c r="U464" s="41" t="str">
        <f>TEXT(Table626893456791011121314[[#This Row],[PO Date]], "mmmm")</f>
        <v>January</v>
      </c>
      <c r="V464" s="284">
        <f>Table626893456791011121314[[#This Row],[Offer Value]]-Table626893456791011121314[[#This Row],[PO Value]]</f>
        <v>0</v>
      </c>
      <c r="W464" s="39"/>
      <c r="X464" s="39"/>
      <c r="Y464" s="40"/>
      <c r="Z464" s="7"/>
      <c r="AA464" s="7"/>
    </row>
    <row r="465" spans="1:27" ht="14.4">
      <c r="A465" s="33"/>
      <c r="B465" s="177"/>
      <c r="C465" s="35"/>
      <c r="D465" s="35"/>
      <c r="E465" s="35"/>
      <c r="F465" s="35"/>
      <c r="G465" s="35"/>
      <c r="H465" s="35"/>
      <c r="I465" s="35"/>
      <c r="J465" s="36"/>
      <c r="K465" s="36"/>
      <c r="L465" s="35"/>
      <c r="M465" s="37"/>
      <c r="N465" s="38"/>
      <c r="O465" s="38"/>
      <c r="P465" s="41"/>
      <c r="Q465" s="175"/>
      <c r="R465" s="40"/>
      <c r="S465" s="40"/>
      <c r="T465" s="40"/>
      <c r="U465" s="41" t="str">
        <f>TEXT(Table626893456791011121314[[#This Row],[PO Date]], "mmmm")</f>
        <v>January</v>
      </c>
      <c r="V465" s="284">
        <f>Table626893456791011121314[[#This Row],[Offer Value]]-Table626893456791011121314[[#This Row],[PO Value]]</f>
        <v>0</v>
      </c>
      <c r="W465" s="39"/>
      <c r="X465" s="39"/>
      <c r="Y465" s="40"/>
      <c r="Z465" s="7"/>
      <c r="AA465" s="7"/>
    </row>
    <row r="466" spans="1:27" ht="14.4">
      <c r="A466" s="33"/>
      <c r="B466" s="177"/>
      <c r="C466" s="35"/>
      <c r="D466" s="35"/>
      <c r="E466" s="35"/>
      <c r="F466" s="35"/>
      <c r="G466" s="35"/>
      <c r="H466" s="35"/>
      <c r="I466" s="35"/>
      <c r="J466" s="36"/>
      <c r="K466" s="36"/>
      <c r="L466" s="35"/>
      <c r="M466" s="37"/>
      <c r="N466" s="38"/>
      <c r="O466" s="38"/>
      <c r="P466" s="41"/>
      <c r="Q466" s="175"/>
      <c r="R466" s="40"/>
      <c r="S466" s="40"/>
      <c r="T466" s="40"/>
      <c r="U466" s="41" t="str">
        <f>TEXT(Table626893456791011121314[[#This Row],[PO Date]], "mmmm")</f>
        <v>January</v>
      </c>
      <c r="V466" s="284">
        <f>Table626893456791011121314[[#This Row],[Offer Value]]-Table626893456791011121314[[#This Row],[PO Value]]</f>
        <v>0</v>
      </c>
      <c r="W466" s="39"/>
      <c r="X466" s="39"/>
      <c r="Y466" s="40"/>
      <c r="Z466" s="7"/>
      <c r="AA466" s="7"/>
    </row>
    <row r="467" spans="1:27" ht="14.4">
      <c r="A467" s="33"/>
      <c r="B467" s="177"/>
      <c r="C467" s="35"/>
      <c r="D467" s="35"/>
      <c r="E467" s="35"/>
      <c r="F467" s="35"/>
      <c r="G467" s="35"/>
      <c r="H467" s="35"/>
      <c r="I467" s="35"/>
      <c r="J467" s="36"/>
      <c r="K467" s="36"/>
      <c r="L467" s="35"/>
      <c r="M467" s="37"/>
      <c r="N467" s="38"/>
      <c r="O467" s="38"/>
      <c r="P467" s="41"/>
      <c r="Q467" s="175"/>
      <c r="R467" s="40"/>
      <c r="S467" s="40"/>
      <c r="T467" s="40"/>
      <c r="U467" s="41" t="str">
        <f>TEXT(Table626893456791011121314[[#This Row],[PO Date]], "mmmm")</f>
        <v>January</v>
      </c>
      <c r="V467" s="284">
        <f>Table626893456791011121314[[#This Row],[Offer Value]]-Table626893456791011121314[[#This Row],[PO Value]]</f>
        <v>0</v>
      </c>
      <c r="W467" s="39"/>
      <c r="X467" s="39"/>
      <c r="Y467" s="40"/>
      <c r="Z467" s="7"/>
      <c r="AA467" s="7"/>
    </row>
    <row r="468" spans="1:27" ht="14.4">
      <c r="A468" s="33"/>
      <c r="B468" s="177"/>
      <c r="C468" s="35"/>
      <c r="D468" s="35"/>
      <c r="E468" s="35"/>
      <c r="F468" s="35"/>
      <c r="G468" s="35"/>
      <c r="H468" s="35"/>
      <c r="I468" s="35"/>
      <c r="J468" s="36"/>
      <c r="K468" s="36"/>
      <c r="L468" s="35"/>
      <c r="M468" s="37"/>
      <c r="N468" s="38"/>
      <c r="O468" s="38"/>
      <c r="P468" s="41"/>
      <c r="Q468" s="175"/>
      <c r="R468" s="40"/>
      <c r="S468" s="40"/>
      <c r="T468" s="40"/>
      <c r="U468" s="41" t="str">
        <f>TEXT(Table626893456791011121314[[#This Row],[PO Date]], "mmmm")</f>
        <v>January</v>
      </c>
      <c r="V468" s="284">
        <f>Table626893456791011121314[[#This Row],[Offer Value]]-Table626893456791011121314[[#This Row],[PO Value]]</f>
        <v>0</v>
      </c>
      <c r="W468" s="39"/>
      <c r="X468" s="39"/>
      <c r="Y468" s="40"/>
      <c r="Z468" s="7"/>
      <c r="AA468" s="7"/>
    </row>
    <row r="469" spans="1:27" ht="14.4">
      <c r="A469" s="33"/>
      <c r="B469" s="177"/>
      <c r="C469" s="35"/>
      <c r="D469" s="35"/>
      <c r="E469" s="35"/>
      <c r="F469" s="35"/>
      <c r="G469" s="35"/>
      <c r="H469" s="35"/>
      <c r="I469" s="35"/>
      <c r="J469" s="36"/>
      <c r="K469" s="36"/>
      <c r="L469" s="35"/>
      <c r="M469" s="37"/>
      <c r="N469" s="38"/>
      <c r="O469" s="38"/>
      <c r="P469" s="41"/>
      <c r="Q469" s="175"/>
      <c r="R469" s="40"/>
      <c r="S469" s="40"/>
      <c r="T469" s="40"/>
      <c r="U469" s="41" t="str">
        <f>TEXT(Table626893456791011121314[[#This Row],[PO Date]], "mmmm")</f>
        <v>January</v>
      </c>
      <c r="V469" s="284">
        <f>Table626893456791011121314[[#This Row],[Offer Value]]-Table626893456791011121314[[#This Row],[PO Value]]</f>
        <v>0</v>
      </c>
      <c r="W469" s="39"/>
      <c r="X469" s="39"/>
      <c r="Y469" s="40"/>
      <c r="Z469" s="7"/>
      <c r="AA469" s="7"/>
    </row>
    <row r="470" spans="1:27" ht="14.4">
      <c r="A470" s="33"/>
      <c r="B470" s="177"/>
      <c r="C470" s="35"/>
      <c r="D470" s="35"/>
      <c r="E470" s="35"/>
      <c r="F470" s="35"/>
      <c r="G470" s="35"/>
      <c r="H470" s="35"/>
      <c r="I470" s="35"/>
      <c r="J470" s="36"/>
      <c r="K470" s="36"/>
      <c r="L470" s="35"/>
      <c r="M470" s="37"/>
      <c r="N470" s="38"/>
      <c r="O470" s="38"/>
      <c r="P470" s="41"/>
      <c r="Q470" s="175"/>
      <c r="R470" s="40"/>
      <c r="S470" s="40"/>
      <c r="T470" s="40"/>
      <c r="U470" s="41" t="str">
        <f>TEXT(Table626893456791011121314[[#This Row],[PO Date]], "mmmm")</f>
        <v>January</v>
      </c>
      <c r="V470" s="284">
        <f>Table626893456791011121314[[#This Row],[Offer Value]]-Table626893456791011121314[[#This Row],[PO Value]]</f>
        <v>0</v>
      </c>
      <c r="W470" s="39"/>
      <c r="X470" s="39"/>
      <c r="Y470" s="40"/>
      <c r="Z470" s="7"/>
      <c r="AA470" s="7"/>
    </row>
    <row r="471" spans="1:27" ht="14.4">
      <c r="A471" s="33"/>
      <c r="B471" s="177"/>
      <c r="C471" s="35"/>
      <c r="D471" s="35"/>
      <c r="E471" s="35"/>
      <c r="F471" s="35"/>
      <c r="G471" s="35"/>
      <c r="H471" s="35"/>
      <c r="I471" s="35"/>
      <c r="J471" s="36"/>
      <c r="K471" s="36"/>
      <c r="L471" s="35"/>
      <c r="M471" s="37"/>
      <c r="N471" s="38"/>
      <c r="O471" s="38"/>
      <c r="P471" s="41"/>
      <c r="Q471" s="175"/>
      <c r="R471" s="40"/>
      <c r="S471" s="40"/>
      <c r="T471" s="40"/>
      <c r="U471" s="41" t="str">
        <f>TEXT(Table626893456791011121314[[#This Row],[PO Date]], "mmmm")</f>
        <v>January</v>
      </c>
      <c r="V471" s="284">
        <f>Table626893456791011121314[[#This Row],[Offer Value]]-Table626893456791011121314[[#This Row],[PO Value]]</f>
        <v>0</v>
      </c>
      <c r="W471" s="39"/>
      <c r="X471" s="39"/>
      <c r="Y471" s="40"/>
      <c r="Z471" s="7"/>
      <c r="AA471" s="7"/>
    </row>
    <row r="472" spans="1:27" ht="14.4">
      <c r="A472" s="33"/>
      <c r="B472" s="177"/>
      <c r="C472" s="35"/>
      <c r="D472" s="35"/>
      <c r="E472" s="35"/>
      <c r="F472" s="35"/>
      <c r="G472" s="35"/>
      <c r="H472" s="35"/>
      <c r="I472" s="35"/>
      <c r="J472" s="36"/>
      <c r="K472" s="36"/>
      <c r="L472" s="35"/>
      <c r="M472" s="37"/>
      <c r="N472" s="38"/>
      <c r="O472" s="38"/>
      <c r="P472" s="41"/>
      <c r="Q472" s="175"/>
      <c r="R472" s="40"/>
      <c r="S472" s="40"/>
      <c r="T472" s="40"/>
      <c r="U472" s="41" t="str">
        <f>TEXT(Table626893456791011121314[[#This Row],[PO Date]], "mmmm")</f>
        <v>January</v>
      </c>
      <c r="V472" s="284">
        <f>Table626893456791011121314[[#This Row],[Offer Value]]-Table626893456791011121314[[#This Row],[PO Value]]</f>
        <v>0</v>
      </c>
      <c r="W472" s="39"/>
      <c r="X472" s="39"/>
      <c r="Y472" s="40"/>
      <c r="Z472" s="7"/>
      <c r="AA472" s="7"/>
    </row>
    <row r="473" spans="1:27" ht="14.4">
      <c r="A473" s="33"/>
      <c r="B473" s="177"/>
      <c r="C473" s="35"/>
      <c r="D473" s="35"/>
      <c r="E473" s="35"/>
      <c r="F473" s="35"/>
      <c r="G473" s="35"/>
      <c r="H473" s="35"/>
      <c r="I473" s="35"/>
      <c r="J473" s="36"/>
      <c r="K473" s="36"/>
      <c r="L473" s="35"/>
      <c r="M473" s="37"/>
      <c r="N473" s="38"/>
      <c r="O473" s="38"/>
      <c r="P473" s="41"/>
      <c r="Q473" s="175"/>
      <c r="R473" s="40"/>
      <c r="S473" s="40"/>
      <c r="T473" s="40"/>
      <c r="U473" s="41" t="str">
        <f>TEXT(Table626893456791011121314[[#This Row],[PO Date]], "mmmm")</f>
        <v>January</v>
      </c>
      <c r="V473" s="284">
        <f>Table626893456791011121314[[#This Row],[Offer Value]]-Table626893456791011121314[[#This Row],[PO Value]]</f>
        <v>0</v>
      </c>
      <c r="W473" s="39"/>
      <c r="X473" s="39"/>
      <c r="Y473" s="40"/>
      <c r="Z473" s="7"/>
      <c r="AA473" s="7"/>
    </row>
    <row r="474" spans="1:27" ht="14.4">
      <c r="A474" s="33"/>
      <c r="B474" s="177"/>
      <c r="C474" s="35"/>
      <c r="D474" s="35"/>
      <c r="E474" s="35"/>
      <c r="F474" s="35"/>
      <c r="G474" s="35"/>
      <c r="H474" s="35"/>
      <c r="I474" s="35"/>
      <c r="J474" s="36"/>
      <c r="K474" s="36"/>
      <c r="L474" s="35"/>
      <c r="M474" s="37"/>
      <c r="N474" s="38"/>
      <c r="O474" s="38"/>
      <c r="P474" s="41"/>
      <c r="Q474" s="175"/>
      <c r="R474" s="40"/>
      <c r="S474" s="40"/>
      <c r="T474" s="40"/>
      <c r="U474" s="41" t="str">
        <f>TEXT(Table626893456791011121314[[#This Row],[PO Date]], "mmmm")</f>
        <v>January</v>
      </c>
      <c r="V474" s="284">
        <f>Table626893456791011121314[[#This Row],[Offer Value]]-Table626893456791011121314[[#This Row],[PO Value]]</f>
        <v>0</v>
      </c>
      <c r="W474" s="39"/>
      <c r="X474" s="39"/>
      <c r="Y474" s="40"/>
      <c r="Z474" s="7"/>
      <c r="AA474" s="7"/>
    </row>
    <row r="475" spans="1:27" ht="14.4">
      <c r="A475" s="33"/>
      <c r="B475" s="177"/>
      <c r="C475" s="35"/>
      <c r="D475" s="35"/>
      <c r="E475" s="35"/>
      <c r="F475" s="35"/>
      <c r="G475" s="35"/>
      <c r="H475" s="35"/>
      <c r="I475" s="35"/>
      <c r="J475" s="36"/>
      <c r="K475" s="36"/>
      <c r="L475" s="35"/>
      <c r="M475" s="37"/>
      <c r="N475" s="38"/>
      <c r="O475" s="38"/>
      <c r="P475" s="41"/>
      <c r="Q475" s="175"/>
      <c r="R475" s="40"/>
      <c r="S475" s="40"/>
      <c r="T475" s="40"/>
      <c r="U475" s="41" t="str">
        <f>TEXT(Table626893456791011121314[[#This Row],[PO Date]], "mmmm")</f>
        <v>January</v>
      </c>
      <c r="V475" s="284">
        <f>Table626893456791011121314[[#This Row],[Offer Value]]-Table626893456791011121314[[#This Row],[PO Value]]</f>
        <v>0</v>
      </c>
      <c r="W475" s="39"/>
      <c r="X475" s="39"/>
      <c r="Y475" s="40"/>
      <c r="Z475" s="7"/>
      <c r="AA475" s="7"/>
    </row>
    <row r="476" spans="1:27" ht="14.4">
      <c r="A476" s="33"/>
      <c r="B476" s="177"/>
      <c r="C476" s="35"/>
      <c r="D476" s="35"/>
      <c r="E476" s="35"/>
      <c r="F476" s="35"/>
      <c r="G476" s="35"/>
      <c r="H476" s="35"/>
      <c r="I476" s="35"/>
      <c r="J476" s="36"/>
      <c r="K476" s="36"/>
      <c r="L476" s="35"/>
      <c r="M476" s="37"/>
      <c r="N476" s="38"/>
      <c r="O476" s="38"/>
      <c r="P476" s="41"/>
      <c r="Q476" s="175"/>
      <c r="R476" s="40"/>
      <c r="S476" s="40"/>
      <c r="T476" s="40"/>
      <c r="U476" s="41" t="str">
        <f>TEXT(Table626893456791011121314[[#This Row],[PO Date]], "mmmm")</f>
        <v>January</v>
      </c>
      <c r="V476" s="284">
        <f>Table626893456791011121314[[#This Row],[Offer Value]]-Table626893456791011121314[[#This Row],[PO Value]]</f>
        <v>0</v>
      </c>
      <c r="W476" s="39"/>
      <c r="X476" s="39"/>
      <c r="Y476" s="40"/>
      <c r="Z476" s="7"/>
      <c r="AA476" s="7"/>
    </row>
    <row r="477" spans="1:27" ht="14.4">
      <c r="A477" s="33"/>
      <c r="B477" s="177"/>
      <c r="C477" s="35"/>
      <c r="D477" s="35"/>
      <c r="E477" s="35"/>
      <c r="F477" s="35"/>
      <c r="G477" s="35"/>
      <c r="H477" s="35"/>
      <c r="I477" s="35"/>
      <c r="J477" s="36"/>
      <c r="K477" s="36"/>
      <c r="L477" s="35"/>
      <c r="M477" s="37"/>
      <c r="N477" s="38"/>
      <c r="O477" s="38"/>
      <c r="P477" s="41"/>
      <c r="Q477" s="175"/>
      <c r="R477" s="40"/>
      <c r="S477" s="40"/>
      <c r="T477" s="40"/>
      <c r="U477" s="41" t="str">
        <f>TEXT(Table626893456791011121314[[#This Row],[PO Date]], "mmmm")</f>
        <v>January</v>
      </c>
      <c r="V477" s="284">
        <f>Table626893456791011121314[[#This Row],[Offer Value]]-Table626893456791011121314[[#This Row],[PO Value]]</f>
        <v>0</v>
      </c>
      <c r="W477" s="39"/>
      <c r="X477" s="39"/>
      <c r="Y477" s="40"/>
      <c r="Z477" s="7"/>
      <c r="AA477" s="7"/>
    </row>
    <row r="478" spans="1:27" ht="14.4">
      <c r="A478" s="33"/>
      <c r="B478" s="177"/>
      <c r="C478" s="35"/>
      <c r="D478" s="35"/>
      <c r="E478" s="35"/>
      <c r="F478" s="35"/>
      <c r="G478" s="35"/>
      <c r="H478" s="35"/>
      <c r="I478" s="35"/>
      <c r="J478" s="36"/>
      <c r="K478" s="36"/>
      <c r="L478" s="35"/>
      <c r="M478" s="37"/>
      <c r="N478" s="38"/>
      <c r="O478" s="38"/>
      <c r="P478" s="41"/>
      <c r="Q478" s="175"/>
      <c r="R478" s="40"/>
      <c r="S478" s="40"/>
      <c r="T478" s="40"/>
      <c r="U478" s="41" t="str">
        <f>TEXT(Table626893456791011121314[[#This Row],[PO Date]], "mmmm")</f>
        <v>January</v>
      </c>
      <c r="V478" s="284">
        <f>Table626893456791011121314[[#This Row],[Offer Value]]-Table626893456791011121314[[#This Row],[PO Value]]</f>
        <v>0</v>
      </c>
      <c r="W478" s="39"/>
      <c r="X478" s="39"/>
      <c r="Y478" s="40"/>
      <c r="Z478" s="7"/>
      <c r="AA478" s="7"/>
    </row>
    <row r="479" spans="1:27" ht="14.4">
      <c r="A479" s="33"/>
      <c r="B479" s="177"/>
      <c r="C479" s="35"/>
      <c r="D479" s="35"/>
      <c r="E479" s="35"/>
      <c r="F479" s="35"/>
      <c r="G479" s="35"/>
      <c r="H479" s="35"/>
      <c r="I479" s="35"/>
      <c r="J479" s="36"/>
      <c r="K479" s="36"/>
      <c r="L479" s="35"/>
      <c r="M479" s="37"/>
      <c r="N479" s="38"/>
      <c r="O479" s="38"/>
      <c r="P479" s="41"/>
      <c r="Q479" s="175"/>
      <c r="R479" s="40"/>
      <c r="S479" s="40"/>
      <c r="T479" s="40"/>
      <c r="U479" s="41" t="str">
        <f>TEXT(Table626893456791011121314[[#This Row],[PO Date]], "mmmm")</f>
        <v>January</v>
      </c>
      <c r="V479" s="284">
        <f>Table626893456791011121314[[#This Row],[Offer Value]]-Table626893456791011121314[[#This Row],[PO Value]]</f>
        <v>0</v>
      </c>
      <c r="W479" s="39"/>
      <c r="X479" s="39"/>
      <c r="Y479" s="40"/>
      <c r="Z479" s="7"/>
      <c r="AA479" s="7"/>
    </row>
    <row r="480" spans="1:27" ht="14.4">
      <c r="A480" s="33"/>
      <c r="B480" s="177"/>
      <c r="C480" s="35"/>
      <c r="D480" s="35"/>
      <c r="E480" s="35"/>
      <c r="F480" s="35"/>
      <c r="G480" s="35"/>
      <c r="H480" s="35"/>
      <c r="I480" s="35"/>
      <c r="J480" s="36"/>
      <c r="K480" s="36"/>
      <c r="L480" s="35"/>
      <c r="M480" s="37"/>
      <c r="N480" s="38"/>
      <c r="O480" s="38"/>
      <c r="P480" s="41"/>
      <c r="Q480" s="175"/>
      <c r="R480" s="40"/>
      <c r="S480" s="40"/>
      <c r="T480" s="40"/>
      <c r="U480" s="41" t="str">
        <f>TEXT(Table626893456791011121314[[#This Row],[PO Date]], "mmmm")</f>
        <v>January</v>
      </c>
      <c r="V480" s="284">
        <f>Table626893456791011121314[[#This Row],[Offer Value]]-Table626893456791011121314[[#This Row],[PO Value]]</f>
        <v>0</v>
      </c>
      <c r="W480" s="39"/>
      <c r="X480" s="39"/>
      <c r="Y480" s="40"/>
      <c r="Z480" s="7"/>
      <c r="AA480" s="7"/>
    </row>
    <row r="481" spans="1:27" ht="14.4">
      <c r="A481" s="33"/>
      <c r="B481" s="177"/>
      <c r="C481" s="35"/>
      <c r="D481" s="35"/>
      <c r="E481" s="35"/>
      <c r="F481" s="35"/>
      <c r="G481" s="35"/>
      <c r="H481" s="35"/>
      <c r="I481" s="35"/>
      <c r="J481" s="36"/>
      <c r="K481" s="36"/>
      <c r="L481" s="35"/>
      <c r="M481" s="37"/>
      <c r="N481" s="38"/>
      <c r="O481" s="38"/>
      <c r="P481" s="41"/>
      <c r="Q481" s="175"/>
      <c r="R481" s="40"/>
      <c r="S481" s="40"/>
      <c r="T481" s="40"/>
      <c r="U481" s="41" t="str">
        <f>TEXT(Table626893456791011121314[[#This Row],[PO Date]], "mmmm")</f>
        <v>January</v>
      </c>
      <c r="V481" s="284">
        <f>Table626893456791011121314[[#This Row],[Offer Value]]-Table626893456791011121314[[#This Row],[PO Value]]</f>
        <v>0</v>
      </c>
      <c r="W481" s="39"/>
      <c r="X481" s="39"/>
      <c r="Y481" s="40"/>
      <c r="Z481" s="7"/>
      <c r="AA481" s="7"/>
    </row>
    <row r="482" spans="1:27" ht="14.4">
      <c r="A482" s="33"/>
      <c r="B482" s="177"/>
      <c r="C482" s="35"/>
      <c r="D482" s="35"/>
      <c r="E482" s="35"/>
      <c r="F482" s="35"/>
      <c r="G482" s="35"/>
      <c r="H482" s="35"/>
      <c r="I482" s="35"/>
      <c r="J482" s="36"/>
      <c r="K482" s="36"/>
      <c r="L482" s="35"/>
      <c r="M482" s="37"/>
      <c r="N482" s="38"/>
      <c r="O482" s="38"/>
      <c r="P482" s="41"/>
      <c r="Q482" s="175"/>
      <c r="R482" s="40"/>
      <c r="S482" s="40"/>
      <c r="T482" s="40"/>
      <c r="U482" s="41" t="str">
        <f>TEXT(Table626893456791011121314[[#This Row],[PO Date]], "mmmm")</f>
        <v>January</v>
      </c>
      <c r="V482" s="284">
        <f>Table626893456791011121314[[#This Row],[Offer Value]]-Table626893456791011121314[[#This Row],[PO Value]]</f>
        <v>0</v>
      </c>
      <c r="W482" s="39"/>
      <c r="X482" s="39"/>
      <c r="Y482" s="40"/>
      <c r="Z482" s="7"/>
      <c r="AA482" s="7"/>
    </row>
    <row r="483" spans="1:27" ht="14.4">
      <c r="A483" s="33"/>
      <c r="B483" s="177"/>
      <c r="C483" s="35"/>
      <c r="D483" s="35"/>
      <c r="E483" s="35"/>
      <c r="F483" s="35"/>
      <c r="G483" s="35"/>
      <c r="H483" s="35"/>
      <c r="I483" s="35"/>
      <c r="J483" s="36"/>
      <c r="K483" s="36"/>
      <c r="L483" s="35"/>
      <c r="M483" s="37"/>
      <c r="N483" s="38"/>
      <c r="O483" s="38"/>
      <c r="P483" s="41"/>
      <c r="Q483" s="175"/>
      <c r="R483" s="40"/>
      <c r="S483" s="40"/>
      <c r="T483" s="40"/>
      <c r="U483" s="41" t="str">
        <f>TEXT(Table626893456791011121314[[#This Row],[PO Date]], "mmmm")</f>
        <v>January</v>
      </c>
      <c r="V483" s="284">
        <f>Table626893456791011121314[[#This Row],[Offer Value]]-Table626893456791011121314[[#This Row],[PO Value]]</f>
        <v>0</v>
      </c>
      <c r="W483" s="39"/>
      <c r="X483" s="39"/>
      <c r="Y483" s="40"/>
      <c r="Z483" s="7"/>
      <c r="AA483" s="7"/>
    </row>
    <row r="484" spans="1:27" ht="14.4">
      <c r="A484" s="33"/>
      <c r="B484" s="177"/>
      <c r="C484" s="35"/>
      <c r="D484" s="35"/>
      <c r="E484" s="35"/>
      <c r="F484" s="35"/>
      <c r="G484" s="35"/>
      <c r="H484" s="35"/>
      <c r="I484" s="35"/>
      <c r="J484" s="36"/>
      <c r="K484" s="36"/>
      <c r="L484" s="35"/>
      <c r="M484" s="37"/>
      <c r="N484" s="38"/>
      <c r="O484" s="38"/>
      <c r="P484" s="41"/>
      <c r="Q484" s="175"/>
      <c r="R484" s="40"/>
      <c r="S484" s="40"/>
      <c r="T484" s="40"/>
      <c r="U484" s="41" t="str">
        <f>TEXT(Table626893456791011121314[[#This Row],[PO Date]], "mmmm")</f>
        <v>January</v>
      </c>
      <c r="V484" s="284">
        <f>Table626893456791011121314[[#This Row],[Offer Value]]-Table626893456791011121314[[#This Row],[PO Value]]</f>
        <v>0</v>
      </c>
      <c r="W484" s="39"/>
      <c r="X484" s="39"/>
      <c r="Y484" s="40"/>
      <c r="Z484" s="7"/>
      <c r="AA484" s="7"/>
    </row>
    <row r="485" spans="1:27" ht="14.4">
      <c r="A485" s="33"/>
      <c r="B485" s="177"/>
      <c r="C485" s="35"/>
      <c r="D485" s="35"/>
      <c r="E485" s="35"/>
      <c r="F485" s="35"/>
      <c r="G485" s="35"/>
      <c r="H485" s="35"/>
      <c r="I485" s="35"/>
      <c r="J485" s="36"/>
      <c r="K485" s="36"/>
      <c r="L485" s="35"/>
      <c r="M485" s="37"/>
      <c r="N485" s="38"/>
      <c r="O485" s="38"/>
      <c r="P485" s="41"/>
      <c r="Q485" s="175"/>
      <c r="R485" s="40"/>
      <c r="S485" s="40"/>
      <c r="T485" s="40"/>
      <c r="U485" s="41" t="str">
        <f>TEXT(Table626893456791011121314[[#This Row],[PO Date]], "mmmm")</f>
        <v>January</v>
      </c>
      <c r="V485" s="284">
        <f>Table626893456791011121314[[#This Row],[Offer Value]]-Table626893456791011121314[[#This Row],[PO Value]]</f>
        <v>0</v>
      </c>
      <c r="W485" s="39"/>
      <c r="X485" s="39"/>
      <c r="Y485" s="40"/>
      <c r="Z485" s="7"/>
      <c r="AA485" s="7"/>
    </row>
    <row r="486" spans="1:27" ht="14.4">
      <c r="A486" s="33"/>
      <c r="B486" s="177"/>
      <c r="C486" s="35"/>
      <c r="D486" s="35"/>
      <c r="E486" s="35"/>
      <c r="F486" s="35"/>
      <c r="G486" s="35"/>
      <c r="H486" s="35"/>
      <c r="I486" s="35"/>
      <c r="J486" s="36"/>
      <c r="K486" s="36"/>
      <c r="L486" s="35"/>
      <c r="M486" s="37"/>
      <c r="N486" s="38"/>
      <c r="O486" s="38"/>
      <c r="P486" s="41"/>
      <c r="Q486" s="175"/>
      <c r="R486" s="40"/>
      <c r="S486" s="40"/>
      <c r="T486" s="40"/>
      <c r="U486" s="41" t="str">
        <f>TEXT(Table626893456791011121314[[#This Row],[PO Date]], "mmmm")</f>
        <v>January</v>
      </c>
      <c r="V486" s="284">
        <f>Table626893456791011121314[[#This Row],[Offer Value]]-Table626893456791011121314[[#This Row],[PO Value]]</f>
        <v>0</v>
      </c>
      <c r="W486" s="39"/>
      <c r="X486" s="39"/>
      <c r="Y486" s="40"/>
      <c r="Z486" s="7"/>
      <c r="AA486" s="7"/>
    </row>
    <row r="487" spans="1:27" ht="14.4">
      <c r="A487" s="33"/>
      <c r="B487" s="177"/>
      <c r="C487" s="35"/>
      <c r="D487" s="35"/>
      <c r="E487" s="35"/>
      <c r="F487" s="35"/>
      <c r="G487" s="35"/>
      <c r="H487" s="35"/>
      <c r="I487" s="35"/>
      <c r="J487" s="36"/>
      <c r="K487" s="36"/>
      <c r="L487" s="35"/>
      <c r="M487" s="37"/>
      <c r="N487" s="38"/>
      <c r="O487" s="38"/>
      <c r="P487" s="41"/>
      <c r="Q487" s="175"/>
      <c r="R487" s="40"/>
      <c r="S487" s="40"/>
      <c r="T487" s="40"/>
      <c r="U487" s="41" t="str">
        <f>TEXT(Table626893456791011121314[[#This Row],[PO Date]], "mmmm")</f>
        <v>January</v>
      </c>
      <c r="V487" s="284">
        <f>Table626893456791011121314[[#This Row],[Offer Value]]-Table626893456791011121314[[#This Row],[PO Value]]</f>
        <v>0</v>
      </c>
      <c r="W487" s="39"/>
      <c r="X487" s="39"/>
      <c r="Y487" s="40"/>
      <c r="Z487" s="7"/>
      <c r="AA487" s="7"/>
    </row>
    <row r="488" spans="1:27" ht="14.4">
      <c r="A488" s="33"/>
      <c r="B488" s="177"/>
      <c r="C488" s="35"/>
      <c r="D488" s="35"/>
      <c r="E488" s="35"/>
      <c r="F488" s="35"/>
      <c r="G488" s="35"/>
      <c r="H488" s="35"/>
      <c r="I488" s="35"/>
      <c r="J488" s="36"/>
      <c r="K488" s="36"/>
      <c r="L488" s="35"/>
      <c r="M488" s="37"/>
      <c r="N488" s="38"/>
      <c r="O488" s="38"/>
      <c r="P488" s="41"/>
      <c r="Q488" s="175"/>
      <c r="R488" s="40"/>
      <c r="S488" s="40"/>
      <c r="T488" s="40"/>
      <c r="U488" s="41" t="str">
        <f>TEXT(Table626893456791011121314[[#This Row],[PO Date]], "mmmm")</f>
        <v>January</v>
      </c>
      <c r="V488" s="284">
        <f>Table626893456791011121314[[#This Row],[Offer Value]]-Table626893456791011121314[[#This Row],[PO Value]]</f>
        <v>0</v>
      </c>
      <c r="W488" s="39"/>
      <c r="X488" s="39"/>
      <c r="Y488" s="40"/>
      <c r="Z488" s="7"/>
      <c r="AA488" s="7"/>
    </row>
    <row r="489" spans="1:27" ht="14.4">
      <c r="A489" s="33"/>
      <c r="B489" s="177"/>
      <c r="C489" s="35"/>
      <c r="D489" s="35"/>
      <c r="E489" s="35"/>
      <c r="F489" s="35"/>
      <c r="G489" s="35"/>
      <c r="H489" s="35"/>
      <c r="I489" s="35"/>
      <c r="J489" s="36"/>
      <c r="K489" s="36"/>
      <c r="L489" s="35"/>
      <c r="M489" s="37"/>
      <c r="N489" s="38"/>
      <c r="O489" s="38"/>
      <c r="P489" s="41"/>
      <c r="Q489" s="175"/>
      <c r="R489" s="40"/>
      <c r="S489" s="40"/>
      <c r="T489" s="40"/>
      <c r="U489" s="41" t="str">
        <f>TEXT(Table626893456791011121314[[#This Row],[PO Date]], "mmmm")</f>
        <v>January</v>
      </c>
      <c r="V489" s="284">
        <f>Table626893456791011121314[[#This Row],[Offer Value]]-Table626893456791011121314[[#This Row],[PO Value]]</f>
        <v>0</v>
      </c>
      <c r="W489" s="39"/>
      <c r="X489" s="39"/>
      <c r="Y489" s="40"/>
      <c r="Z489" s="7"/>
      <c r="AA489" s="7"/>
    </row>
    <row r="490" spans="1:27" ht="14.4">
      <c r="A490" s="33"/>
      <c r="B490" s="177"/>
      <c r="C490" s="35"/>
      <c r="D490" s="35"/>
      <c r="E490" s="35"/>
      <c r="F490" s="35"/>
      <c r="G490" s="35"/>
      <c r="H490" s="35"/>
      <c r="I490" s="35"/>
      <c r="J490" s="36"/>
      <c r="K490" s="36"/>
      <c r="L490" s="35"/>
      <c r="M490" s="37"/>
      <c r="N490" s="38"/>
      <c r="O490" s="38"/>
      <c r="P490" s="41"/>
      <c r="Q490" s="175"/>
      <c r="R490" s="40"/>
      <c r="S490" s="40"/>
      <c r="T490" s="40"/>
      <c r="U490" s="41" t="str">
        <f>TEXT(Table626893456791011121314[[#This Row],[PO Date]], "mmmm")</f>
        <v>January</v>
      </c>
      <c r="V490" s="284">
        <f>Table626893456791011121314[[#This Row],[Offer Value]]-Table626893456791011121314[[#This Row],[PO Value]]</f>
        <v>0</v>
      </c>
      <c r="W490" s="39"/>
      <c r="X490" s="39"/>
      <c r="Y490" s="40"/>
      <c r="Z490" s="7"/>
      <c r="AA490" s="7"/>
    </row>
    <row r="491" spans="1:27" ht="14.4">
      <c r="A491" s="33"/>
      <c r="B491" s="177"/>
      <c r="C491" s="35"/>
      <c r="D491" s="35"/>
      <c r="E491" s="35"/>
      <c r="F491" s="35"/>
      <c r="G491" s="35"/>
      <c r="H491" s="35"/>
      <c r="I491" s="35"/>
      <c r="J491" s="36"/>
      <c r="K491" s="36"/>
      <c r="L491" s="35"/>
      <c r="M491" s="37"/>
      <c r="N491" s="38"/>
      <c r="O491" s="38"/>
      <c r="P491" s="41"/>
      <c r="Q491" s="175"/>
      <c r="R491" s="40"/>
      <c r="S491" s="40"/>
      <c r="T491" s="40"/>
      <c r="U491" s="41" t="str">
        <f>TEXT(Table626893456791011121314[[#This Row],[PO Date]], "mmmm")</f>
        <v>January</v>
      </c>
      <c r="V491" s="284">
        <f>Table626893456791011121314[[#This Row],[Offer Value]]-Table626893456791011121314[[#This Row],[PO Value]]</f>
        <v>0</v>
      </c>
      <c r="W491" s="39"/>
      <c r="X491" s="39"/>
      <c r="Y491" s="40"/>
      <c r="Z491" s="7"/>
      <c r="AA491" s="7"/>
    </row>
    <row r="492" spans="1:27" ht="14.4">
      <c r="A492" s="33"/>
      <c r="B492" s="177"/>
      <c r="C492" s="35"/>
      <c r="D492" s="35"/>
      <c r="E492" s="35"/>
      <c r="F492" s="35"/>
      <c r="G492" s="35"/>
      <c r="H492" s="35"/>
      <c r="I492" s="35"/>
      <c r="J492" s="36"/>
      <c r="K492" s="36"/>
      <c r="L492" s="35"/>
      <c r="M492" s="37"/>
      <c r="N492" s="38"/>
      <c r="O492" s="38"/>
      <c r="P492" s="41"/>
      <c r="Q492" s="175"/>
      <c r="R492" s="40"/>
      <c r="S492" s="40"/>
      <c r="T492" s="40"/>
      <c r="U492" s="41" t="str">
        <f>TEXT(Table626893456791011121314[[#This Row],[PO Date]], "mmmm")</f>
        <v>January</v>
      </c>
      <c r="V492" s="284">
        <f>Table626893456791011121314[[#This Row],[Offer Value]]-Table626893456791011121314[[#This Row],[PO Value]]</f>
        <v>0</v>
      </c>
      <c r="W492" s="39"/>
      <c r="X492" s="39"/>
      <c r="Y492" s="40"/>
      <c r="Z492" s="7"/>
      <c r="AA492" s="7"/>
    </row>
    <row r="493" spans="1:27" ht="14.4">
      <c r="A493" s="33"/>
      <c r="B493" s="177"/>
      <c r="C493" s="35"/>
      <c r="D493" s="35"/>
      <c r="E493" s="35"/>
      <c r="F493" s="35"/>
      <c r="G493" s="35"/>
      <c r="H493" s="35"/>
      <c r="I493" s="35"/>
      <c r="J493" s="36"/>
      <c r="K493" s="36"/>
      <c r="L493" s="35"/>
      <c r="M493" s="37"/>
      <c r="N493" s="38"/>
      <c r="O493" s="38"/>
      <c r="P493" s="41"/>
      <c r="Q493" s="175"/>
      <c r="R493" s="40"/>
      <c r="S493" s="40"/>
      <c r="T493" s="40"/>
      <c r="U493" s="41" t="str">
        <f>TEXT(Table626893456791011121314[[#This Row],[PO Date]], "mmmm")</f>
        <v>January</v>
      </c>
      <c r="V493" s="284">
        <f>Table626893456791011121314[[#This Row],[Offer Value]]-Table626893456791011121314[[#This Row],[PO Value]]</f>
        <v>0</v>
      </c>
      <c r="W493" s="39"/>
      <c r="X493" s="39"/>
      <c r="Y493" s="40"/>
      <c r="Z493" s="7"/>
      <c r="AA493" s="7"/>
    </row>
    <row r="494" spans="1:27" ht="14.4">
      <c r="A494" s="33"/>
      <c r="B494" s="177"/>
      <c r="C494" s="35"/>
      <c r="D494" s="35"/>
      <c r="E494" s="35"/>
      <c r="F494" s="35"/>
      <c r="G494" s="35"/>
      <c r="H494" s="35"/>
      <c r="I494" s="35"/>
      <c r="J494" s="36"/>
      <c r="K494" s="36"/>
      <c r="L494" s="35"/>
      <c r="M494" s="37"/>
      <c r="N494" s="38"/>
      <c r="O494" s="38"/>
      <c r="P494" s="41"/>
      <c r="Q494" s="175"/>
      <c r="R494" s="40"/>
      <c r="S494" s="40"/>
      <c r="T494" s="40"/>
      <c r="U494" s="41" t="str">
        <f>TEXT(Table626893456791011121314[[#This Row],[PO Date]], "mmmm")</f>
        <v>January</v>
      </c>
      <c r="V494" s="284">
        <f>Table626893456791011121314[[#This Row],[Offer Value]]-Table626893456791011121314[[#This Row],[PO Value]]</f>
        <v>0</v>
      </c>
      <c r="W494" s="39"/>
      <c r="X494" s="39"/>
      <c r="Y494" s="40"/>
      <c r="Z494" s="7"/>
      <c r="AA494" s="7"/>
    </row>
    <row r="495" spans="1:27" ht="14.4">
      <c r="A495" s="33"/>
      <c r="B495" s="177"/>
      <c r="C495" s="35"/>
      <c r="D495" s="35"/>
      <c r="E495" s="35"/>
      <c r="F495" s="35"/>
      <c r="G495" s="35"/>
      <c r="H495" s="35"/>
      <c r="I495" s="35"/>
      <c r="J495" s="36"/>
      <c r="K495" s="36"/>
      <c r="L495" s="35"/>
      <c r="M495" s="37"/>
      <c r="N495" s="38"/>
      <c r="O495" s="38"/>
      <c r="P495" s="41"/>
      <c r="Q495" s="175"/>
      <c r="R495" s="40"/>
      <c r="S495" s="40"/>
      <c r="T495" s="40"/>
      <c r="U495" s="41" t="str">
        <f>TEXT(Table626893456791011121314[[#This Row],[PO Date]], "mmmm")</f>
        <v>January</v>
      </c>
      <c r="V495" s="284">
        <f>Table626893456791011121314[[#This Row],[PO Value]]-Table626893456791011121314[[#This Row],[Offer Value]]</f>
        <v>0</v>
      </c>
      <c r="W495" s="39"/>
      <c r="X495" s="39"/>
      <c r="Y495" s="40"/>
      <c r="Z495" s="7"/>
      <c r="AA495" s="7"/>
    </row>
    <row r="496" spans="1:27" ht="14.4">
      <c r="A496" s="33"/>
      <c r="B496" s="177"/>
      <c r="C496" s="35"/>
      <c r="D496" s="35"/>
      <c r="E496" s="35"/>
      <c r="F496" s="35"/>
      <c r="G496" s="35"/>
      <c r="H496" s="35"/>
      <c r="I496" s="35"/>
      <c r="J496" s="36"/>
      <c r="K496" s="36"/>
      <c r="L496" s="35"/>
      <c r="M496" s="37"/>
      <c r="N496" s="38"/>
      <c r="O496" s="38"/>
      <c r="P496" s="41"/>
      <c r="Q496" s="175"/>
      <c r="R496" s="40"/>
      <c r="S496" s="40"/>
      <c r="T496" s="40"/>
      <c r="U496" s="41" t="str">
        <f>TEXT(Table626893456791011121314[[#This Row],[PO Date]], "mmmm")</f>
        <v>January</v>
      </c>
      <c r="V496" s="284">
        <f>Table626893456791011121314[[#This Row],[PO Value]]-Table626893456791011121314[[#This Row],[Offer Value]]</f>
        <v>0</v>
      </c>
      <c r="W496" s="39"/>
      <c r="X496" s="39"/>
      <c r="Y496" s="40"/>
      <c r="Z496" s="7"/>
      <c r="AA496" s="7"/>
    </row>
    <row r="497" spans="1:27" ht="14.4">
      <c r="A497" s="33"/>
      <c r="B497" s="177"/>
      <c r="C497" s="35"/>
      <c r="D497" s="35"/>
      <c r="E497" s="35"/>
      <c r="F497" s="35"/>
      <c r="G497" s="35"/>
      <c r="H497" s="35"/>
      <c r="I497" s="35"/>
      <c r="J497" s="36"/>
      <c r="K497" s="36"/>
      <c r="L497" s="35"/>
      <c r="M497" s="37"/>
      <c r="N497" s="38"/>
      <c r="O497" s="38"/>
      <c r="P497" s="41"/>
      <c r="Q497" s="175"/>
      <c r="R497" s="40"/>
      <c r="S497" s="40"/>
      <c r="T497" s="40"/>
      <c r="U497" s="41" t="str">
        <f>TEXT(Table626893456791011121314[[#This Row],[PO Date]], "mmmm")</f>
        <v>January</v>
      </c>
      <c r="V497" s="284">
        <f>Table626893456791011121314[[#This Row],[PO Value]]-Table626893456791011121314[[#This Row],[Offer Value]]</f>
        <v>0</v>
      </c>
      <c r="W497" s="39"/>
      <c r="X497" s="39"/>
      <c r="Y497" s="40"/>
      <c r="Z497" s="7"/>
      <c r="AA497" s="7"/>
    </row>
    <row r="498" spans="1:27" ht="14.4">
      <c r="A498" s="33"/>
      <c r="B498" s="177"/>
      <c r="C498" s="35"/>
      <c r="D498" s="35"/>
      <c r="E498" s="35"/>
      <c r="F498" s="35"/>
      <c r="G498" s="35"/>
      <c r="H498" s="35"/>
      <c r="I498" s="35"/>
      <c r="J498" s="36"/>
      <c r="K498" s="36"/>
      <c r="L498" s="35"/>
      <c r="M498" s="37"/>
      <c r="N498" s="38"/>
      <c r="O498" s="38"/>
      <c r="P498" s="41"/>
      <c r="Q498" s="175"/>
      <c r="R498" s="40"/>
      <c r="S498" s="40"/>
      <c r="T498" s="40"/>
      <c r="U498" s="41" t="str">
        <f>TEXT(Table626893456791011121314[[#This Row],[PO Date]], "mmmm")</f>
        <v>January</v>
      </c>
      <c r="V498" s="284">
        <f>Table626893456791011121314[[#This Row],[PO Value]]-Table626893456791011121314[[#This Row],[Offer Value]]</f>
        <v>0</v>
      </c>
      <c r="W498" s="39"/>
      <c r="X498" s="39"/>
      <c r="Y498" s="40"/>
      <c r="Z498" s="7"/>
      <c r="AA498" s="7"/>
    </row>
    <row r="499" spans="1:27" ht="15.6">
      <c r="A499" s="33"/>
      <c r="B499" s="177"/>
      <c r="C499" s="35"/>
      <c r="D499" s="35"/>
      <c r="E499" s="35"/>
      <c r="F499" s="35"/>
      <c r="G499" s="35"/>
      <c r="H499" s="35"/>
      <c r="I499" s="35"/>
      <c r="J499" s="108"/>
      <c r="K499" s="36"/>
      <c r="L499" s="35"/>
      <c r="M499" s="37"/>
      <c r="N499" s="38"/>
      <c r="O499" s="38"/>
      <c r="P499" s="41"/>
      <c r="Q499" s="175"/>
      <c r="R499" s="40"/>
      <c r="S499" s="40"/>
      <c r="T499" s="40"/>
      <c r="U499" s="41" t="str">
        <f>TEXT(Table626893456791011121314[[#This Row],[PO Date]], "mmmm")</f>
        <v>January</v>
      </c>
      <c r="V499" s="284">
        <f>Table626893456791011121314[[#This Row],[PO Value]]-Table626893456791011121314[[#This Row],[Offer Value]]</f>
        <v>0</v>
      </c>
      <c r="W499" s="39"/>
      <c r="X499" s="39"/>
      <c r="Y499" s="40"/>
      <c r="Z499" s="7"/>
      <c r="AA499" s="7"/>
    </row>
    <row r="500" spans="1:27" ht="57.75" customHeight="1">
      <c r="A500" s="184"/>
      <c r="B500" s="458"/>
      <c r="C500" s="186"/>
      <c r="D500" s="186"/>
      <c r="E500" s="186"/>
      <c r="F500" s="186"/>
      <c r="G500" s="186"/>
      <c r="H500" s="401"/>
      <c r="I500" s="186"/>
      <c r="J500" s="187"/>
      <c r="K500" s="187"/>
      <c r="L500" s="186"/>
      <c r="M500" s="188"/>
      <c r="N500" s="189"/>
      <c r="O500" s="189"/>
      <c r="P500" s="190"/>
      <c r="Q500" s="191"/>
      <c r="R500" s="192"/>
      <c r="S500" s="192"/>
      <c r="T500" s="192"/>
      <c r="U500" s="190" t="str">
        <f>TEXT(Table626893456791011121314[[#This Row],[PO Date]], "mmmm")</f>
        <v>January</v>
      </c>
      <c r="V500" s="284">
        <f>Table626893456791011121314[[#This Row],[PO Value]]-Table626893456791011121314[[#This Row],[Offer Value]]</f>
        <v>0</v>
      </c>
      <c r="W500" s="194"/>
      <c r="X500" s="194"/>
      <c r="Y500" s="192"/>
      <c r="Z500" s="7"/>
      <c r="AA500" s="7"/>
    </row>
    <row r="501" spans="1:27" ht="15" customHeight="1">
      <c r="A501" s="184">
        <v>10</v>
      </c>
      <c r="B501" s="458"/>
      <c r="C501" s="186"/>
      <c r="D501" s="186"/>
      <c r="E501" s="186"/>
      <c r="F501" s="186"/>
      <c r="G501" s="186"/>
      <c r="H501" s="186"/>
      <c r="I501" s="186"/>
      <c r="J501" s="187"/>
      <c r="K501" s="187"/>
      <c r="L501" s="186"/>
      <c r="M501" s="188"/>
      <c r="N501" s="189"/>
      <c r="O501" s="189"/>
      <c r="P501" s="190"/>
      <c r="Q501" s="191"/>
      <c r="R501" s="192"/>
      <c r="S501" s="192"/>
      <c r="T501" s="192"/>
      <c r="U501" s="190" t="str">
        <f>TEXT(Table626893456791011121314[[#This Row],[PO Date]], "mmmm")</f>
        <v>January</v>
      </c>
      <c r="V501" s="193">
        <f>Table626893456791011121314[[#This Row],[PO Value]]-Table626893456791011121314[[#This Row],[Offer Value]]</f>
        <v>0</v>
      </c>
      <c r="W501" s="194"/>
      <c r="X501" s="194"/>
      <c r="Y501" s="192"/>
    </row>
  </sheetData>
  <sheetProtection selectLockedCells="1" selectUnlockedCells="1"/>
  <protectedRanges>
    <protectedRange algorithmName="SHA-512" hashValue="gZNXA0xZZvTr4mVrHIcpl3r4WknbgyiSuZM8Zwe6fcCo6m50g+9tuYL4OsRqTmMCamLLkXw2Bc4O6xBZbTITuA==" saltValue="Pwr0R4fjAsfkJJiQFB5rBQ==" spinCount="100000" sqref="Z7:AA7 V495:V500" name="Range1"/>
    <protectedRange algorithmName="SHA-512" hashValue="gZNXA0xZZvTr4mVrHIcpl3r4WknbgyiSuZM8Zwe6fcCo6m50g+9tuYL4OsRqTmMCamLLkXw2Bc4O6xBZbTITuA==" saltValue="Pwr0R4fjAsfkJJiQFB5rBQ==" spinCount="100000" sqref="A7:Y7 V8:V494" name="Range1_1"/>
  </protectedRanges>
  <mergeCells count="12">
    <mergeCell ref="AC1:AF1"/>
    <mergeCell ref="Z5:AA5"/>
    <mergeCell ref="Z40:Z41"/>
    <mergeCell ref="Z36:Z38"/>
    <mergeCell ref="Z25:Z27"/>
    <mergeCell ref="Z18:Z20"/>
    <mergeCell ref="Z12:Z16"/>
    <mergeCell ref="AA40:AA41"/>
    <mergeCell ref="AA36:AA38"/>
    <mergeCell ref="AA25:AA27"/>
    <mergeCell ref="AA18:AA20"/>
    <mergeCell ref="AA12:AA16"/>
  </mergeCells>
  <conditionalFormatting sqref="L1:L6 L441:L1048576">
    <cfRule type="duplicateValues" dxfId="24" priority="25"/>
  </conditionalFormatting>
  <conditionalFormatting sqref="L7">
    <cfRule type="duplicateValues" dxfId="23" priority="1"/>
  </conditionalFormatting>
  <conditionalFormatting sqref="L33:L34">
    <cfRule type="duplicateValues" dxfId="22" priority="17"/>
  </conditionalFormatting>
  <conditionalFormatting sqref="L35">
    <cfRule type="duplicateValues" dxfId="21" priority="15"/>
  </conditionalFormatting>
  <conditionalFormatting sqref="L36">
    <cfRule type="duplicateValues" dxfId="20" priority="14"/>
  </conditionalFormatting>
  <conditionalFormatting sqref="L37:L38">
    <cfRule type="duplicateValues" dxfId="19" priority="13"/>
  </conditionalFormatting>
  <conditionalFormatting sqref="L39:L40">
    <cfRule type="duplicateValues" dxfId="18" priority="12"/>
  </conditionalFormatting>
  <conditionalFormatting sqref="L41:L43">
    <cfRule type="duplicateValues" dxfId="17" priority="11"/>
  </conditionalFormatting>
  <conditionalFormatting sqref="L44">
    <cfRule type="duplicateValues" dxfId="16" priority="10"/>
  </conditionalFormatting>
  <conditionalFormatting sqref="L45:L46">
    <cfRule type="duplicateValues" dxfId="15" priority="9"/>
  </conditionalFormatting>
  <conditionalFormatting sqref="L47:L56">
    <cfRule type="duplicateValues" dxfId="14" priority="8"/>
  </conditionalFormatting>
  <conditionalFormatting sqref="L57">
    <cfRule type="duplicateValues" dxfId="13" priority="7"/>
  </conditionalFormatting>
  <conditionalFormatting sqref="L58">
    <cfRule type="duplicateValues" dxfId="12" priority="6"/>
  </conditionalFormatting>
  <conditionalFormatting sqref="L59:L61">
    <cfRule type="duplicateValues" dxfId="11" priority="5"/>
  </conditionalFormatting>
  <conditionalFormatting sqref="L62">
    <cfRule type="duplicateValues" dxfId="10" priority="4"/>
  </conditionalFormatting>
  <conditionalFormatting sqref="L63">
    <cfRule type="duplicateValues" dxfId="9" priority="3"/>
  </conditionalFormatting>
  <conditionalFormatting sqref="L64:L72 L136:L162 L205:L207 L227:L427 L15:L32">
    <cfRule type="duplicateValues" dxfId="8" priority="22"/>
  </conditionalFormatting>
  <conditionalFormatting sqref="L428:L440">
    <cfRule type="duplicateValues" dxfId="7" priority="23"/>
  </conditionalFormatting>
  <conditionalFormatting sqref="R8:R427">
    <cfRule type="duplicateValues" dxfId="6" priority="2"/>
  </conditionalFormatting>
  <dataValidations count="3">
    <dataValidation type="custom" allowBlank="1" showInputMessage="1" showErrorMessage="1" errorTitle="Error" error="Entered data format is wrong" promptTitle="Enter Date format : 01/10/2021 " sqref="B399:B736" xr:uid="{90593FEB-1CEC-472B-AAA1-D0E372E0EB16}">
      <formula1>AND(ISNUMBER(B399),LEFT(CELL("format",B399),1)="D")</formula1>
    </dataValidation>
    <dataValidation type="list" allowBlank="1" showInputMessage="1" showErrorMessage="1" error="Do not Enter any other text except Month" sqref="T399:T400 T402:T411 P403:P411" xr:uid="{C6F89339-B070-4036-AD74-BCE6AA8A5CE6}">
      <formula1>#REF!</formula1>
    </dataValidation>
    <dataValidation type="list" allowBlank="1" showInputMessage="1" showErrorMessage="1" error="Do not enter any oteh products" sqref="K403:K411" xr:uid="{8FF2BF34-E57A-425D-BF1C-FF741B5AD7BF}">
      <formula1>#REF!</formula1>
    </dataValidation>
  </dataValidations>
  <hyperlinks>
    <hyperlink ref="H7" r:id="rId1" xr:uid="{E0F6F7BC-80D7-470D-BCFD-4A2334139309}"/>
    <hyperlink ref="H8" r:id="rId2" xr:uid="{85A62AD3-98AE-4E86-B762-B338750B2572}"/>
    <hyperlink ref="H9" r:id="rId3" xr:uid="{3925F2E1-0DCE-4D4D-A702-B0D1F19DFDB2}"/>
    <hyperlink ref="H10" r:id="rId4" xr:uid="{634A27CA-9984-4664-B451-C9F62FB92E9B}"/>
    <hyperlink ref="H11" r:id="rId5" xr:uid="{592EEA74-4958-499C-B150-3B07FE622EB7}"/>
    <hyperlink ref="H12" r:id="rId6" xr:uid="{D141C329-0900-4BB1-BB83-9F1D116AC29F}"/>
    <hyperlink ref="H13" r:id="rId7" xr:uid="{9BC57C48-22F7-4C9B-8FCA-B17585DB059E}"/>
    <hyperlink ref="H15" r:id="rId8" xr:uid="{5BC979E2-804B-423D-80C2-B8F881B149B8}"/>
    <hyperlink ref="H14" r:id="rId9" xr:uid="{CF1B7D23-2DF4-4738-AC8B-37E0D80E8A3C}"/>
    <hyperlink ref="H16" r:id="rId10" xr:uid="{D6BEFD9A-C4E2-4F61-B530-3FC6249931DC}"/>
    <hyperlink ref="H17" r:id="rId11" xr:uid="{97F1234C-C631-4E2E-AFFC-2ABE87984448}"/>
    <hyperlink ref="H18" r:id="rId12" xr:uid="{0DFF0BB9-C8D0-4311-9E02-0703BD774F3B}"/>
    <hyperlink ref="H19" r:id="rId13" xr:uid="{D9EA9B5B-FEA1-4755-AD92-6290FEF3A557}"/>
    <hyperlink ref="H20" r:id="rId14" xr:uid="{F02961DE-C260-4609-90D6-7D6B690423AB}"/>
    <hyperlink ref="H21" r:id="rId15" xr:uid="{F156D33B-9FE3-46B4-BBEE-5FE2D78EA91C}"/>
    <hyperlink ref="H22" r:id="rId16" xr:uid="{BE72BCEE-A066-4DE1-AF30-8F753DC57F76}"/>
    <hyperlink ref="H23" r:id="rId17" xr:uid="{E8ED6706-AA1D-454F-BC19-F009B3C44DBC}"/>
    <hyperlink ref="H24" r:id="rId18" xr:uid="{C97042A3-3667-45D9-BBD7-53EC7662F15F}"/>
    <hyperlink ref="H25" r:id="rId19" xr:uid="{DA124D53-8413-4658-8B8D-086E1C91774C}"/>
    <hyperlink ref="H26" r:id="rId20" xr:uid="{0AAC745A-B117-4AA2-9726-85268775827E}"/>
    <hyperlink ref="H28" r:id="rId21" xr:uid="{19CCAB24-6C6D-41E7-9698-F952D4D47ED8}"/>
    <hyperlink ref="H29" r:id="rId22" xr:uid="{F807B124-CC7D-4415-9578-99C1C2D11391}"/>
    <hyperlink ref="H27" r:id="rId23" xr:uid="{D724F53E-B35F-43AC-A35C-F71BAAD1E927}"/>
    <hyperlink ref="H30" r:id="rId24" xr:uid="{92B5C2C8-D2BC-4820-AF66-5C743DBC2E40}"/>
    <hyperlink ref="H31" r:id="rId25" xr:uid="{C3B5BCD3-6D5F-45E1-95FB-1644713C8ABD}"/>
    <hyperlink ref="H32" r:id="rId26" xr:uid="{9D7FFBDB-9F3B-4461-8B2F-C2C35B14050A}"/>
    <hyperlink ref="H33" r:id="rId27" xr:uid="{284E3680-8328-4443-8E74-28369039AECE}"/>
    <hyperlink ref="H34" r:id="rId28" xr:uid="{B7109A2E-7267-45C3-8F9C-18233A6F7B8B}"/>
    <hyperlink ref="H35" r:id="rId29" xr:uid="{D6C14984-4EB0-4FFA-A13D-10A3191EFDDC}"/>
  </hyperlinks>
  <pageMargins left="0.7" right="0.7" top="0.75" bottom="0.75" header="0.3" footer="0.3"/>
  <pageSetup orientation="portrait" r:id="rId30"/>
  <legacyDrawing r:id="rId31"/>
  <tableParts count="1">
    <tablePart r:id="rId32"/>
  </tablePart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error="Select From Drop Down" xr:uid="{927BD826-D828-4EC9-98DA-DAC7D8904279}">
          <x14:formula1>
            <xm:f>Location!$B$2:$B$126</xm:f>
          </x14:formula1>
          <xm:sqref>D224:D401 D136:D154 D156:D180 D183:D218 D7:D72</xm:sqref>
        </x14:dataValidation>
        <x14:dataValidation type="list" allowBlank="1" showInputMessage="1" showErrorMessage="1" error="Select From Drop Down" xr:uid="{1C986C74-6CEA-4544-AFE5-B5E794A874BA}">
          <x14:formula1>
            <xm:f>'Month Prod Names'!$B$4:$B$15</xm:f>
          </x14:formula1>
          <xm:sqref>U136:U401 O136:O401 P136:P402 U8:U72 O8:P72</xm:sqref>
        </x14:dataValidation>
        <x14:dataValidation type="list" allowBlank="1" showInputMessage="1" showErrorMessage="1" error="Select from drop down" xr:uid="{A31BBCA3-A279-4B68-A47E-016E80124FB3}">
          <x14:formula1>
            <xm:f>'Month Prod Names'!$J$4:$J$5</xm:f>
          </x14:formula1>
          <xm:sqref>K225:K402 K136:K223 K7:K72</xm:sqref>
        </x14:dataValidation>
        <x14:dataValidation type="list" allowBlank="1" showInputMessage="1" showErrorMessage="1" error="Select From Drop Down" xr:uid="{0D45A58E-C7AB-42FC-AF13-ADCE79711F3B}">
          <x14:formula1>
            <xm:f>'Month Prod Names'!$K$4:$K$13</xm:f>
          </x14:formula1>
          <xm:sqref>Q441:Q499</xm:sqref>
        </x14:dataValidation>
        <x14:dataValidation type="list" allowBlank="1" showInputMessage="1" showErrorMessage="1" error="Select From Drop Down" xr:uid="{53674E79-0132-4E27-A127-6953082F2F9B}">
          <x14:formula1>
            <xm:f>'Machine Serial Numbers'!$A$2:$A$1502</xm:f>
          </x14:formula1>
          <xm:sqref>I203:I218 I224:I427 I136:I154 I156:I166 I168:I201 I441:I1048576 I1:I72</xm:sqref>
        </x14:dataValidation>
        <x14:dataValidation type="list" allowBlank="1" showInputMessage="1" showErrorMessage="1" xr:uid="{3EA19858-626A-4EED-B393-35F2BE967AED}">
          <x14:formula1>
            <xm:f>'Month Prod Names'!$D$4:$D$83</xm:f>
          </x14:formula1>
          <xm:sqref>J1:J6 J441:J1048576</xm:sqref>
        </x14:dataValidation>
        <x14:dataValidation type="list" allowBlank="1" showInputMessage="1" showErrorMessage="1" xr:uid="{6B6E4321-0046-4050-80A7-2417BC738371}">
          <x14:formula1>
            <xm:f>'Month Prod Names'!$B$4:$B$15</xm:f>
          </x14:formula1>
          <xm:sqref>O428:O440 U7 O7:P7</xm:sqref>
        </x14:dataValidation>
        <x14:dataValidation type="list" allowBlank="1" showInputMessage="1" showErrorMessage="1" error="Select From Drop Down" xr:uid="{C6C7D8E6-8E61-45CF-9663-55D0567E9FBD}">
          <x14:formula1>
            <xm:f>'Month Prod Names'!$D$4:$D$12</xm:f>
          </x14:formula1>
          <xm:sqref>J7</xm:sqref>
        </x14:dataValidation>
        <x14:dataValidation type="list" allowBlank="1" showInputMessage="1" showErrorMessage="1" xr:uid="{0B6608DD-392F-4052-8421-DA5F5FAE16DA}">
          <x14:formula1>
            <xm:f>'Month Prod Names'!$D$4:$D$46</xm:f>
          </x14:formula1>
          <xm:sqref>J136:J427 J8:J72</xm:sqref>
        </x14:dataValidation>
        <x14:dataValidation type="list" allowBlank="1" showInputMessage="1" showErrorMessage="1" xr:uid="{2184B0BA-F06A-4EFC-8527-F78FAA15AC87}">
          <x14:formula1>
            <xm:f>'Month Prod Names'!$K$4:$K$19</xm:f>
          </x14:formula1>
          <xm:sqref>Q7:Q427</xm:sqref>
        </x14:dataValidation>
        <x14:dataValidation type="list" allowBlank="1" showInputMessage="1" showErrorMessage="1" error="Do not enter any oteh products" xr:uid="{2E1C991B-7967-4BED-894A-4BFB5524C4E6}">
          <x14:formula1>
            <xm:f>'Month Prod Names'!$D$4:$D$141</xm:f>
          </x14:formula1>
          <xm:sqref>J428:J440</xm:sqref>
        </x14:dataValidation>
        <x14:dataValidation type="list" allowBlank="1" showInputMessage="1" showErrorMessage="1" xr:uid="{F25CF7CB-BEFA-4FA5-9892-E76F7DCD00C2}">
          <x14:formula1>
            <xm:f>'Machine Serial Numbers'!$A$2:$A$1502</xm:f>
          </x14:formula1>
          <xm:sqref>I428:I440</xm:sqref>
        </x14:dataValidation>
        <x14:dataValidation type="list" allowBlank="1" showInputMessage="1" showErrorMessage="1" error="Do not Enter any other text except Month" xr:uid="{2D10F677-7CF2-4EB8-B0B3-726E734E27D2}">
          <x14:formula1>
            <xm:f>'Month Prod Names'!$K$4:$K$13</xm:f>
          </x14:formula1>
          <xm:sqref>Q428:Q440</xm:sqref>
        </x14:dataValidation>
        <x14:dataValidation type="list" allowBlank="1" showInputMessage="1" showErrorMessage="1" error="Do not Enter any other text except Month" xr:uid="{E75EB9D6-D93C-4908-8437-27221807B148}">
          <x14:formula1>
            <xm:f>'Month Prod Names'!$B$4:$B$15</xm:f>
          </x14:formula1>
          <xm:sqref>P428:P440</xm:sqref>
        </x14:dataValidation>
        <x14:dataValidation type="list" allowBlank="1" showInputMessage="1" showErrorMessage="1" error="Do not enter any oteh products" xr:uid="{D8A2C927-9FB4-49B8-9814-FA3CF5E24112}">
          <x14:formula1>
            <xm:f>'Month Prod Names'!$J$4:$J$5</xm:f>
          </x14:formula1>
          <xm:sqref>K428:K440</xm:sqref>
        </x14:dataValidation>
        <x14:dataValidation type="list" allowBlank="1" showInputMessage="1" showErrorMessage="1" xr:uid="{5915ED1B-6974-4F7F-91A5-042AAB4D9237}">
          <x14:formula1>
            <xm:f>Location!$B$2:$B$126</xm:f>
          </x14:formula1>
          <xm:sqref>D428:D440</xm:sqref>
        </x14:dataValidation>
        <x14:dataValidation type="list" allowBlank="1" showInputMessage="1" showErrorMessage="1" error="Select From Drop Down" xr:uid="{3410E3B3-95FE-47A8-9AB7-58485103DDE9}">
          <x14:formula1>
            <xm:f>Customer!$B$2:$B$240</xm:f>
          </x14:formula1>
          <xm:sqref>C224:C401 C136:C218 C8:C72</xm:sqref>
        </x14:dataValidation>
        <x14:dataValidation type="list" allowBlank="1" showInputMessage="1" showErrorMessage="1" xr:uid="{1E6F0EBE-76AD-47A1-BFE6-CD72FE2BE99F}">
          <x14:formula1>
            <xm:f>Customer!$B$2:$B$240</xm:f>
          </x14:formula1>
          <xm:sqref>C428:C440</xm:sqref>
        </x14:dataValidation>
        <x14:dataValidation type="list" allowBlank="1" showInputMessage="1" showErrorMessage="1" error="Select From Drop Down" xr:uid="{63C4E6C4-C63D-4546-A7D9-E685ABA8C1C6}">
          <x14:formula1>
            <xm:f>Customer!$B$2:$B$2391</xm:f>
          </x14:formula1>
          <xm:sqref>C7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C652-D745-429C-9AE1-6BF11041F838}">
  <dimension ref="A1"/>
  <sheetViews>
    <sheetView zoomScaleNormal="100" zoomScalePageLayoutView="80" workbookViewId="0">
      <selection activeCell="H37" sqref="H37"/>
    </sheetView>
  </sheetViews>
  <sheetFormatPr defaultColWidth="9.109375" defaultRowHeight="13.8"/>
  <cols>
    <col min="1" max="1" width="10.109375" style="9" customWidth="1"/>
    <col min="2" max="16384" width="9.109375" style="9"/>
  </cols>
  <sheetData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DB0B-2918-4FE0-9850-4B43853AC837}">
  <dimension ref="B2:B264"/>
  <sheetViews>
    <sheetView topLeftCell="A214" zoomScaleNormal="100" zoomScalePageLayoutView="80" workbookViewId="0">
      <selection activeCell="H37" sqref="H37"/>
    </sheetView>
  </sheetViews>
  <sheetFormatPr defaultColWidth="8.44140625" defaultRowHeight="13.8"/>
  <cols>
    <col min="1" max="1" width="9.44140625" style="9" customWidth="1"/>
    <col min="2" max="2" width="60.5546875" style="9" bestFit="1" customWidth="1"/>
    <col min="3" max="16384" width="8.44140625" style="9"/>
  </cols>
  <sheetData>
    <row r="2" spans="2:2">
      <c r="B2" s="57" t="s">
        <v>1387</v>
      </c>
    </row>
    <row r="3" spans="2:2">
      <c r="B3" s="48" t="s">
        <v>3043</v>
      </c>
    </row>
    <row r="4" spans="2:2">
      <c r="B4" s="48" t="s">
        <v>3112</v>
      </c>
    </row>
    <row r="5" spans="2:2">
      <c r="B5" s="48" t="s">
        <v>4703</v>
      </c>
    </row>
    <row r="6" spans="2:2">
      <c r="B6" s="48" t="s">
        <v>4704</v>
      </c>
    </row>
    <row r="7" spans="2:2">
      <c r="B7" s="48" t="s">
        <v>3659</v>
      </c>
    </row>
    <row r="8" spans="2:2">
      <c r="B8" s="48" t="s">
        <v>2938</v>
      </c>
    </row>
    <row r="9" spans="2:2">
      <c r="B9" s="48" t="s">
        <v>444</v>
      </c>
    </row>
    <row r="10" spans="2:2">
      <c r="B10" s="48" t="s">
        <v>3783</v>
      </c>
    </row>
    <row r="11" spans="2:2">
      <c r="B11" s="48" t="s">
        <v>4705</v>
      </c>
    </row>
    <row r="12" spans="2:2">
      <c r="B12" s="48" t="s">
        <v>3632</v>
      </c>
    </row>
    <row r="13" spans="2:2">
      <c r="B13" s="48" t="s">
        <v>3733</v>
      </c>
    </row>
    <row r="14" spans="2:2">
      <c r="B14" s="48" t="s">
        <v>509</v>
      </c>
    </row>
    <row r="15" spans="2:2">
      <c r="B15" s="48" t="s">
        <v>1267</v>
      </c>
    </row>
    <row r="16" spans="2:2">
      <c r="B16" s="48" t="s">
        <v>4706</v>
      </c>
    </row>
    <row r="17" spans="2:2" ht="14.4">
      <c r="B17" s="180" t="s">
        <v>2089</v>
      </c>
    </row>
    <row r="18" spans="2:2">
      <c r="B18" s="48" t="s">
        <v>3239</v>
      </c>
    </row>
    <row r="19" spans="2:2">
      <c r="B19" s="55" t="s">
        <v>4193</v>
      </c>
    </row>
    <row r="20" spans="2:2">
      <c r="B20" s="48" t="s">
        <v>2364</v>
      </c>
    </row>
    <row r="21" spans="2:2">
      <c r="B21" s="48" t="s">
        <v>4707</v>
      </c>
    </row>
    <row r="22" spans="2:2">
      <c r="B22" s="48" t="s">
        <v>4708</v>
      </c>
    </row>
    <row r="23" spans="2:2">
      <c r="B23" s="48" t="s">
        <v>173</v>
      </c>
    </row>
    <row r="24" spans="2:2">
      <c r="B24" s="48" t="s">
        <v>733</v>
      </c>
    </row>
    <row r="25" spans="2:2">
      <c r="B25" s="48" t="s">
        <v>614</v>
      </c>
    </row>
    <row r="26" spans="2:2">
      <c r="B26" s="48" t="s">
        <v>650</v>
      </c>
    </row>
    <row r="27" spans="2:2">
      <c r="B27" s="48" t="s">
        <v>3014</v>
      </c>
    </row>
    <row r="28" spans="2:2">
      <c r="B28" s="54" t="s">
        <v>2910</v>
      </c>
    </row>
    <row r="29" spans="2:2">
      <c r="B29" s="48" t="s">
        <v>4709</v>
      </c>
    </row>
    <row r="30" spans="2:2">
      <c r="B30" s="48" t="s">
        <v>4541</v>
      </c>
    </row>
    <row r="31" spans="2:2">
      <c r="B31" s="48" t="s">
        <v>1941</v>
      </c>
    </row>
    <row r="32" spans="2:2">
      <c r="B32" s="48" t="s">
        <v>1411</v>
      </c>
    </row>
    <row r="33" spans="2:2">
      <c r="B33" s="48" t="s">
        <v>209</v>
      </c>
    </row>
    <row r="34" spans="2:2">
      <c r="B34" s="48" t="s">
        <v>4710</v>
      </c>
    </row>
    <row r="35" spans="2:2">
      <c r="B35" s="48" t="s">
        <v>1250</v>
      </c>
    </row>
    <row r="36" spans="2:2">
      <c r="B36" s="48" t="s">
        <v>2058</v>
      </c>
    </row>
    <row r="37" spans="2:2">
      <c r="B37" s="48" t="s">
        <v>547</v>
      </c>
    </row>
    <row r="38" spans="2:2">
      <c r="B38" s="57" t="s">
        <v>1865</v>
      </c>
    </row>
    <row r="39" spans="2:2">
      <c r="B39" s="48" t="s">
        <v>2448</v>
      </c>
    </row>
    <row r="40" spans="2:2">
      <c r="B40" s="48" t="s">
        <v>341</v>
      </c>
    </row>
    <row r="41" spans="2:2">
      <c r="B41" s="48" t="s">
        <v>4711</v>
      </c>
    </row>
    <row r="42" spans="2:2">
      <c r="B42" s="48" t="s">
        <v>1715</v>
      </c>
    </row>
    <row r="43" spans="2:2" ht="14.4">
      <c r="B43" s="180" t="s">
        <v>4712</v>
      </c>
    </row>
    <row r="44" spans="2:2">
      <c r="B44" s="57" t="s">
        <v>4713</v>
      </c>
    </row>
    <row r="45" spans="2:2">
      <c r="B45" s="48" t="s">
        <v>4230</v>
      </c>
    </row>
    <row r="46" spans="2:2">
      <c r="B46" s="48" t="s">
        <v>215</v>
      </c>
    </row>
    <row r="47" spans="2:2">
      <c r="B47" s="48" t="s">
        <v>2625</v>
      </c>
    </row>
    <row r="48" spans="2:2">
      <c r="B48" s="48" t="s">
        <v>2701</v>
      </c>
    </row>
    <row r="49" spans="2:2" ht="14.4">
      <c r="B49" s="180" t="s">
        <v>4714</v>
      </c>
    </row>
    <row r="50" spans="2:2">
      <c r="B50" s="48" t="s">
        <v>656</v>
      </c>
    </row>
    <row r="51" spans="2:2">
      <c r="B51" s="48" t="s">
        <v>600</v>
      </c>
    </row>
    <row r="52" spans="2:2">
      <c r="B52" s="48" t="s">
        <v>3829</v>
      </c>
    </row>
    <row r="53" spans="2:2">
      <c r="B53" s="48" t="s">
        <v>1104</v>
      </c>
    </row>
    <row r="54" spans="2:2">
      <c r="B54" s="48" t="s">
        <v>3669</v>
      </c>
    </row>
    <row r="55" spans="2:2">
      <c r="B55" s="48" t="s">
        <v>4715</v>
      </c>
    </row>
    <row r="56" spans="2:2">
      <c r="B56" s="48" t="s">
        <v>223</v>
      </c>
    </row>
    <row r="57" spans="2:2">
      <c r="B57" s="48" t="s">
        <v>4271</v>
      </c>
    </row>
    <row r="58" spans="2:2">
      <c r="B58" s="48" t="s">
        <v>2082</v>
      </c>
    </row>
    <row r="59" spans="2:2">
      <c r="B59" s="48" t="s">
        <v>1758</v>
      </c>
    </row>
    <row r="60" spans="2:2">
      <c r="B60" s="48" t="s">
        <v>4716</v>
      </c>
    </row>
    <row r="61" spans="2:2">
      <c r="B61" s="48" t="s">
        <v>3607</v>
      </c>
    </row>
    <row r="62" spans="2:2">
      <c r="B62" s="56" t="s">
        <v>1606</v>
      </c>
    </row>
    <row r="63" spans="2:2">
      <c r="B63" s="48" t="s">
        <v>4717</v>
      </c>
    </row>
    <row r="64" spans="2:2">
      <c r="B64" s="48" t="s">
        <v>1421</v>
      </c>
    </row>
    <row r="65" spans="2:2">
      <c r="B65" s="48" t="s">
        <v>1380</v>
      </c>
    </row>
    <row r="66" spans="2:2">
      <c r="B66" s="48" t="s">
        <v>3958</v>
      </c>
    </row>
    <row r="67" spans="2:2">
      <c r="B67" s="48" t="s">
        <v>4449</v>
      </c>
    </row>
    <row r="68" spans="2:2">
      <c r="B68" s="48" t="s">
        <v>2660</v>
      </c>
    </row>
    <row r="69" spans="2:2">
      <c r="B69" s="48" t="s">
        <v>1787</v>
      </c>
    </row>
    <row r="70" spans="2:2">
      <c r="B70" s="48" t="s">
        <v>2548</v>
      </c>
    </row>
    <row r="71" spans="2:2">
      <c r="B71" s="48" t="s">
        <v>326</v>
      </c>
    </row>
    <row r="72" spans="2:2">
      <c r="B72" s="48" t="s">
        <v>4718</v>
      </c>
    </row>
    <row r="73" spans="2:2">
      <c r="B73" s="48" t="s">
        <v>711</v>
      </c>
    </row>
    <row r="74" spans="2:2">
      <c r="B74" s="59" t="s">
        <v>4719</v>
      </c>
    </row>
    <row r="75" spans="2:2">
      <c r="B75" s="48" t="s">
        <v>4720</v>
      </c>
    </row>
    <row r="76" spans="2:2">
      <c r="B76" s="48" t="s">
        <v>1850</v>
      </c>
    </row>
    <row r="77" spans="2:2">
      <c r="B77" s="48" t="s">
        <v>3776</v>
      </c>
    </row>
    <row r="78" spans="2:2">
      <c r="B78" s="48" t="s">
        <v>2356</v>
      </c>
    </row>
    <row r="79" spans="2:2">
      <c r="B79" s="48" t="s">
        <v>1923</v>
      </c>
    </row>
    <row r="80" spans="2:2">
      <c r="B80" s="48" t="s">
        <v>749</v>
      </c>
    </row>
    <row r="81" spans="2:2">
      <c r="B81" s="48" t="s">
        <v>4721</v>
      </c>
    </row>
    <row r="82" spans="2:2">
      <c r="B82" s="48" t="s">
        <v>196</v>
      </c>
    </row>
    <row r="83" spans="2:2">
      <c r="B83" s="48" t="s">
        <v>427</v>
      </c>
    </row>
    <row r="84" spans="2:2">
      <c r="B84" s="48" t="s">
        <v>4722</v>
      </c>
    </row>
    <row r="85" spans="2:2">
      <c r="B85" s="48" t="s">
        <v>4723</v>
      </c>
    </row>
    <row r="86" spans="2:2">
      <c r="B86" s="48" t="s">
        <v>2285</v>
      </c>
    </row>
    <row r="87" spans="2:2">
      <c r="B87" s="48" t="s">
        <v>4724</v>
      </c>
    </row>
    <row r="88" spans="2:2">
      <c r="B88" s="48" t="s">
        <v>1832</v>
      </c>
    </row>
    <row r="89" spans="2:2">
      <c r="B89" s="48" t="s">
        <v>228</v>
      </c>
    </row>
    <row r="90" spans="2:2">
      <c r="B90" s="48" t="s">
        <v>4725</v>
      </c>
    </row>
    <row r="91" spans="2:2">
      <c r="B91" s="48" t="s">
        <v>1743</v>
      </c>
    </row>
    <row r="92" spans="2:2">
      <c r="B92" s="48" t="s">
        <v>4726</v>
      </c>
    </row>
    <row r="93" spans="2:2">
      <c r="B93" s="48" t="s">
        <v>4727</v>
      </c>
    </row>
    <row r="94" spans="2:2">
      <c r="B94" s="48" t="s">
        <v>3484</v>
      </c>
    </row>
    <row r="95" spans="2:2">
      <c r="B95" s="48" t="s">
        <v>1190</v>
      </c>
    </row>
    <row r="96" spans="2:2">
      <c r="B96" s="57" t="s">
        <v>1855</v>
      </c>
    </row>
    <row r="97" spans="2:2">
      <c r="B97" s="48" t="s">
        <v>608</v>
      </c>
    </row>
    <row r="98" spans="2:2">
      <c r="B98" s="48" t="s">
        <v>2294</v>
      </c>
    </row>
    <row r="99" spans="2:2">
      <c r="B99" s="48" t="s">
        <v>4728</v>
      </c>
    </row>
    <row r="100" spans="2:2">
      <c r="B100" s="48" t="s">
        <v>2731</v>
      </c>
    </row>
    <row r="101" spans="2:2">
      <c r="B101" s="48" t="s">
        <v>1931</v>
      </c>
    </row>
    <row r="102" spans="2:2">
      <c r="B102" s="48" t="s">
        <v>4630</v>
      </c>
    </row>
    <row r="103" spans="2:2">
      <c r="B103" s="48" t="s">
        <v>1687</v>
      </c>
    </row>
    <row r="104" spans="2:2">
      <c r="B104" s="48" t="s">
        <v>4478</v>
      </c>
    </row>
    <row r="105" spans="2:2">
      <c r="B105" s="48" t="s">
        <v>2170</v>
      </c>
    </row>
    <row r="106" spans="2:2">
      <c r="B106" s="48" t="s">
        <v>2309</v>
      </c>
    </row>
    <row r="107" spans="2:2">
      <c r="B107" s="48" t="s">
        <v>4000</v>
      </c>
    </row>
    <row r="108" spans="2:2" ht="14.4">
      <c r="B108" s="180" t="s">
        <v>4729</v>
      </c>
    </row>
    <row r="109" spans="2:2">
      <c r="B109" s="48" t="s">
        <v>178</v>
      </c>
    </row>
    <row r="110" spans="2:2">
      <c r="B110" s="48" t="s">
        <v>3652</v>
      </c>
    </row>
    <row r="111" spans="2:2">
      <c r="B111" s="48" t="s">
        <v>365</v>
      </c>
    </row>
    <row r="112" spans="2:2">
      <c r="B112" s="48" t="s">
        <v>1721</v>
      </c>
    </row>
    <row r="113" spans="2:2">
      <c r="B113" s="48" t="s">
        <v>4006</v>
      </c>
    </row>
    <row r="114" spans="2:2">
      <c r="B114" s="48" t="s">
        <v>1729</v>
      </c>
    </row>
    <row r="115" spans="2:2">
      <c r="B115" s="48" t="s">
        <v>353</v>
      </c>
    </row>
    <row r="116" spans="2:2">
      <c r="B116" s="48" t="s">
        <v>1700</v>
      </c>
    </row>
    <row r="117" spans="2:2">
      <c r="B117" s="57" t="s">
        <v>867</v>
      </c>
    </row>
    <row r="118" spans="2:2">
      <c r="B118" s="48" t="s">
        <v>4730</v>
      </c>
    </row>
    <row r="119" spans="2:2">
      <c r="B119" s="48" t="s">
        <v>4731</v>
      </c>
    </row>
    <row r="120" spans="2:2">
      <c r="B120" s="48" t="s">
        <v>1776</v>
      </c>
    </row>
    <row r="121" spans="2:2">
      <c r="B121" s="48" t="s">
        <v>984</v>
      </c>
    </row>
    <row r="122" spans="2:2">
      <c r="B122" s="48" t="s">
        <v>479</v>
      </c>
    </row>
    <row r="123" spans="2:2">
      <c r="B123" s="48" t="s">
        <v>276</v>
      </c>
    </row>
    <row r="124" spans="2:2">
      <c r="B124" s="48" t="s">
        <v>236</v>
      </c>
    </row>
    <row r="125" spans="2:2">
      <c r="B125" s="48" t="s">
        <v>4045</v>
      </c>
    </row>
    <row r="126" spans="2:2" ht="14.4">
      <c r="B126" s="180" t="s">
        <v>889</v>
      </c>
    </row>
    <row r="127" spans="2:2">
      <c r="B127" s="48" t="s">
        <v>3877</v>
      </c>
    </row>
    <row r="128" spans="2:2">
      <c r="B128" s="48" t="s">
        <v>755</v>
      </c>
    </row>
    <row r="129" spans="2:2">
      <c r="B129" s="48" t="s">
        <v>998</v>
      </c>
    </row>
    <row r="130" spans="2:2">
      <c r="B130" s="48" t="s">
        <v>4732</v>
      </c>
    </row>
    <row r="131" spans="2:2">
      <c r="B131" s="48" t="s">
        <v>3206</v>
      </c>
    </row>
    <row r="132" spans="2:2">
      <c r="B132" s="48" t="s">
        <v>4235</v>
      </c>
    </row>
    <row r="133" spans="2:2" ht="14.4">
      <c r="B133" s="180" t="s">
        <v>309</v>
      </c>
    </row>
    <row r="134" spans="2:2">
      <c r="B134" s="57" t="s">
        <v>4733</v>
      </c>
    </row>
    <row r="135" spans="2:2">
      <c r="B135" s="48" t="s">
        <v>782</v>
      </c>
    </row>
    <row r="136" spans="2:2">
      <c r="B136" s="57" t="s">
        <v>159</v>
      </c>
    </row>
    <row r="137" spans="2:2">
      <c r="B137" s="48" t="s">
        <v>4619</v>
      </c>
    </row>
    <row r="138" spans="2:2">
      <c r="B138" s="48" t="s">
        <v>4734</v>
      </c>
    </row>
    <row r="139" spans="2:2">
      <c r="B139" s="48" t="s">
        <v>4735</v>
      </c>
    </row>
    <row r="140" spans="2:2">
      <c r="B140" s="48" t="s">
        <v>3622</v>
      </c>
    </row>
    <row r="141" spans="2:2">
      <c r="B141" s="48" t="s">
        <v>4176</v>
      </c>
    </row>
    <row r="142" spans="2:2">
      <c r="B142" s="48" t="s">
        <v>932</v>
      </c>
    </row>
    <row r="143" spans="2:2" ht="14.4">
      <c r="B143" s="180" t="s">
        <v>303</v>
      </c>
    </row>
    <row r="144" spans="2:2">
      <c r="B144" s="48" t="s">
        <v>271</v>
      </c>
    </row>
    <row r="145" spans="2:2">
      <c r="B145" s="48" t="s">
        <v>1157</v>
      </c>
    </row>
    <row r="146" spans="2:2">
      <c r="B146" s="48" t="s">
        <v>1822</v>
      </c>
    </row>
    <row r="147" spans="2:2">
      <c r="B147" s="48" t="s">
        <v>4511</v>
      </c>
    </row>
    <row r="148" spans="2:2">
      <c r="B148" s="48" t="s">
        <v>3716</v>
      </c>
    </row>
    <row r="149" spans="2:2">
      <c r="B149" s="48" t="s">
        <v>4736</v>
      </c>
    </row>
    <row r="150" spans="2:2">
      <c r="B150" s="48" t="s">
        <v>2317</v>
      </c>
    </row>
    <row r="151" spans="2:2">
      <c r="B151" s="48" t="s">
        <v>3142</v>
      </c>
    </row>
    <row r="152" spans="2:2">
      <c r="B152" s="48" t="s">
        <v>4091</v>
      </c>
    </row>
    <row r="153" spans="2:2">
      <c r="B153" s="48" t="s">
        <v>4737</v>
      </c>
    </row>
    <row r="154" spans="2:2">
      <c r="B154" s="48" t="s">
        <v>902</v>
      </c>
    </row>
    <row r="155" spans="2:2">
      <c r="B155" s="48" t="s">
        <v>1769</v>
      </c>
    </row>
    <row r="156" spans="2:2">
      <c r="B156" s="48" t="s">
        <v>4738</v>
      </c>
    </row>
    <row r="157" spans="2:2" ht="14.4">
      <c r="B157" s="180" t="s">
        <v>2019</v>
      </c>
    </row>
    <row r="158" spans="2:2">
      <c r="B158" s="48" t="s">
        <v>2481</v>
      </c>
    </row>
    <row r="159" spans="2:2">
      <c r="B159" s="48" t="s">
        <v>2042</v>
      </c>
    </row>
    <row r="160" spans="2:2">
      <c r="B160" s="48" t="s">
        <v>1952</v>
      </c>
    </row>
    <row r="161" spans="2:2">
      <c r="B161" s="48" t="s">
        <v>1870</v>
      </c>
    </row>
    <row r="162" spans="2:2">
      <c r="B162" s="48" t="s">
        <v>1795</v>
      </c>
    </row>
    <row r="163" spans="2:2">
      <c r="B163" s="48" t="s">
        <v>4739</v>
      </c>
    </row>
    <row r="164" spans="2:2">
      <c r="B164" s="48" t="s">
        <v>4740</v>
      </c>
    </row>
    <row r="165" spans="2:2">
      <c r="B165" s="48" t="s">
        <v>3092</v>
      </c>
    </row>
    <row r="166" spans="2:2">
      <c r="B166" s="48" t="s">
        <v>4741</v>
      </c>
    </row>
    <row r="167" spans="2:2">
      <c r="B167" s="48" t="s">
        <v>2901</v>
      </c>
    </row>
    <row r="168" spans="2:2">
      <c r="B168" s="48" t="s">
        <v>4742</v>
      </c>
    </row>
    <row r="169" spans="2:2">
      <c r="B169" s="48" t="s">
        <v>371</v>
      </c>
    </row>
    <row r="170" spans="2:2">
      <c r="B170" s="48" t="s">
        <v>1350</v>
      </c>
    </row>
    <row r="171" spans="2:2">
      <c r="B171" s="48" t="s">
        <v>2377</v>
      </c>
    </row>
    <row r="172" spans="2:2">
      <c r="B172" s="48" t="s">
        <v>1750</v>
      </c>
    </row>
    <row r="173" spans="2:2">
      <c r="B173" s="59" t="s">
        <v>2558</v>
      </c>
    </row>
    <row r="174" spans="2:2">
      <c r="B174" s="48" t="s">
        <v>4743</v>
      </c>
    </row>
    <row r="175" spans="2:2">
      <c r="B175" s="48" t="s">
        <v>3851</v>
      </c>
    </row>
    <row r="176" spans="2:2">
      <c r="B176" s="48" t="s">
        <v>3746</v>
      </c>
    </row>
    <row r="177" spans="2:2">
      <c r="B177" s="48" t="s">
        <v>1301</v>
      </c>
    </row>
    <row r="178" spans="2:2">
      <c r="B178" s="48" t="s">
        <v>634</v>
      </c>
    </row>
    <row r="179" spans="2:2">
      <c r="B179" s="48" t="s">
        <v>993</v>
      </c>
    </row>
    <row r="180" spans="2:2">
      <c r="B180" s="48" t="s">
        <v>1064</v>
      </c>
    </row>
    <row r="181" spans="2:2">
      <c r="B181" s="59" t="s">
        <v>3051</v>
      </c>
    </row>
    <row r="182" spans="2:2">
      <c r="B182" s="48" t="s">
        <v>152</v>
      </c>
    </row>
    <row r="183" spans="2:2">
      <c r="B183" s="48" t="s">
        <v>3021</v>
      </c>
    </row>
    <row r="184" spans="2:2">
      <c r="B184" s="48" t="s">
        <v>625</v>
      </c>
    </row>
    <row r="185" spans="2:2">
      <c r="B185" s="57" t="s">
        <v>1878</v>
      </c>
    </row>
    <row r="186" spans="2:2">
      <c r="B186" s="48" t="s">
        <v>402</v>
      </c>
    </row>
    <row r="187" spans="2:2">
      <c r="B187" s="48" t="s">
        <v>2917</v>
      </c>
    </row>
    <row r="188" spans="2:2">
      <c r="B188" s="48" t="s">
        <v>687</v>
      </c>
    </row>
    <row r="189" spans="2:2">
      <c r="B189" s="48" t="s">
        <v>2029</v>
      </c>
    </row>
    <row r="190" spans="2:2">
      <c r="B190" s="57" t="s">
        <v>465</v>
      </c>
    </row>
    <row r="191" spans="2:2">
      <c r="B191" s="48" t="s">
        <v>335</v>
      </c>
    </row>
    <row r="192" spans="2:2">
      <c r="B192" s="48" t="s">
        <v>4744</v>
      </c>
    </row>
    <row r="193" spans="2:2">
      <c r="B193" s="48" t="s">
        <v>2475</v>
      </c>
    </row>
    <row r="194" spans="2:2">
      <c r="B194" s="48" t="s">
        <v>1174</v>
      </c>
    </row>
    <row r="195" spans="2:2">
      <c r="B195" s="48" t="s">
        <v>1015</v>
      </c>
    </row>
    <row r="196" spans="2:2">
      <c r="B196" s="48" t="s">
        <v>619</v>
      </c>
    </row>
    <row r="197" spans="2:2">
      <c r="B197" s="48" t="s">
        <v>3759</v>
      </c>
    </row>
    <row r="198" spans="2:2">
      <c r="B198" s="48" t="s">
        <v>4599</v>
      </c>
    </row>
    <row r="199" spans="2:2">
      <c r="B199" s="48" t="s">
        <v>4247</v>
      </c>
    </row>
    <row r="200" spans="2:2">
      <c r="B200" s="48" t="s">
        <v>4745</v>
      </c>
    </row>
    <row r="201" spans="2:2">
      <c r="B201" s="48" t="s">
        <v>3299</v>
      </c>
    </row>
    <row r="202" spans="2:2">
      <c r="B202" s="48" t="s">
        <v>2393</v>
      </c>
    </row>
    <row r="203" spans="2:2">
      <c r="B203" s="48" t="s">
        <v>4746</v>
      </c>
    </row>
    <row r="204" spans="2:2">
      <c r="B204" s="48" t="s">
        <v>792</v>
      </c>
    </row>
    <row r="205" spans="2:2">
      <c r="B205" s="48" t="s">
        <v>2737</v>
      </c>
    </row>
    <row r="206" spans="2:2">
      <c r="B206" s="48" t="s">
        <v>132</v>
      </c>
    </row>
    <row r="207" spans="2:2">
      <c r="B207" s="48" t="s">
        <v>253</v>
      </c>
    </row>
    <row r="208" spans="2:2">
      <c r="B208" s="48" t="s">
        <v>2517</v>
      </c>
    </row>
    <row r="209" spans="2:2">
      <c r="B209" s="48" t="s">
        <v>4667</v>
      </c>
    </row>
    <row r="210" spans="2:2">
      <c r="B210" s="48" t="s">
        <v>3705</v>
      </c>
    </row>
    <row r="211" spans="2:2">
      <c r="B211" s="48" t="s">
        <v>142</v>
      </c>
    </row>
    <row r="212" spans="2:2">
      <c r="B212" s="59" t="s">
        <v>4647</v>
      </c>
    </row>
    <row r="213" spans="2:2">
      <c r="B213" s="48" t="s">
        <v>3676</v>
      </c>
    </row>
    <row r="214" spans="2:2">
      <c r="B214" s="48" t="s">
        <v>2439</v>
      </c>
    </row>
    <row r="215" spans="2:2">
      <c r="B215" s="61" t="s">
        <v>2323</v>
      </c>
    </row>
    <row r="216" spans="2:2">
      <c r="B216" s="61" t="s">
        <v>2592</v>
      </c>
    </row>
    <row r="217" spans="2:2">
      <c r="B217" s="61" t="s">
        <v>2998</v>
      </c>
    </row>
    <row r="218" spans="2:2">
      <c r="B218" s="48" t="s">
        <v>190</v>
      </c>
    </row>
    <row r="219" spans="2:2">
      <c r="B219" s="48" t="s">
        <v>3006</v>
      </c>
    </row>
    <row r="220" spans="2:2">
      <c r="B220" s="48" t="s">
        <v>3077</v>
      </c>
    </row>
    <row r="221" spans="2:2">
      <c r="B221" s="48" t="s">
        <v>1801</v>
      </c>
    </row>
    <row r="222" spans="2:2">
      <c r="B222" s="48" t="s">
        <v>3722</v>
      </c>
    </row>
    <row r="223" spans="2:2">
      <c r="B223" s="48" t="s">
        <v>1736</v>
      </c>
    </row>
    <row r="224" spans="2:2">
      <c r="B224" s="48" t="s">
        <v>2053</v>
      </c>
    </row>
    <row r="225" spans="2:2">
      <c r="B225" s="48" t="s">
        <v>3644</v>
      </c>
    </row>
    <row r="226" spans="2:2">
      <c r="B226" s="48" t="s">
        <v>3130</v>
      </c>
    </row>
    <row r="227" spans="2:2">
      <c r="B227" s="48" t="s">
        <v>4242</v>
      </c>
    </row>
    <row r="228" spans="2:2">
      <c r="B228" s="48" t="s">
        <v>2048</v>
      </c>
    </row>
    <row r="229" spans="2:2">
      <c r="B229" s="48" t="s">
        <v>4747</v>
      </c>
    </row>
    <row r="230" spans="2:2">
      <c r="B230" s="48" t="s">
        <v>4748</v>
      </c>
    </row>
    <row r="231" spans="2:2">
      <c r="B231" s="48" t="s">
        <v>1109</v>
      </c>
    </row>
    <row r="232" spans="2:2">
      <c r="B232" s="48" t="s">
        <v>3771</v>
      </c>
    </row>
    <row r="233" spans="2:2">
      <c r="B233" s="48" t="s">
        <v>1054</v>
      </c>
    </row>
    <row r="234" spans="2:2">
      <c r="B234" s="48" t="s">
        <v>3033</v>
      </c>
    </row>
    <row r="235" spans="2:2">
      <c r="B235" s="48" t="s">
        <v>3314</v>
      </c>
    </row>
    <row r="236" spans="2:2">
      <c r="B236" s="48" t="s">
        <v>2617</v>
      </c>
    </row>
    <row r="237" spans="2:2">
      <c r="B237" s="48" t="s">
        <v>705</v>
      </c>
    </row>
    <row r="238" spans="2:2">
      <c r="B238" s="48" t="s">
        <v>1593</v>
      </c>
    </row>
    <row r="239" spans="2:2">
      <c r="B239" s="48" t="s">
        <v>965</v>
      </c>
    </row>
    <row r="240" spans="2:2">
      <c r="B240" s="48" t="s">
        <v>3599</v>
      </c>
    </row>
    <row r="241" spans="2:2">
      <c r="B241" s="625" t="s">
        <v>378</v>
      </c>
    </row>
    <row r="242" spans="2:2">
      <c r="B242" s="625" t="s">
        <v>4749</v>
      </c>
    </row>
    <row r="243" spans="2:2">
      <c r="B243" s="625" t="s">
        <v>4750</v>
      </c>
    </row>
    <row r="244" spans="2:2">
      <c r="B244" s="625" t="s">
        <v>4751</v>
      </c>
    </row>
    <row r="245" spans="2:2">
      <c r="B245" s="625" t="s">
        <v>4752</v>
      </c>
    </row>
    <row r="246" spans="2:2">
      <c r="B246" s="625" t="s">
        <v>390</v>
      </c>
    </row>
    <row r="247" spans="2:2">
      <c r="B247" s="625" t="s">
        <v>4753</v>
      </c>
    </row>
    <row r="248" spans="2:2">
      <c r="B248" s="625" t="s">
        <v>4754</v>
      </c>
    </row>
    <row r="250" spans="2:2">
      <c r="B250" s="625"/>
    </row>
    <row r="251" spans="2:2">
      <c r="B251" s="625"/>
    </row>
    <row r="252" spans="2:2">
      <c r="B252" s="625"/>
    </row>
    <row r="253" spans="2:2">
      <c r="B253" s="625"/>
    </row>
    <row r="254" spans="2:2">
      <c r="B254" s="625"/>
    </row>
    <row r="255" spans="2:2">
      <c r="B255" s="625"/>
    </row>
    <row r="256" spans="2:2">
      <c r="B256" s="625"/>
    </row>
    <row r="257" spans="2:2">
      <c r="B257" s="625"/>
    </row>
    <row r="258" spans="2:2">
      <c r="B258" s="625"/>
    </row>
    <row r="259" spans="2:2">
      <c r="B259" s="625"/>
    </row>
    <row r="260" spans="2:2">
      <c r="B260" s="625"/>
    </row>
    <row r="261" spans="2:2">
      <c r="B261" s="625"/>
    </row>
    <row r="262" spans="2:2">
      <c r="B262" s="625"/>
    </row>
    <row r="263" spans="2:2">
      <c r="B263" s="625"/>
    </row>
    <row r="264" spans="2:2">
      <c r="B264" s="625"/>
    </row>
  </sheetData>
  <sortState xmlns:xlrd2="http://schemas.microsoft.com/office/spreadsheetml/2017/richdata2" ref="B2:B240">
    <sortCondition ref="B2:B240"/>
  </sortState>
  <conditionalFormatting sqref="B2:B16 B18:B42 B134:B142 B50:B107 B144:B156 B158:B240 B44:B48 B127:B132 B109:B125">
    <cfRule type="duplicateValues" dxfId="5" priority="36"/>
  </conditionalFormatting>
  <conditionalFormatting sqref="B134:B142 B1:B16 B18:B42 B50:B107 B144:B156 B250:B1048576 B158:B248 B44:B48 B127:B132 B109:B125">
    <cfRule type="duplicateValues" dxfId="4" priority="1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8BCE-0042-4EC5-9CFB-F4B4C05EC7EF}">
  <dimension ref="B2:B127"/>
  <sheetViews>
    <sheetView topLeftCell="A119" zoomScaleNormal="100" zoomScalePageLayoutView="80" workbookViewId="0">
      <selection activeCell="E247" sqref="E247"/>
    </sheetView>
  </sheetViews>
  <sheetFormatPr defaultColWidth="8.44140625" defaultRowHeight="13.8"/>
  <cols>
    <col min="1" max="1" width="9.44140625" style="9" customWidth="1"/>
    <col min="2" max="2" width="17.5546875" style="9" bestFit="1" customWidth="1"/>
    <col min="3" max="16384" width="8.44140625" style="9"/>
  </cols>
  <sheetData>
    <row r="2" spans="2:2">
      <c r="B2" s="66" t="s">
        <v>3143</v>
      </c>
    </row>
    <row r="3" spans="2:2">
      <c r="B3" s="50" t="s">
        <v>4517</v>
      </c>
    </row>
    <row r="4" spans="2:2">
      <c r="B4" s="50" t="s">
        <v>4038</v>
      </c>
    </row>
    <row r="5" spans="2:2">
      <c r="B5" s="50" t="s">
        <v>4058</v>
      </c>
    </row>
    <row r="6" spans="2:2">
      <c r="B6" s="50" t="s">
        <v>4755</v>
      </c>
    </row>
    <row r="7" spans="2:2">
      <c r="B7" s="50" t="s">
        <v>4388</v>
      </c>
    </row>
    <row r="8" spans="2:2">
      <c r="B8" s="50" t="s">
        <v>4079</v>
      </c>
    </row>
    <row r="9" spans="2:2">
      <c r="B9" s="50" t="s">
        <v>4411</v>
      </c>
    </row>
    <row r="10" spans="2:2">
      <c r="B10" s="49" t="s">
        <v>1777</v>
      </c>
    </row>
    <row r="11" spans="2:2">
      <c r="B11" s="50" t="s">
        <v>1445</v>
      </c>
    </row>
    <row r="12" spans="2:2">
      <c r="B12" s="49" t="s">
        <v>4756</v>
      </c>
    </row>
    <row r="13" spans="2:2">
      <c r="B13" s="50" t="s">
        <v>4757</v>
      </c>
    </row>
    <row r="14" spans="2:2">
      <c r="B14" s="49" t="s">
        <v>1751</v>
      </c>
    </row>
    <row r="15" spans="2:2">
      <c r="B15" s="52" t="s">
        <v>1722</v>
      </c>
    </row>
    <row r="16" spans="2:2">
      <c r="B16" s="49" t="s">
        <v>1175</v>
      </c>
    </row>
    <row r="17" spans="2:2">
      <c r="B17" s="50" t="s">
        <v>4007</v>
      </c>
    </row>
    <row r="18" spans="2:2">
      <c r="B18" s="65" t="s">
        <v>2252</v>
      </c>
    </row>
    <row r="19" spans="2:2">
      <c r="B19" s="50" t="s">
        <v>2445</v>
      </c>
    </row>
    <row r="20" spans="2:2">
      <c r="B20" s="66" t="s">
        <v>4758</v>
      </c>
    </row>
    <row r="21" spans="2:2">
      <c r="B21" s="66" t="s">
        <v>4759</v>
      </c>
    </row>
    <row r="22" spans="2:2">
      <c r="B22" s="66" t="s">
        <v>4760</v>
      </c>
    </row>
    <row r="23" spans="2:2">
      <c r="B23" s="66" t="s">
        <v>4761</v>
      </c>
    </row>
    <row r="24" spans="2:2">
      <c r="B24" s="50" t="s">
        <v>845</v>
      </c>
    </row>
    <row r="25" spans="2:2">
      <c r="B25" s="50" t="s">
        <v>4762</v>
      </c>
    </row>
    <row r="26" spans="2:2">
      <c r="B26" s="66" t="s">
        <v>2482</v>
      </c>
    </row>
    <row r="27" spans="2:2">
      <c r="B27" s="50" t="s">
        <v>1860</v>
      </c>
    </row>
    <row r="28" spans="2:2">
      <c r="B28" s="50" t="s">
        <v>4479</v>
      </c>
    </row>
    <row r="29" spans="2:2">
      <c r="B29" s="50" t="s">
        <v>4608</v>
      </c>
    </row>
    <row r="30" spans="2:2">
      <c r="B30" s="66" t="s">
        <v>4763</v>
      </c>
    </row>
    <row r="31" spans="2:2">
      <c r="B31" s="50" t="s">
        <v>4764</v>
      </c>
    </row>
    <row r="32" spans="2:2">
      <c r="B32" s="50" t="s">
        <v>4542</v>
      </c>
    </row>
    <row r="33" spans="2:2">
      <c r="B33" s="49" t="s">
        <v>4765</v>
      </c>
    </row>
    <row r="34" spans="2:2">
      <c r="B34" s="66" t="s">
        <v>3612</v>
      </c>
    </row>
    <row r="35" spans="2:2">
      <c r="B35" s="52" t="s">
        <v>4766</v>
      </c>
    </row>
    <row r="36" spans="2:2">
      <c r="B36" s="66" t="s">
        <v>3600</v>
      </c>
    </row>
    <row r="37" spans="2:2">
      <c r="B37" s="50" t="s">
        <v>1888</v>
      </c>
    </row>
    <row r="38" spans="2:2">
      <c r="B38" s="52" t="s">
        <v>1701</v>
      </c>
    </row>
    <row r="39" spans="2:2">
      <c r="B39" s="50" t="s">
        <v>4767</v>
      </c>
    </row>
    <row r="40" spans="2:2">
      <c r="B40" s="66" t="s">
        <v>4620</v>
      </c>
    </row>
    <row r="41" spans="2:2">
      <c r="B41" s="66" t="s">
        <v>2738</v>
      </c>
    </row>
    <row r="42" spans="2:2">
      <c r="B42" s="50" t="s">
        <v>4161</v>
      </c>
    </row>
    <row r="43" spans="2:2">
      <c r="B43" s="66" t="s">
        <v>2378</v>
      </c>
    </row>
    <row r="44" spans="2:2">
      <c r="B44" s="50" t="s">
        <v>1823</v>
      </c>
    </row>
    <row r="45" spans="2:2">
      <c r="B45" s="50" t="s">
        <v>3959</v>
      </c>
    </row>
    <row r="46" spans="2:2">
      <c r="B46" s="50" t="s">
        <v>3922</v>
      </c>
    </row>
    <row r="47" spans="2:2">
      <c r="B47" s="66" t="s">
        <v>3034</v>
      </c>
    </row>
    <row r="48" spans="2:2">
      <c r="B48" s="50" t="s">
        <v>4768</v>
      </c>
    </row>
    <row r="49" spans="2:2">
      <c r="B49" s="66" t="s">
        <v>3938</v>
      </c>
    </row>
    <row r="50" spans="2:2">
      <c r="B50" s="49" t="s">
        <v>2126</v>
      </c>
    </row>
    <row r="51" spans="2:2">
      <c r="B51" s="50" t="s">
        <v>4016</v>
      </c>
    </row>
    <row r="52" spans="2:2">
      <c r="B52" s="50" t="s">
        <v>4769</v>
      </c>
    </row>
    <row r="53" spans="2:2">
      <c r="B53" s="50" t="s">
        <v>4001</v>
      </c>
    </row>
    <row r="54" spans="2:2">
      <c r="B54" s="50" t="s">
        <v>4770</v>
      </c>
    </row>
    <row r="55" spans="2:2">
      <c r="B55" s="66" t="s">
        <v>2324</v>
      </c>
    </row>
    <row r="56" spans="2:2">
      <c r="B56" s="50" t="s">
        <v>4771</v>
      </c>
    </row>
    <row r="57" spans="2:2">
      <c r="B57" s="66" t="s">
        <v>2902</v>
      </c>
    </row>
    <row r="58" spans="2:2">
      <c r="B58" s="50" t="s">
        <v>2945</v>
      </c>
    </row>
    <row r="59" spans="2:2">
      <c r="B59" s="50" t="s">
        <v>1640</v>
      </c>
    </row>
    <row r="60" spans="2:2">
      <c r="B60" s="52" t="s">
        <v>4772</v>
      </c>
    </row>
    <row r="61" spans="2:2">
      <c r="B61" s="50" t="s">
        <v>3983</v>
      </c>
    </row>
    <row r="62" spans="2:2">
      <c r="B62" s="66" t="s">
        <v>4635</v>
      </c>
    </row>
    <row r="63" spans="2:2">
      <c r="B63" s="52" t="s">
        <v>4773</v>
      </c>
    </row>
    <row r="64" spans="2:2">
      <c r="B64" s="66" t="s">
        <v>4631</v>
      </c>
    </row>
    <row r="65" spans="2:2">
      <c r="B65" s="66" t="s">
        <v>4774</v>
      </c>
    </row>
    <row r="66" spans="2:2">
      <c r="B66" s="50" t="s">
        <v>4236</v>
      </c>
    </row>
    <row r="67" spans="2:2">
      <c r="B67" s="66" t="s">
        <v>3315</v>
      </c>
    </row>
    <row r="68" spans="2:2">
      <c r="B68" s="66" t="s">
        <v>3766</v>
      </c>
    </row>
    <row r="69" spans="2:2">
      <c r="B69" s="50" t="s">
        <v>4775</v>
      </c>
    </row>
    <row r="70" spans="2:2">
      <c r="B70" s="49" t="s">
        <v>4686</v>
      </c>
    </row>
    <row r="71" spans="2:2">
      <c r="B71" s="58" t="s">
        <v>4776</v>
      </c>
    </row>
    <row r="72" spans="2:2">
      <c r="B72" s="50" t="s">
        <v>462</v>
      </c>
    </row>
    <row r="73" spans="2:2">
      <c r="B73" s="50" t="s">
        <v>4777</v>
      </c>
    </row>
    <row r="74" spans="2:2">
      <c r="B74" s="66" t="s">
        <v>2295</v>
      </c>
    </row>
    <row r="75" spans="2:2">
      <c r="B75" s="66" t="s">
        <v>4625</v>
      </c>
    </row>
    <row r="76" spans="2:2">
      <c r="B76" s="66" t="s">
        <v>4612</v>
      </c>
    </row>
    <row r="77" spans="2:2">
      <c r="B77" s="49" t="s">
        <v>4778</v>
      </c>
    </row>
    <row r="78" spans="2:2">
      <c r="B78" s="66" t="s">
        <v>4779</v>
      </c>
    </row>
    <row r="79" spans="2:2">
      <c r="B79" s="50" t="s">
        <v>3929</v>
      </c>
    </row>
    <row r="80" spans="2:2">
      <c r="B80" s="50" t="s">
        <v>4272</v>
      </c>
    </row>
    <row r="81" spans="2:2">
      <c r="B81" s="66" t="s">
        <v>2932</v>
      </c>
    </row>
    <row r="82" spans="2:2">
      <c r="B82" s="52" t="s">
        <v>4780</v>
      </c>
    </row>
    <row r="83" spans="2:2">
      <c r="B83" s="50" t="s">
        <v>3949</v>
      </c>
    </row>
    <row r="84" spans="2:2">
      <c r="B84" s="50" t="s">
        <v>3944</v>
      </c>
    </row>
    <row r="85" spans="2:2">
      <c r="B85" s="52" t="s">
        <v>304</v>
      </c>
    </row>
    <row r="86" spans="2:2">
      <c r="B86" s="50" t="s">
        <v>4781</v>
      </c>
    </row>
    <row r="87" spans="2:2">
      <c r="B87" s="66" t="s">
        <v>4698</v>
      </c>
    </row>
    <row r="88" spans="2:2">
      <c r="B88" s="66" t="s">
        <v>2365</v>
      </c>
    </row>
    <row r="89" spans="2:2">
      <c r="B89" s="66" t="s">
        <v>4782</v>
      </c>
    </row>
    <row r="90" spans="2:2">
      <c r="B90" s="66" t="s">
        <v>4783</v>
      </c>
    </row>
    <row r="91" spans="2:2">
      <c r="B91" s="50" t="s">
        <v>1158</v>
      </c>
    </row>
    <row r="92" spans="2:2">
      <c r="B92" s="50" t="s">
        <v>1158</v>
      </c>
    </row>
    <row r="93" spans="2:2">
      <c r="B93" s="50" t="s">
        <v>3898</v>
      </c>
    </row>
    <row r="94" spans="2:2">
      <c r="B94" s="66" t="s">
        <v>4600</v>
      </c>
    </row>
    <row r="95" spans="2:2">
      <c r="B95" s="50" t="s">
        <v>3910</v>
      </c>
    </row>
    <row r="96" spans="2:2">
      <c r="B96" s="50" t="s">
        <v>4784</v>
      </c>
    </row>
    <row r="97" spans="2:2">
      <c r="B97" s="50" t="s">
        <v>4046</v>
      </c>
    </row>
    <row r="98" spans="2:2">
      <c r="B98" s="52" t="s">
        <v>4785</v>
      </c>
    </row>
    <row r="99" spans="2:2">
      <c r="B99" s="52" t="s">
        <v>601</v>
      </c>
    </row>
    <row r="100" spans="2:2">
      <c r="B100" s="52" t="s">
        <v>4786</v>
      </c>
    </row>
    <row r="101" spans="2:2">
      <c r="B101" s="52" t="s">
        <v>1840</v>
      </c>
    </row>
    <row r="102" spans="2:2">
      <c r="B102" s="66" t="s">
        <v>4787</v>
      </c>
    </row>
    <row r="103" spans="2:2">
      <c r="B103" s="66" t="s">
        <v>3747</v>
      </c>
    </row>
    <row r="104" spans="2:2">
      <c r="B104" s="66" t="s">
        <v>4788</v>
      </c>
    </row>
    <row r="105" spans="2:2">
      <c r="B105" s="50" t="s">
        <v>1981</v>
      </c>
    </row>
    <row r="106" spans="2:2">
      <c r="B106" s="49" t="s">
        <v>133</v>
      </c>
    </row>
    <row r="107" spans="2:2">
      <c r="B107" s="50" t="s">
        <v>4789</v>
      </c>
    </row>
    <row r="108" spans="2:2">
      <c r="B108" s="50" t="s">
        <v>4790</v>
      </c>
    </row>
    <row r="109" spans="2:2">
      <c r="B109" s="49" t="s">
        <v>1942</v>
      </c>
    </row>
    <row r="110" spans="2:2">
      <c r="B110" s="50" t="s">
        <v>4053</v>
      </c>
    </row>
    <row r="111" spans="2:2">
      <c r="B111" s="50" t="s">
        <v>4340</v>
      </c>
    </row>
    <row r="112" spans="2:2">
      <c r="B112" s="49" t="s">
        <v>1816</v>
      </c>
    </row>
    <row r="113" spans="2:2">
      <c r="B113" s="50" t="s">
        <v>4791</v>
      </c>
    </row>
    <row r="114" spans="2:2">
      <c r="B114" s="52" t="s">
        <v>2103</v>
      </c>
    </row>
    <row r="115" spans="2:2">
      <c r="B115" s="52" t="s">
        <v>4792</v>
      </c>
    </row>
    <row r="116" spans="2:2">
      <c r="B116" s="66" t="s">
        <v>4793</v>
      </c>
    </row>
    <row r="117" spans="2:2">
      <c r="B117" s="50" t="s">
        <v>4794</v>
      </c>
    </row>
    <row r="118" spans="2:2">
      <c r="B118" s="66" t="s">
        <v>3670</v>
      </c>
    </row>
    <row r="119" spans="2:2">
      <c r="B119" s="66" t="s">
        <v>2286</v>
      </c>
    </row>
    <row r="120" spans="2:2">
      <c r="B120" s="52" t="s">
        <v>1296</v>
      </c>
    </row>
    <row r="121" spans="2:2">
      <c r="B121" s="50" t="s">
        <v>4795</v>
      </c>
    </row>
    <row r="122" spans="2:2">
      <c r="B122" s="50" t="s">
        <v>4796</v>
      </c>
    </row>
    <row r="123" spans="2:2">
      <c r="B123" s="50" t="s">
        <v>4797</v>
      </c>
    </row>
    <row r="124" spans="2:2">
      <c r="B124" s="50" t="s">
        <v>2999</v>
      </c>
    </row>
    <row r="125" spans="2:2">
      <c r="B125" s="50" t="s">
        <v>1879</v>
      </c>
    </row>
    <row r="126" spans="2:2">
      <c r="B126" s="58" t="s">
        <v>1737</v>
      </c>
    </row>
    <row r="127" spans="2:2">
      <c r="B127" s="1378" t="s">
        <v>4798</v>
      </c>
    </row>
  </sheetData>
  <sheetProtection algorithmName="SHA-512" hashValue="RxdvQ3/GjA0SO26MAGPos1KI9fYoLUWFECKDC7lMQrqUrqGQ7XcTD1Scv6VkT6SV9ZtQCkvg87d2MHGhzlLV3w==" saltValue="8CZGrNP1rl3so5rnXs6JEQ==" spinCount="100000" sheet="1" objects="1" scenarios="1"/>
  <sortState xmlns:xlrd2="http://schemas.microsoft.com/office/spreadsheetml/2017/richdata2" ref="B3:B126">
    <sortCondition ref="B3:B126"/>
  </sortState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D7D1-2887-4B15-8019-DAAF06960213}">
  <dimension ref="A1:AB410"/>
  <sheetViews>
    <sheetView topLeftCell="H1" zoomScaleNormal="100" zoomScalePageLayoutView="80" workbookViewId="0">
      <selection activeCell="O35" sqref="O35"/>
    </sheetView>
  </sheetViews>
  <sheetFormatPr defaultColWidth="9.44140625" defaultRowHeight="13.8"/>
  <cols>
    <col min="1" max="1" width="10.44140625" style="9" customWidth="1"/>
    <col min="2" max="19" width="9.44140625" style="9"/>
    <col min="20" max="20" width="16.44140625" style="9" bestFit="1" customWidth="1"/>
    <col min="21" max="22" width="9.44140625" style="9"/>
    <col min="23" max="23" width="15.44140625" style="9" bestFit="1" customWidth="1"/>
    <col min="24" max="26" width="9.44140625" style="9"/>
    <col min="27" max="27" width="10" style="9" bestFit="1" customWidth="1"/>
    <col min="28" max="28" width="12.44140625" style="9" bestFit="1" customWidth="1"/>
    <col min="29" max="16384" width="9.44140625" style="9"/>
  </cols>
  <sheetData>
    <row r="1" spans="1:28">
      <c r="A1" s="9" t="str">
        <f>+Yogesh!A2</f>
        <v>KARDEX INDIA - LIVE OFFER FUNEL - YOGESH - WEST</v>
      </c>
    </row>
    <row r="3" spans="1:28">
      <c r="A3" s="9" t="str" cm="1">
        <f t="array" ref="A3:B3">Yogesh!A4:B4</f>
        <v>Total Offers</v>
      </c>
      <c r="B3" s="9">
        <v>96</v>
      </c>
    </row>
    <row r="4" spans="1:28">
      <c r="T4" s="9" t="str" cm="1">
        <f t="array" ref="T4:U6">Yogesh!U3:V5</f>
        <v>Total Offered Value</v>
      </c>
      <c r="U4" s="9">
        <v>63775451</v>
      </c>
    </row>
    <row r="5" spans="1:28">
      <c r="T5" s="9" t="str">
        <v>Order Received</v>
      </c>
      <c r="U5" s="9">
        <v>45660707</v>
      </c>
    </row>
    <row r="6" spans="1:28">
      <c r="T6" s="9" t="str">
        <v>Open Funnel</v>
      </c>
      <c r="U6" s="9">
        <v>13599894</v>
      </c>
    </row>
    <row r="7" spans="1:28">
      <c r="A7" s="9" t="str" cm="1">
        <f t="array" ref="A7:Y410">Yogesh!A6:Y409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20">Yogesh!AB1:AD14</f>
        <v>Month wise data</v>
      </c>
      <c r="AA7" s="9">
        <v>0</v>
      </c>
      <c r="AB7" s="9">
        <v>0</v>
      </c>
    </row>
    <row r="8" spans="1:28">
      <c r="A8" s="9">
        <v>1</v>
      </c>
      <c r="B8" s="9">
        <v>45667</v>
      </c>
      <c r="C8" s="9" t="str">
        <v xml:space="preserve">Tata Motors LTD </v>
      </c>
      <c r="D8" s="9" t="str">
        <v>Pune</v>
      </c>
      <c r="E8" s="9" t="str">
        <v>D blockstore</v>
      </c>
      <c r="F8" s="9" t="str">
        <v>pankaj Badhe</v>
      </c>
      <c r="G8" s="9">
        <v>8237003520</v>
      </c>
      <c r="H8" s="9" t="str">
        <v>badhe.pankaj@tatamotors.com</v>
      </c>
      <c r="I8" s="9" t="str">
        <v>16002093/001</v>
      </c>
      <c r="J8" s="9" t="str">
        <v>Relocation</v>
      </c>
      <c r="K8" s="9" t="str">
        <v>No</v>
      </c>
      <c r="L8" s="9" t="str">
        <v>KXIND/W/SPP/YD24-01</v>
      </c>
      <c r="M8" s="9">
        <v>45394</v>
      </c>
      <c r="N8" s="9">
        <v>0</v>
      </c>
      <c r="O8" s="9" t="str">
        <v>January</v>
      </c>
      <c r="P8" s="9" t="str">
        <v>March</v>
      </c>
      <c r="Q8" s="9">
        <v>0.5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 t="str">
        <v>Project Postpone with no confirm date.</v>
      </c>
      <c r="X8" s="9">
        <v>0</v>
      </c>
      <c r="Y8" s="9">
        <v>0</v>
      </c>
      <c r="Z8" s="9" t="str">
        <v>Month</v>
      </c>
      <c r="AA8" s="9" t="str">
        <v>Offers Total</v>
      </c>
      <c r="AB8" s="9" t="str">
        <v>Order received</v>
      </c>
    </row>
    <row r="9" spans="1:28">
      <c r="A9" s="9">
        <v>2</v>
      </c>
      <c r="B9" s="9">
        <v>0</v>
      </c>
      <c r="C9" s="9" t="str">
        <v xml:space="preserve">Tata Motors LTD </v>
      </c>
      <c r="D9" s="9" t="str">
        <v>Pune</v>
      </c>
      <c r="E9" s="9" t="str">
        <v>D blockstore</v>
      </c>
      <c r="F9" s="9" t="str">
        <v>pankaj Badhe</v>
      </c>
      <c r="G9" s="9">
        <v>8237003521</v>
      </c>
      <c r="H9" s="9" t="str">
        <v>badhe.pankaj@tatamotors.com</v>
      </c>
      <c r="I9" s="9" t="str">
        <v>16002093/002</v>
      </c>
      <c r="J9" s="9" t="str">
        <v>Relocation</v>
      </c>
      <c r="K9" s="9" t="str">
        <v>No</v>
      </c>
      <c r="L9" s="9" t="str">
        <v>KXIND/W/SPP/YD24-01</v>
      </c>
      <c r="M9" s="9">
        <v>45394</v>
      </c>
      <c r="N9" s="9">
        <v>0</v>
      </c>
      <c r="O9" s="9" t="str">
        <v>January</v>
      </c>
      <c r="P9" s="9" t="str">
        <v>March</v>
      </c>
      <c r="Q9" s="9">
        <v>0.5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 t="str">
        <v>Project Postpone with no confirm date.</v>
      </c>
      <c r="X9" s="9">
        <v>0</v>
      </c>
      <c r="Y9" s="9">
        <v>0</v>
      </c>
      <c r="Z9" s="9" t="str">
        <v>January</v>
      </c>
      <c r="AA9" s="9">
        <v>7550534</v>
      </c>
      <c r="AB9" s="9">
        <v>408580</v>
      </c>
    </row>
    <row r="10" spans="1:28">
      <c r="A10" s="9">
        <v>3</v>
      </c>
      <c r="B10" s="9">
        <v>45667</v>
      </c>
      <c r="C10" s="9" t="str">
        <v>Tetra Pak India Pvt Ltd</v>
      </c>
      <c r="D10" s="9" t="str">
        <v>Pune</v>
      </c>
      <c r="E10" s="9" t="str">
        <v>renovation store</v>
      </c>
      <c r="F10" s="9" t="str">
        <v>Vikas Patil</v>
      </c>
      <c r="G10" s="9" t="str">
        <v>88888 78141</v>
      </c>
      <c r="H10" s="9" t="str">
        <v>vikas.patil@tetrapak.com</v>
      </c>
      <c r="I10" s="9" t="str">
        <v>20004190/001</v>
      </c>
      <c r="J10" s="9" t="str">
        <v>Relocation</v>
      </c>
      <c r="K10" s="9" t="str">
        <v>No</v>
      </c>
      <c r="L10" s="9" t="str">
        <v>KXIND/W/SPP/YD24-02</v>
      </c>
      <c r="M10" s="9">
        <v>45394</v>
      </c>
      <c r="N10" s="9">
        <v>0</v>
      </c>
      <c r="O10" s="9" t="str">
        <v>January</v>
      </c>
      <c r="P10" s="9" t="str">
        <v>March</v>
      </c>
      <c r="Q10" s="9">
        <v>0.5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 t="str">
        <v>Project Postpone with no confirm date.</v>
      </c>
      <c r="X10" s="9">
        <v>0</v>
      </c>
      <c r="Y10" s="9">
        <v>0</v>
      </c>
      <c r="Z10" s="9" t="str">
        <v>February</v>
      </c>
      <c r="AA10" s="9">
        <v>2845724</v>
      </c>
      <c r="AB10" s="9">
        <v>1833000</v>
      </c>
    </row>
    <row r="11" spans="1:28">
      <c r="A11" s="9">
        <v>4</v>
      </c>
      <c r="B11" s="9">
        <v>0</v>
      </c>
      <c r="C11" s="9" t="str">
        <v>Tetra Pak India Pvt Ltd</v>
      </c>
      <c r="D11" s="9" t="str">
        <v>Pune</v>
      </c>
      <c r="E11" s="9" t="str">
        <v>renovation store</v>
      </c>
      <c r="F11" s="9" t="str">
        <v>Vikas Patil</v>
      </c>
      <c r="G11" s="9" t="str">
        <v>88888 78141</v>
      </c>
      <c r="H11" s="9" t="str">
        <v>vikas.patil@tetrapak.com</v>
      </c>
      <c r="I11" s="9" t="str">
        <v>20004190/002</v>
      </c>
      <c r="J11" s="9" t="str">
        <v>Relocation</v>
      </c>
      <c r="K11" s="9" t="str">
        <v>No</v>
      </c>
      <c r="L11" s="9" t="str">
        <v>KXIND/W/SPP/YD24-02</v>
      </c>
      <c r="M11" s="9">
        <v>45394</v>
      </c>
      <c r="N11" s="9">
        <v>0</v>
      </c>
      <c r="O11" s="9" t="str">
        <v>January</v>
      </c>
      <c r="P11" s="9" t="str">
        <v>March</v>
      </c>
      <c r="Q11" s="9">
        <v>0.5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 t="str">
        <v>Project Postpone with no confirm date.</v>
      </c>
      <c r="X11" s="9">
        <v>0</v>
      </c>
      <c r="Y11" s="9">
        <v>0</v>
      </c>
      <c r="Z11" s="9" t="str">
        <v>March</v>
      </c>
      <c r="AA11" s="9">
        <v>27185038</v>
      </c>
      <c r="AB11" s="9">
        <v>799106</v>
      </c>
    </row>
    <row r="12" spans="1:28">
      <c r="A12" s="9">
        <v>5</v>
      </c>
      <c r="B12" s="9">
        <v>0</v>
      </c>
      <c r="C12" s="9" t="str">
        <v>Tetra Pak India Pvt Ltd</v>
      </c>
      <c r="D12" s="9" t="str">
        <v>Pune</v>
      </c>
      <c r="E12" s="9" t="str">
        <v>renovation store</v>
      </c>
      <c r="F12" s="9" t="str">
        <v>Vikas Patil</v>
      </c>
      <c r="G12" s="9" t="str">
        <v>88888 78142</v>
      </c>
      <c r="H12" s="9" t="str">
        <v>vikas.patil@tetrapak.com</v>
      </c>
      <c r="I12" s="9" t="str">
        <v>20004190/003</v>
      </c>
      <c r="J12" s="9" t="str">
        <v>Relocation</v>
      </c>
      <c r="K12" s="9" t="str">
        <v>No</v>
      </c>
      <c r="L12" s="9" t="str">
        <v>KXIND/W/SPP/YD24-02</v>
      </c>
      <c r="M12" s="9">
        <v>45394</v>
      </c>
      <c r="N12" s="9">
        <v>0</v>
      </c>
      <c r="O12" s="9" t="str">
        <v>January</v>
      </c>
      <c r="P12" s="9" t="str">
        <v>March</v>
      </c>
      <c r="Q12" s="9">
        <v>0.5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 t="str">
        <v>Project Postpone with no confirm date.</v>
      </c>
      <c r="X12" s="9">
        <v>0</v>
      </c>
      <c r="Y12" s="9">
        <v>0</v>
      </c>
      <c r="Z12" s="9" t="str">
        <v>April</v>
      </c>
      <c r="AA12" s="9">
        <v>380716</v>
      </c>
      <c r="AB12" s="9">
        <v>29031268</v>
      </c>
    </row>
    <row r="13" spans="1:28">
      <c r="A13" s="9">
        <v>6</v>
      </c>
      <c r="B13" s="9">
        <v>45667</v>
      </c>
      <c r="C13" s="9" t="str">
        <v>Schaeffler India Limited</v>
      </c>
      <c r="D13" s="9" t="str">
        <v>Pune</v>
      </c>
      <c r="E13" s="9" t="str">
        <v>Tool Room</v>
      </c>
      <c r="F13" s="9" t="str">
        <v>Sandip Gaikwad</v>
      </c>
      <c r="G13" s="9">
        <v>7507568788</v>
      </c>
      <c r="H13" s="9" t="str">
        <v>gaikwsnd@schaeffler.com;</v>
      </c>
      <c r="I13" s="9" t="str">
        <v>17003031/001</v>
      </c>
      <c r="J13" s="9" t="str">
        <v>Retrofit kit</v>
      </c>
      <c r="K13" s="9" t="str">
        <v>Yes</v>
      </c>
      <c r="L13" s="9" t="str">
        <v>KXIND/W/YD/SPP/25069R</v>
      </c>
      <c r="M13" s="9">
        <v>45897</v>
      </c>
      <c r="N13" s="9">
        <v>2031058</v>
      </c>
      <c r="O13" s="9" t="str">
        <v>August</v>
      </c>
      <c r="P13" s="9" t="str">
        <v>September</v>
      </c>
      <c r="Q13" s="9">
        <v>0.5</v>
      </c>
      <c r="R13" s="9">
        <v>7001063894</v>
      </c>
      <c r="S13" s="9">
        <v>45922</v>
      </c>
      <c r="T13" s="9">
        <v>836318</v>
      </c>
      <c r="U13" s="9" t="str">
        <v>September</v>
      </c>
      <c r="V13" s="9">
        <v>1194740</v>
      </c>
      <c r="W13" s="9">
        <v>0</v>
      </c>
      <c r="X13" s="9">
        <v>0</v>
      </c>
      <c r="Y13" s="9">
        <v>0</v>
      </c>
      <c r="Z13" s="9" t="str">
        <v>May</v>
      </c>
      <c r="AA13" s="9">
        <v>1732000</v>
      </c>
      <c r="AB13" s="9">
        <v>1855692</v>
      </c>
    </row>
    <row r="14" spans="1:28">
      <c r="A14" s="9">
        <v>7</v>
      </c>
      <c r="B14" s="9">
        <v>45667</v>
      </c>
      <c r="C14" s="9" t="str">
        <v xml:space="preserve">Mahindra Vehicals Mf LTD </v>
      </c>
      <c r="D14" s="9" t="str">
        <v>Pune</v>
      </c>
      <c r="E14" s="9" t="str">
        <v>P Blk Store</v>
      </c>
      <c r="F14" s="9" t="str">
        <v>Anant Jadhav</v>
      </c>
      <c r="G14" s="9">
        <v>9503006627</v>
      </c>
      <c r="H14" s="9" t="str">
        <v>anant.jadhav@mahindra.com</v>
      </c>
      <c r="I14" s="9" t="str">
        <v>13000097/001</v>
      </c>
      <c r="J14" s="9" t="str">
        <v>Contract</v>
      </c>
      <c r="K14" s="9" t="str">
        <v>No</v>
      </c>
      <c r="L14" s="9" t="str">
        <v>KXIND/W/YD/MC/24032</v>
      </c>
      <c r="M14" s="9">
        <v>45419</v>
      </c>
      <c r="N14" s="9">
        <v>56000</v>
      </c>
      <c r="O14" s="9" t="str">
        <v>January</v>
      </c>
      <c r="P14" s="9" t="str">
        <v>June</v>
      </c>
      <c r="Q14" s="9">
        <v>0.7</v>
      </c>
      <c r="R14" s="9">
        <v>6500007595</v>
      </c>
      <c r="S14" s="9">
        <v>45820</v>
      </c>
      <c r="T14" s="9">
        <v>56000</v>
      </c>
      <c r="U14" s="9" t="str">
        <v>June</v>
      </c>
      <c r="V14" s="9">
        <v>0</v>
      </c>
      <c r="W14" s="9" t="str">
        <v xml:space="preserve">PO received with software contract </v>
      </c>
      <c r="X14" s="9">
        <v>0</v>
      </c>
      <c r="Y14" s="9">
        <v>0</v>
      </c>
      <c r="Z14" s="9" t="str">
        <v>June</v>
      </c>
      <c r="AA14" s="9">
        <v>824959</v>
      </c>
      <c r="AB14" s="9">
        <v>2134682</v>
      </c>
    </row>
    <row r="15" spans="1:28">
      <c r="A15" s="9">
        <v>8</v>
      </c>
      <c r="B15" s="9">
        <v>0</v>
      </c>
      <c r="C15" s="9" t="str">
        <v xml:space="preserve">Mahindra Vehicals Mf LTD </v>
      </c>
      <c r="D15" s="9" t="str">
        <v>Pune</v>
      </c>
      <c r="E15" s="9" t="str">
        <v>P Blk Store</v>
      </c>
      <c r="F15" s="9" t="str">
        <v>Anant Jadhav</v>
      </c>
      <c r="G15" s="9">
        <v>9503006627</v>
      </c>
      <c r="H15" s="9" t="str">
        <v>anant.jadhav@mahindra.com</v>
      </c>
      <c r="I15" s="9" t="str">
        <v>17001697/001</v>
      </c>
      <c r="J15" s="9" t="str">
        <v>Contract</v>
      </c>
      <c r="K15" s="9" t="str">
        <v>No</v>
      </c>
      <c r="L15" s="9" t="str">
        <v>KXIND/W/YD/MC/24032</v>
      </c>
      <c r="M15" s="9">
        <v>45419</v>
      </c>
      <c r="N15" s="9">
        <v>56000</v>
      </c>
      <c r="O15" s="9" t="str">
        <v>January</v>
      </c>
      <c r="P15" s="9" t="str">
        <v>June</v>
      </c>
      <c r="Q15" s="9">
        <v>0.7</v>
      </c>
      <c r="R15" s="9">
        <v>6500007595</v>
      </c>
      <c r="S15" s="9">
        <v>45820</v>
      </c>
      <c r="T15" s="9">
        <v>56000</v>
      </c>
      <c r="U15" s="9" t="str">
        <v>June</v>
      </c>
      <c r="V15" s="9">
        <v>0</v>
      </c>
      <c r="W15" s="9" t="str">
        <v xml:space="preserve">PO received with software contract </v>
      </c>
      <c r="X15" s="9">
        <v>0</v>
      </c>
      <c r="Y15" s="9">
        <v>0</v>
      </c>
      <c r="Z15" s="9" t="str">
        <v>July</v>
      </c>
      <c r="AA15" s="9">
        <v>2136554</v>
      </c>
      <c r="AB15" s="9">
        <v>1689392</v>
      </c>
    </row>
    <row r="16" spans="1:28">
      <c r="A16" s="9">
        <v>9</v>
      </c>
      <c r="B16" s="9">
        <v>0</v>
      </c>
      <c r="C16" s="9" t="str">
        <v xml:space="preserve">Mahindra Vehicals Mf LTD </v>
      </c>
      <c r="D16" s="9" t="str">
        <v>Pune</v>
      </c>
      <c r="E16" s="9" t="str">
        <v>P Blk Store</v>
      </c>
      <c r="F16" s="9" t="str">
        <v>Anant Jadhav</v>
      </c>
      <c r="G16" s="9">
        <v>9503006627</v>
      </c>
      <c r="H16" s="9" t="str">
        <v>anant.jadhav@mahindra.com</v>
      </c>
      <c r="I16" s="9" t="str">
        <v>17001697/002</v>
      </c>
      <c r="J16" s="9" t="str">
        <v>Contract</v>
      </c>
      <c r="K16" s="9" t="str">
        <v>No</v>
      </c>
      <c r="L16" s="9" t="str">
        <v>KXIND/W/YD/MC/24032</v>
      </c>
      <c r="M16" s="9">
        <v>45419</v>
      </c>
      <c r="N16" s="9">
        <v>56000</v>
      </c>
      <c r="O16" s="9" t="str">
        <v>January</v>
      </c>
      <c r="P16" s="9" t="str">
        <v>June</v>
      </c>
      <c r="Q16" s="9">
        <v>0.7</v>
      </c>
      <c r="R16" s="9">
        <v>6500007595</v>
      </c>
      <c r="S16" s="9">
        <v>45820</v>
      </c>
      <c r="T16" s="9">
        <v>56000</v>
      </c>
      <c r="U16" s="9" t="str">
        <v>June</v>
      </c>
      <c r="V16" s="9">
        <v>0</v>
      </c>
      <c r="W16" s="9" t="str">
        <v xml:space="preserve">PO received with software contract </v>
      </c>
      <c r="X16" s="9">
        <v>0</v>
      </c>
      <c r="Y16" s="9">
        <v>0</v>
      </c>
      <c r="Z16" s="9" t="str">
        <v>August</v>
      </c>
      <c r="AA16" s="9">
        <v>3732804</v>
      </c>
      <c r="AB16" s="9">
        <v>1688932</v>
      </c>
    </row>
    <row r="17" spans="1:28">
      <c r="A17" s="9">
        <v>10</v>
      </c>
      <c r="B17" s="9">
        <v>0</v>
      </c>
      <c r="C17" s="9" t="str">
        <v xml:space="preserve">Mahindra Vehicals Mf LTD </v>
      </c>
      <c r="D17" s="9" t="str">
        <v>Pune</v>
      </c>
      <c r="E17" s="9" t="str">
        <v>P Blk Store</v>
      </c>
      <c r="F17" s="9" t="str">
        <v>Anant Jadhav</v>
      </c>
      <c r="G17" s="9">
        <v>9503006627</v>
      </c>
      <c r="H17" s="9" t="str">
        <v>anant.jadhav@mahindra.com</v>
      </c>
      <c r="I17" s="9" t="str">
        <v>17001697/003</v>
      </c>
      <c r="J17" s="9" t="str">
        <v>Contract</v>
      </c>
      <c r="K17" s="9" t="str">
        <v>No</v>
      </c>
      <c r="L17" s="9" t="str">
        <v>KXIND/W/YD/MC/24032</v>
      </c>
      <c r="M17" s="9">
        <v>45419</v>
      </c>
      <c r="N17" s="9">
        <v>56000</v>
      </c>
      <c r="O17" s="9" t="str">
        <v>January</v>
      </c>
      <c r="P17" s="9" t="str">
        <v>June</v>
      </c>
      <c r="Q17" s="9">
        <v>0.7</v>
      </c>
      <c r="R17" s="9">
        <v>6500007595</v>
      </c>
      <c r="S17" s="9">
        <v>45820</v>
      </c>
      <c r="T17" s="9">
        <v>56000</v>
      </c>
      <c r="U17" s="9" t="str">
        <v>June</v>
      </c>
      <c r="V17" s="9">
        <v>0</v>
      </c>
      <c r="W17" s="9" t="str">
        <v xml:space="preserve">PO received with software contract </v>
      </c>
      <c r="X17" s="9">
        <v>0</v>
      </c>
      <c r="Y17" s="9">
        <v>0</v>
      </c>
      <c r="Z17" s="9" t="str">
        <v>September</v>
      </c>
      <c r="AA17" s="9">
        <v>7153666</v>
      </c>
      <c r="AB17" s="9">
        <v>1746740</v>
      </c>
    </row>
    <row r="18" spans="1:28">
      <c r="A18" s="9">
        <v>11</v>
      </c>
      <c r="B18" s="9">
        <v>0</v>
      </c>
      <c r="C18" s="9" t="str">
        <v xml:space="preserve">Mahindra Vehicals Mf LTD </v>
      </c>
      <c r="D18" s="9" t="str">
        <v>Pune</v>
      </c>
      <c r="E18" s="9" t="str">
        <v>P Blk Store</v>
      </c>
      <c r="F18" s="9" t="str">
        <v>Anant Jadhav</v>
      </c>
      <c r="G18" s="9">
        <v>9503006627</v>
      </c>
      <c r="H18" s="9" t="str">
        <v>anant.jadhav@mahindra.com</v>
      </c>
      <c r="I18" s="9" t="str">
        <v>17001697/004</v>
      </c>
      <c r="J18" s="9" t="str">
        <v>Contract</v>
      </c>
      <c r="K18" s="9" t="str">
        <v>No</v>
      </c>
      <c r="L18" s="9" t="str">
        <v>KXIND/W/YD/MC/24032</v>
      </c>
      <c r="M18" s="9">
        <v>45419</v>
      </c>
      <c r="N18" s="9">
        <v>56000</v>
      </c>
      <c r="O18" s="9" t="str">
        <v>January</v>
      </c>
      <c r="P18" s="9" t="str">
        <v>June</v>
      </c>
      <c r="Q18" s="9">
        <v>0.7</v>
      </c>
      <c r="R18" s="9">
        <v>6500007595</v>
      </c>
      <c r="S18" s="9">
        <v>45820</v>
      </c>
      <c r="T18" s="9">
        <v>56000</v>
      </c>
      <c r="U18" s="9" t="str">
        <v>June</v>
      </c>
      <c r="V18" s="9">
        <v>0</v>
      </c>
      <c r="W18" s="9" t="str">
        <v xml:space="preserve">PO received with software contract </v>
      </c>
      <c r="X18" s="9">
        <v>0</v>
      </c>
      <c r="Y18" s="9">
        <v>0</v>
      </c>
      <c r="Z18" s="9" t="str">
        <v>October</v>
      </c>
      <c r="AA18" s="9">
        <v>443773</v>
      </c>
      <c r="AB18" s="9">
        <v>2094893</v>
      </c>
    </row>
    <row r="19" spans="1:28">
      <c r="A19" s="9">
        <v>12</v>
      </c>
      <c r="B19" s="9">
        <v>0</v>
      </c>
      <c r="C19" s="9" t="str">
        <v xml:space="preserve">Mahindra Vehicals Mf LTD </v>
      </c>
      <c r="D19" s="9" t="str">
        <v>Pune</v>
      </c>
      <c r="E19" s="9" t="str">
        <v>P Blk Store</v>
      </c>
      <c r="F19" s="9" t="str">
        <v>Anant Jadhav</v>
      </c>
      <c r="G19" s="9">
        <v>9503006627</v>
      </c>
      <c r="H19" s="9" t="str">
        <v>anant.jadhav@mahindra.com</v>
      </c>
      <c r="I19" s="9" t="str">
        <v>17004630/001</v>
      </c>
      <c r="J19" s="9" t="str">
        <v>Contract</v>
      </c>
      <c r="K19" s="9" t="str">
        <v>No</v>
      </c>
      <c r="L19" s="9" t="str">
        <v>KXIND/W/YD/MC/24032</v>
      </c>
      <c r="M19" s="9">
        <v>45419</v>
      </c>
      <c r="N19" s="9">
        <v>56000</v>
      </c>
      <c r="O19" s="9" t="str">
        <v>January</v>
      </c>
      <c r="P19" s="9" t="str">
        <v>June</v>
      </c>
      <c r="Q19" s="9">
        <v>0.7</v>
      </c>
      <c r="R19" s="9">
        <v>6500007595</v>
      </c>
      <c r="S19" s="9">
        <v>45820</v>
      </c>
      <c r="T19" s="9">
        <v>56000</v>
      </c>
      <c r="U19" s="9" t="str">
        <v>June</v>
      </c>
      <c r="V19" s="9">
        <v>0</v>
      </c>
      <c r="W19" s="9" t="str">
        <v xml:space="preserve">PO received with software contract </v>
      </c>
      <c r="X19" s="9">
        <v>0</v>
      </c>
      <c r="Y19" s="9">
        <v>0</v>
      </c>
      <c r="Z19" s="9" t="str">
        <v>November</v>
      </c>
      <c r="AA19" s="9">
        <v>7556364</v>
      </c>
      <c r="AB19" s="9">
        <v>1087080</v>
      </c>
    </row>
    <row r="20" spans="1:28">
      <c r="A20" s="9">
        <v>13</v>
      </c>
      <c r="B20" s="9">
        <v>0</v>
      </c>
      <c r="C20" s="9" t="str">
        <v xml:space="preserve">Mahindra Vehicals Mf LTD </v>
      </c>
      <c r="D20" s="9" t="str">
        <v>Pune</v>
      </c>
      <c r="E20" s="9" t="str">
        <v>P Blk Store</v>
      </c>
      <c r="F20" s="9" t="str">
        <v>Anant Jadhav</v>
      </c>
      <c r="G20" s="9">
        <v>9503006627</v>
      </c>
      <c r="H20" s="9" t="str">
        <v>anant.jadhav@mahindra.com</v>
      </c>
      <c r="I20" s="9" t="str">
        <v>17004630/003</v>
      </c>
      <c r="J20" s="9" t="str">
        <v>Contract</v>
      </c>
      <c r="K20" s="9" t="str">
        <v>No</v>
      </c>
      <c r="L20" s="9" t="str">
        <v>KXIND/W/YD/MC/24032</v>
      </c>
      <c r="M20" s="9">
        <v>45419</v>
      </c>
      <c r="N20" s="9">
        <v>56000</v>
      </c>
      <c r="O20" s="9" t="str">
        <v>January</v>
      </c>
      <c r="P20" s="9" t="str">
        <v>June</v>
      </c>
      <c r="Q20" s="9">
        <v>0.7</v>
      </c>
      <c r="R20" s="9">
        <v>6500007595</v>
      </c>
      <c r="S20" s="9">
        <v>45820</v>
      </c>
      <c r="T20" s="9">
        <v>56000</v>
      </c>
      <c r="U20" s="9" t="str">
        <v>June</v>
      </c>
      <c r="V20" s="9">
        <v>0</v>
      </c>
      <c r="W20" s="9" t="str">
        <v xml:space="preserve">PO received with software contract </v>
      </c>
      <c r="X20" s="9">
        <v>0</v>
      </c>
      <c r="Y20" s="9">
        <v>0</v>
      </c>
      <c r="Z20" s="9" t="str">
        <v>December</v>
      </c>
      <c r="AA20" s="9">
        <v>2233319</v>
      </c>
      <c r="AB20" s="9">
        <v>1291342</v>
      </c>
    </row>
    <row r="21" spans="1:28">
      <c r="A21" s="9">
        <v>14</v>
      </c>
      <c r="B21" s="9">
        <v>0</v>
      </c>
      <c r="C21" s="9" t="str">
        <v xml:space="preserve">Mahindra Vehicals Mf LTD </v>
      </c>
      <c r="D21" s="9" t="str">
        <v>Pune</v>
      </c>
      <c r="E21" s="9" t="str">
        <v>P Blk Store</v>
      </c>
      <c r="F21" s="9" t="str">
        <v>Anant Jadhav</v>
      </c>
      <c r="G21" s="9">
        <v>9503006627</v>
      </c>
      <c r="H21" s="9" t="str">
        <v>anant.jadhav@mahindra.com</v>
      </c>
      <c r="I21" s="9" t="str">
        <v>17004630/002</v>
      </c>
      <c r="J21" s="9" t="str">
        <v>Contract</v>
      </c>
      <c r="K21" s="9" t="str">
        <v>No</v>
      </c>
      <c r="L21" s="9" t="str">
        <v>KXIND/W/YD/MC/24032</v>
      </c>
      <c r="M21" s="9">
        <v>45419</v>
      </c>
      <c r="N21" s="9">
        <v>56000</v>
      </c>
      <c r="O21" s="9" t="str">
        <v>January</v>
      </c>
      <c r="P21" s="9" t="str">
        <v>June</v>
      </c>
      <c r="Q21" s="9">
        <v>0.7</v>
      </c>
      <c r="R21" s="9">
        <v>6500007595</v>
      </c>
      <c r="S21" s="9">
        <v>45820</v>
      </c>
      <c r="T21" s="9">
        <v>56000</v>
      </c>
      <c r="U21" s="9" t="str">
        <v>June</v>
      </c>
      <c r="V21" s="9">
        <v>0</v>
      </c>
      <c r="W21" s="9" t="str">
        <v xml:space="preserve">PO received with software contract </v>
      </c>
      <c r="X21" s="9">
        <v>0</v>
      </c>
      <c r="Y21" s="9">
        <v>0</v>
      </c>
    </row>
    <row r="22" spans="1:28">
      <c r="A22" s="9">
        <v>15</v>
      </c>
      <c r="B22" s="9">
        <v>45667</v>
      </c>
      <c r="C22" s="9" t="str">
        <v>Bajaj Auto Ltd</v>
      </c>
      <c r="D22" s="9" t="str">
        <v>Pune</v>
      </c>
      <c r="E22" s="9" t="str">
        <v>Engine Assembly</v>
      </c>
      <c r="F22" s="9" t="str">
        <v>Rajkumar Ajabe</v>
      </c>
      <c r="G22" s="9">
        <v>9613370060</v>
      </c>
      <c r="H22" s="9" t="str">
        <v>rrajabe@bajajauto.co.in</v>
      </c>
      <c r="I22" s="9" t="str">
        <v>17004630/003</v>
      </c>
      <c r="J22" s="9" t="str">
        <v>SPP</v>
      </c>
      <c r="K22" s="9" t="str">
        <v>Yes</v>
      </c>
      <c r="L22" s="9" t="str">
        <v>KXIND/W/YD/SPP/25018</v>
      </c>
      <c r="M22" s="9">
        <v>45701</v>
      </c>
      <c r="N22" s="9">
        <v>141032</v>
      </c>
      <c r="O22" s="9" t="str">
        <v>February</v>
      </c>
      <c r="P22" s="9" t="str">
        <v>June</v>
      </c>
      <c r="Q22" s="9">
        <v>0.5</v>
      </c>
      <c r="R22" s="9">
        <v>5210059205</v>
      </c>
      <c r="S22" s="9">
        <v>45793</v>
      </c>
      <c r="T22" s="9">
        <v>95742</v>
      </c>
      <c r="U22" s="9" t="str">
        <v>June</v>
      </c>
      <c r="V22" s="9">
        <v>-45290</v>
      </c>
      <c r="W22" s="9">
        <v>0</v>
      </c>
      <c r="X22" s="9">
        <v>0</v>
      </c>
      <c r="Y22" s="9">
        <v>0</v>
      </c>
    </row>
    <row r="23" spans="1:28">
      <c r="A23" s="9">
        <v>16</v>
      </c>
      <c r="B23" s="9">
        <v>45667</v>
      </c>
      <c r="C23" s="9" t="str">
        <v>ITC Ltd</v>
      </c>
      <c r="D23" s="9" t="str">
        <v>Pune</v>
      </c>
      <c r="E23" s="9" t="str">
        <v>Engineering stores</v>
      </c>
      <c r="F23" s="9" t="str">
        <v>Navanath Ekatpure</v>
      </c>
      <c r="G23" s="9">
        <v>9730478741</v>
      </c>
      <c r="H23" s="9" t="str">
        <v>navanath.ekatpure@itc.in</v>
      </c>
      <c r="I23" s="9" t="str">
        <v>09006715/001</v>
      </c>
      <c r="J23" s="9" t="str">
        <v>SPP</v>
      </c>
      <c r="K23" s="9" t="str">
        <v>Yes</v>
      </c>
      <c r="L23" s="9" t="str">
        <v>KXIND/W/YD/SPP/24052</v>
      </c>
      <c r="M23" s="9">
        <v>45607</v>
      </c>
      <c r="N23" s="9">
        <v>739430</v>
      </c>
      <c r="O23" s="9" t="str">
        <v>January</v>
      </c>
      <c r="P23" s="9" t="str">
        <v>May</v>
      </c>
      <c r="Q23" s="9">
        <v>0.5</v>
      </c>
      <c r="R23" s="9">
        <v>4700392647</v>
      </c>
      <c r="S23" s="9" t="str">
        <v>25.04.2025</v>
      </c>
      <c r="T23" s="9">
        <v>709852</v>
      </c>
      <c r="U23" s="9" t="str">
        <v>May</v>
      </c>
      <c r="V23" s="9">
        <v>-29578</v>
      </c>
      <c r="W23" s="9">
        <v>0</v>
      </c>
      <c r="X23" s="9">
        <v>0</v>
      </c>
      <c r="Y23" s="9">
        <v>0</v>
      </c>
    </row>
    <row r="24" spans="1:28">
      <c r="A24" s="9">
        <v>138</v>
      </c>
      <c r="B24" s="9">
        <v>45922</v>
      </c>
      <c r="C24" s="9" t="str">
        <v xml:space="preserve">Tata Motors LTD </v>
      </c>
      <c r="D24" s="9" t="str">
        <v>Pune</v>
      </c>
      <c r="E24" s="9" t="str">
        <v>Cblk Maint</v>
      </c>
      <c r="F24" s="9" t="str">
        <v>Amit sharma</v>
      </c>
      <c r="G24" s="9">
        <v>9011018387</v>
      </c>
      <c r="H24" s="9" t="str">
        <v>s.amit1@tatamotors.com</v>
      </c>
      <c r="I24" s="9" t="str">
        <v>06008006/001</v>
      </c>
      <c r="J24" s="9" t="str">
        <v>Software</v>
      </c>
      <c r="K24" s="9" t="str">
        <v>Yes</v>
      </c>
      <c r="L24" s="9" t="str">
        <v>KRIND/SA/OTH/520025</v>
      </c>
      <c r="M24" s="9">
        <v>45916</v>
      </c>
      <c r="N24" s="9">
        <v>1378000</v>
      </c>
      <c r="O24" s="9" t="str">
        <v>September</v>
      </c>
      <c r="P24" s="9" t="str">
        <v>December</v>
      </c>
      <c r="Q24" s="9">
        <v>0.3</v>
      </c>
      <c r="R24" s="9">
        <v>0</v>
      </c>
      <c r="S24" s="9">
        <v>0</v>
      </c>
      <c r="T24" s="9">
        <v>0</v>
      </c>
      <c r="U24" s="9">
        <v>0</v>
      </c>
      <c r="V24" s="9">
        <v>1378000</v>
      </c>
      <c r="W24" s="9">
        <v>0</v>
      </c>
      <c r="X24" s="9">
        <v>0</v>
      </c>
      <c r="Y24" s="9">
        <v>0</v>
      </c>
    </row>
    <row r="25" spans="1:28">
      <c r="A25" s="9">
        <v>18</v>
      </c>
      <c r="B25" s="9">
        <v>45667</v>
      </c>
      <c r="C25" s="9" t="str">
        <v xml:space="preserve">TOP Hydrofit PVT LTD </v>
      </c>
      <c r="D25" s="9" t="str">
        <v>Pune</v>
      </c>
      <c r="E25" s="9" t="str">
        <v>stores</v>
      </c>
      <c r="F25" s="9" t="str">
        <v>Hemant tarate</v>
      </c>
      <c r="G25" s="9">
        <v>9881134849</v>
      </c>
      <c r="H25" s="9" t="str">
        <v>info@tophydrofit.com</v>
      </c>
      <c r="I25" s="9" t="str">
        <v>11001071/001</v>
      </c>
      <c r="J25" s="9" t="str">
        <v>SPP</v>
      </c>
      <c r="K25" s="9" t="str">
        <v>Yes</v>
      </c>
      <c r="L25" s="9" t="str">
        <v>KXIND/W/YD/SPP/24055</v>
      </c>
      <c r="M25" s="9">
        <v>45334</v>
      </c>
      <c r="N25" s="9">
        <v>0</v>
      </c>
      <c r="O25" s="9" t="str">
        <v>January</v>
      </c>
      <c r="P25" s="9" t="str">
        <v>July</v>
      </c>
      <c r="Q25" s="9">
        <v>0.3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</row>
    <row r="26" spans="1:28">
      <c r="A26" s="9">
        <v>19</v>
      </c>
      <c r="B26" s="9">
        <v>45667</v>
      </c>
      <c r="C26" s="9" t="str">
        <v xml:space="preserve">GIC Instruments Pvt Ltd </v>
      </c>
      <c r="D26" s="9" t="str">
        <v>Pune</v>
      </c>
      <c r="E26" s="9" t="str">
        <v>stores</v>
      </c>
      <c r="F26" s="9" t="str">
        <v>Ajinkya Desale</v>
      </c>
      <c r="G26" s="9">
        <v>9403849891</v>
      </c>
      <c r="H26" s="9" t="str">
        <v>ajinkya.dhekale@gicindia.com</v>
      </c>
      <c r="I26" s="9" t="str">
        <v>08010151/001</v>
      </c>
      <c r="J26" s="9" t="str">
        <v>SPP</v>
      </c>
      <c r="K26" s="9" t="str">
        <v>Yes</v>
      </c>
      <c r="L26" s="9" t="str">
        <v>KXIND/W/YD/SPP/24063</v>
      </c>
      <c r="M26" s="9" t="str">
        <v>12/12/204</v>
      </c>
      <c r="N26" s="9">
        <v>35000</v>
      </c>
      <c r="O26" s="9" t="str">
        <v>January</v>
      </c>
      <c r="P26" s="9" t="str">
        <v>January</v>
      </c>
      <c r="Q26" s="9">
        <v>0.7</v>
      </c>
      <c r="R26" s="9">
        <v>7356</v>
      </c>
      <c r="S26" s="9">
        <v>45667</v>
      </c>
      <c r="T26" s="9">
        <v>35000</v>
      </c>
      <c r="U26" s="9" t="str">
        <v>January</v>
      </c>
      <c r="V26" s="9">
        <v>0</v>
      </c>
      <c r="W26" s="9">
        <v>0</v>
      </c>
      <c r="X26" s="9">
        <v>0</v>
      </c>
      <c r="Y26" s="9" t="str">
        <v>17/1/2025</v>
      </c>
    </row>
    <row r="27" spans="1:28">
      <c r="A27" s="9">
        <v>20</v>
      </c>
      <c r="B27" s="9">
        <v>45667</v>
      </c>
      <c r="C27" s="9" t="str">
        <v xml:space="preserve">Mahindra Vehicals Mf LTD </v>
      </c>
      <c r="D27" s="9" t="str">
        <v>Pune</v>
      </c>
      <c r="E27" s="9" t="str">
        <v>Pblock Logistics</v>
      </c>
      <c r="F27" s="9" t="str">
        <v>Rahul Adhav</v>
      </c>
      <c r="G27" s="9">
        <v>8983467616</v>
      </c>
      <c r="H27" s="9" t="str">
        <v>ADHAV.RAHUL@mahindra.com</v>
      </c>
      <c r="I27" s="9" t="str">
        <v>17001697/004</v>
      </c>
      <c r="J27" s="9" t="str">
        <v>SPP</v>
      </c>
      <c r="K27" s="9" t="str">
        <v>Yes</v>
      </c>
      <c r="L27" s="9" t="str">
        <v>KXIND/W/YD/SPP/24062</v>
      </c>
      <c r="M27" s="9">
        <v>45638</v>
      </c>
      <c r="N27" s="9">
        <v>647302</v>
      </c>
      <c r="O27" s="9" t="str">
        <v>January</v>
      </c>
      <c r="P27" s="9" t="str">
        <v>September</v>
      </c>
      <c r="Q27" s="9">
        <v>0.7</v>
      </c>
      <c r="R27" s="9">
        <v>66020580</v>
      </c>
      <c r="S27" s="9">
        <v>45957</v>
      </c>
      <c r="T27" s="9">
        <v>649648</v>
      </c>
      <c r="U27" s="9" t="str">
        <v>October</v>
      </c>
      <c r="V27" s="9">
        <v>2346</v>
      </c>
      <c r="W27" s="9" t="str">
        <v>Customer Budget Peocess unlock on 18th.April so request for Pricing on ARIBA will be received 2nd.Week of May</v>
      </c>
      <c r="X27" s="9">
        <v>0</v>
      </c>
      <c r="Y27" s="9">
        <v>0</v>
      </c>
    </row>
    <row r="28" spans="1:28">
      <c r="A28" s="9">
        <v>21</v>
      </c>
      <c r="B28" s="9">
        <v>45668</v>
      </c>
      <c r="C28" s="9" t="str">
        <v>Bosch Chassis Systems India Ltd</v>
      </c>
      <c r="D28" s="9" t="str">
        <v>Pune</v>
      </c>
      <c r="E28" s="9" t="str">
        <v>maintenance store</v>
      </c>
      <c r="F28" s="9" t="str">
        <v>Pratap Jagdale</v>
      </c>
      <c r="G28" s="9">
        <v>9970010738</v>
      </c>
      <c r="H28" s="9" t="str">
        <v>Pratap.Jagadale@in.bosch.com</v>
      </c>
      <c r="I28" s="9" t="str">
        <v>19004857/001</v>
      </c>
      <c r="J28" s="9" t="str">
        <v>Contract</v>
      </c>
      <c r="K28" s="9" t="str">
        <v>No</v>
      </c>
      <c r="L28" s="9" t="str">
        <v>KXIND/W/YD/MC/24066</v>
      </c>
      <c r="M28" s="9">
        <v>45644</v>
      </c>
      <c r="N28" s="9">
        <v>73500</v>
      </c>
      <c r="O28" s="9" t="str">
        <v>January</v>
      </c>
      <c r="P28" s="9" t="str">
        <v>January</v>
      </c>
      <c r="Q28" s="9">
        <v>1</v>
      </c>
      <c r="R28" s="9">
        <v>85375744</v>
      </c>
      <c r="S28" s="9">
        <v>45658</v>
      </c>
      <c r="T28" s="9">
        <v>73500</v>
      </c>
      <c r="U28" s="9" t="str">
        <v>January</v>
      </c>
      <c r="V28" s="9">
        <v>0</v>
      </c>
      <c r="W28" s="9">
        <v>0</v>
      </c>
      <c r="X28" s="9">
        <v>0</v>
      </c>
      <c r="Y28" s="9">
        <v>0</v>
      </c>
    </row>
    <row r="29" spans="1:28">
      <c r="A29" s="9">
        <v>22</v>
      </c>
      <c r="B29" s="9">
        <v>45668</v>
      </c>
      <c r="C29" s="9" t="str">
        <v>Coesia India Pvt.Ltd.</v>
      </c>
      <c r="D29" s="9" t="str">
        <v>Pune</v>
      </c>
      <c r="E29" s="9" t="str">
        <v>stores</v>
      </c>
      <c r="F29" s="9" t="str">
        <v>D.Kadam</v>
      </c>
      <c r="G29" s="9">
        <v>9552599231</v>
      </c>
      <c r="H29" s="9" t="str">
        <v>dnyaneshwar.kadam@coesia.com</v>
      </c>
      <c r="I29" s="9" t="str">
        <v>16000669/001</v>
      </c>
      <c r="J29" s="9" t="str">
        <v>Contract</v>
      </c>
      <c r="K29" s="9" t="str">
        <v>No</v>
      </c>
      <c r="L29" s="9" t="str">
        <v>KXIND/W/YD/MC/24069</v>
      </c>
      <c r="M29" s="9">
        <v>45644</v>
      </c>
      <c r="N29" s="9">
        <v>83040</v>
      </c>
      <c r="O29" s="9" t="str">
        <v>January</v>
      </c>
      <c r="P29" s="9" t="str">
        <v>January</v>
      </c>
      <c r="Q29" s="9">
        <v>0.8</v>
      </c>
      <c r="R29" s="9" t="str">
        <v>CGT250008</v>
      </c>
      <c r="S29" s="9">
        <v>45677</v>
      </c>
      <c r="T29" s="9">
        <v>83040</v>
      </c>
      <c r="U29" s="9" t="str">
        <v>January</v>
      </c>
      <c r="V29" s="9">
        <v>0</v>
      </c>
      <c r="W29" s="9" t="str">
        <v>PO with software contract S/C value 25043</v>
      </c>
      <c r="X29" s="9">
        <v>0</v>
      </c>
      <c r="Y29" s="9">
        <v>0</v>
      </c>
    </row>
    <row r="30" spans="1:28">
      <c r="A30" s="9">
        <v>23</v>
      </c>
      <c r="B30" s="9">
        <v>0</v>
      </c>
      <c r="C30" s="9" t="str">
        <v>Coesia India Pvt.Ltd.</v>
      </c>
      <c r="D30" s="9" t="str">
        <v>Pune</v>
      </c>
      <c r="E30" s="9" t="str">
        <v>stores</v>
      </c>
      <c r="F30" s="9" t="str">
        <v>D.Kadam</v>
      </c>
      <c r="G30" s="9">
        <v>9552599231</v>
      </c>
      <c r="H30" s="9" t="str">
        <v>dnyaneshwar.kadam@coesia.com</v>
      </c>
      <c r="I30" s="9" t="str">
        <v>16000668/001</v>
      </c>
      <c r="J30" s="9" t="str">
        <v>Contract</v>
      </c>
      <c r="K30" s="9" t="str">
        <v>No</v>
      </c>
      <c r="L30" s="9" t="str">
        <v>KXIND/W/YD/MC/24069</v>
      </c>
      <c r="M30" s="9">
        <v>45644</v>
      </c>
      <c r="N30" s="9">
        <v>83040</v>
      </c>
      <c r="O30" s="9" t="str">
        <v>January</v>
      </c>
      <c r="P30" s="9" t="str">
        <v>January</v>
      </c>
      <c r="Q30" s="9">
        <v>0.8</v>
      </c>
      <c r="R30" s="9" t="str">
        <v>CGT250008</v>
      </c>
      <c r="S30" s="9">
        <v>45677</v>
      </c>
      <c r="T30" s="9">
        <v>83040</v>
      </c>
      <c r="U30" s="9" t="str">
        <v>January</v>
      </c>
      <c r="V30" s="9">
        <v>0</v>
      </c>
      <c r="W30" s="9" t="str">
        <v>PO with software contract S/C value 25043</v>
      </c>
      <c r="X30" s="9">
        <v>0</v>
      </c>
      <c r="Y30" s="9">
        <v>0</v>
      </c>
    </row>
    <row r="31" spans="1:28">
      <c r="A31" s="9">
        <v>24</v>
      </c>
      <c r="B31" s="9">
        <v>45668</v>
      </c>
      <c r="C31" s="9" t="str">
        <v>Eagle Burgmann India Pvt Ltd</v>
      </c>
      <c r="D31" s="9" t="str">
        <v>Pune</v>
      </c>
      <c r="E31" s="9" t="str">
        <v>stores</v>
      </c>
      <c r="F31" s="9" t="str">
        <v>Mahesh Hole</v>
      </c>
      <c r="G31" s="9">
        <v>9373850080</v>
      </c>
      <c r="H31" s="9" t="str">
        <v>Mahesh.Hole@in.eagleburgmann.com</v>
      </c>
      <c r="I31" s="9" t="str">
        <v>08004851/001</v>
      </c>
      <c r="J31" s="9" t="str">
        <v>Contract</v>
      </c>
      <c r="K31" s="9" t="str">
        <v>No</v>
      </c>
      <c r="L31" s="9" t="str">
        <v>KXIND/W/YD/MC/24071</v>
      </c>
      <c r="M31" s="9">
        <v>45644</v>
      </c>
      <c r="N31" s="9">
        <v>160000</v>
      </c>
      <c r="O31" s="9" t="str">
        <v>January</v>
      </c>
      <c r="P31" s="9" t="str">
        <v>February</v>
      </c>
      <c r="Q31" s="9">
        <v>0.8</v>
      </c>
      <c r="R31" s="9">
        <v>2481406</v>
      </c>
      <c r="S31" s="9">
        <v>45673</v>
      </c>
      <c r="T31" s="9">
        <v>160000</v>
      </c>
      <c r="U31" s="9" t="str">
        <v>February</v>
      </c>
      <c r="V31" s="9">
        <v>0</v>
      </c>
      <c r="W31" s="9">
        <v>0</v>
      </c>
      <c r="X31" s="9">
        <v>0</v>
      </c>
      <c r="Y31" s="9">
        <v>0</v>
      </c>
    </row>
    <row r="32" spans="1:28">
      <c r="A32" s="9">
        <v>25</v>
      </c>
      <c r="B32" s="9">
        <v>45668</v>
      </c>
      <c r="C32" s="9" t="str">
        <v>Harman International (I) Pvt Ltd</v>
      </c>
      <c r="D32" s="9" t="str">
        <v>Pune</v>
      </c>
      <c r="E32" s="9" t="str">
        <v>stores</v>
      </c>
      <c r="F32" s="9" t="str">
        <v>Santosh Deshmukh</v>
      </c>
      <c r="G32" s="9">
        <v>9552599231</v>
      </c>
      <c r="H32" s="9" t="str">
        <v>santosh.deshmukh@harman.com</v>
      </c>
      <c r="I32" s="9" t="str">
        <v>19005224/001</v>
      </c>
      <c r="J32" s="9" t="str">
        <v>Contract</v>
      </c>
      <c r="K32" s="9" t="str">
        <v>No</v>
      </c>
      <c r="L32" s="9" t="str">
        <v>KXIND/W/YD/MC/24067</v>
      </c>
      <c r="M32" s="9">
        <v>45644</v>
      </c>
      <c r="N32" s="9">
        <v>93000</v>
      </c>
      <c r="O32" s="9" t="str">
        <v>January</v>
      </c>
      <c r="P32" s="9" t="str">
        <v>February</v>
      </c>
      <c r="Q32" s="9">
        <v>0.8</v>
      </c>
      <c r="R32" s="9">
        <v>7700326717</v>
      </c>
      <c r="S32" s="9">
        <v>45779</v>
      </c>
      <c r="T32" s="9">
        <v>93000</v>
      </c>
      <c r="U32" s="9" t="str">
        <v>February</v>
      </c>
      <c r="V32" s="9">
        <v>0</v>
      </c>
      <c r="W32" s="9">
        <v>0</v>
      </c>
      <c r="X32" s="9">
        <v>0</v>
      </c>
      <c r="Y32" s="9">
        <v>0</v>
      </c>
    </row>
    <row r="33" spans="1:25">
      <c r="A33" s="9">
        <v>26</v>
      </c>
      <c r="B33" s="9">
        <v>0</v>
      </c>
      <c r="C33" s="9" t="str">
        <v>Harman International (I) Pvt Ltd</v>
      </c>
      <c r="D33" s="9" t="str">
        <v>Pune</v>
      </c>
      <c r="E33" s="9" t="str">
        <v>stores</v>
      </c>
      <c r="F33" s="9" t="str">
        <v>Santosh Deshmukh</v>
      </c>
      <c r="G33" s="9">
        <v>9552599231</v>
      </c>
      <c r="H33" s="9" t="str">
        <v>santosh.deshmukh@harman.com</v>
      </c>
      <c r="I33" s="9" t="str">
        <v>19005224/002</v>
      </c>
      <c r="J33" s="9" t="str">
        <v>Contract</v>
      </c>
      <c r="K33" s="9" t="str">
        <v>No</v>
      </c>
      <c r="L33" s="9" t="str">
        <v>KXIND/W/YD/MC/24067</v>
      </c>
      <c r="M33" s="9">
        <v>45644</v>
      </c>
      <c r="N33" s="9">
        <v>93000</v>
      </c>
      <c r="O33" s="9" t="str">
        <v>January</v>
      </c>
      <c r="P33" s="9" t="str">
        <v>February</v>
      </c>
      <c r="Q33" s="9">
        <v>0.8</v>
      </c>
      <c r="R33" s="9">
        <v>7700326717</v>
      </c>
      <c r="S33" s="9">
        <v>45779</v>
      </c>
      <c r="T33" s="9">
        <v>93000</v>
      </c>
      <c r="U33" s="9" t="str">
        <v>February</v>
      </c>
      <c r="V33" s="9">
        <v>0</v>
      </c>
      <c r="W33" s="9">
        <v>0</v>
      </c>
      <c r="X33" s="9">
        <v>0</v>
      </c>
      <c r="Y33" s="9">
        <v>0</v>
      </c>
    </row>
    <row r="34" spans="1:25">
      <c r="A34" s="9">
        <v>27</v>
      </c>
      <c r="B34" s="9">
        <v>0</v>
      </c>
      <c r="C34" s="9" t="str">
        <v>Harman International (I) Pvt Ltd</v>
      </c>
      <c r="D34" s="9" t="str">
        <v>Pune</v>
      </c>
      <c r="E34" s="9" t="str">
        <v>stores</v>
      </c>
      <c r="F34" s="9" t="str">
        <v>Santosh Deshmukh</v>
      </c>
      <c r="G34" s="9">
        <v>9552599231</v>
      </c>
      <c r="H34" s="9" t="str">
        <v>santosh.deshmukh@harman.com</v>
      </c>
      <c r="I34" s="9" t="str">
        <v>19005224/003</v>
      </c>
      <c r="J34" s="9" t="str">
        <v>Contract</v>
      </c>
      <c r="K34" s="9" t="str">
        <v>No</v>
      </c>
      <c r="L34" s="9" t="str">
        <v>KXIND/W/YD/MC/24067</v>
      </c>
      <c r="M34" s="9">
        <v>45644</v>
      </c>
      <c r="N34" s="9">
        <v>93000</v>
      </c>
      <c r="O34" s="9" t="str">
        <v>January</v>
      </c>
      <c r="P34" s="9" t="str">
        <v>February</v>
      </c>
      <c r="Q34" s="9">
        <v>0.8</v>
      </c>
      <c r="R34" s="9">
        <v>7700326717</v>
      </c>
      <c r="S34" s="9">
        <v>45779</v>
      </c>
      <c r="T34" s="9">
        <v>93000</v>
      </c>
      <c r="U34" s="9" t="str">
        <v>February</v>
      </c>
      <c r="V34" s="9">
        <v>0</v>
      </c>
      <c r="W34" s="9">
        <v>0</v>
      </c>
      <c r="X34" s="9">
        <v>0</v>
      </c>
      <c r="Y34" s="9">
        <v>0</v>
      </c>
    </row>
    <row r="35" spans="1:25">
      <c r="A35" s="9">
        <v>28</v>
      </c>
      <c r="B35" s="9">
        <v>0</v>
      </c>
      <c r="C35" s="9" t="str">
        <v>Harman International (I) Pvt Ltd</v>
      </c>
      <c r="D35" s="9" t="str">
        <v>Pune</v>
      </c>
      <c r="E35" s="9" t="str">
        <v>stores</v>
      </c>
      <c r="F35" s="9" t="str">
        <v>Santosh Deshmukh</v>
      </c>
      <c r="G35" s="9">
        <v>9552599231</v>
      </c>
      <c r="H35" s="9" t="str">
        <v>santosh.deshmukh@harman.com</v>
      </c>
      <c r="I35" s="9" t="str">
        <v>23002397/001</v>
      </c>
      <c r="J35" s="9" t="str">
        <v>Contract</v>
      </c>
      <c r="K35" s="9" t="str">
        <v>No</v>
      </c>
      <c r="L35" s="9" t="str">
        <v>KXIND/W/YD/MC/24067</v>
      </c>
      <c r="M35" s="9">
        <v>45644</v>
      </c>
      <c r="N35" s="9">
        <v>93000</v>
      </c>
      <c r="O35" s="9" t="str">
        <v>January</v>
      </c>
      <c r="P35" s="9" t="str">
        <v>February</v>
      </c>
      <c r="Q35" s="9">
        <v>0.8</v>
      </c>
      <c r="R35" s="9">
        <v>7700326717</v>
      </c>
      <c r="S35" s="9">
        <v>45779</v>
      </c>
      <c r="T35" s="9">
        <v>93000</v>
      </c>
      <c r="U35" s="9" t="str">
        <v>February</v>
      </c>
      <c r="V35" s="9">
        <v>0</v>
      </c>
      <c r="W35" s="9">
        <v>0</v>
      </c>
      <c r="X35" s="9">
        <v>0</v>
      </c>
      <c r="Y35" s="9">
        <v>0</v>
      </c>
    </row>
    <row r="36" spans="1:25">
      <c r="A36" s="9">
        <v>29</v>
      </c>
      <c r="B36" s="9">
        <v>45668</v>
      </c>
      <c r="C36" s="9" t="str">
        <v xml:space="preserve">Klug avalon mechatronics </v>
      </c>
      <c r="D36" s="9" t="str">
        <v>Pune</v>
      </c>
      <c r="E36" s="9" t="str">
        <v>stores</v>
      </c>
      <c r="F36" s="9" t="str">
        <v>N.Patil</v>
      </c>
      <c r="G36" s="9">
        <v>9271117805</v>
      </c>
      <c r="H36" s="9" t="str">
        <v>rms@klugavalon.com</v>
      </c>
      <c r="I36" s="9" t="str">
        <v>16007512/001</v>
      </c>
      <c r="J36" s="9" t="str">
        <v>Contract</v>
      </c>
      <c r="K36" s="9" t="str">
        <v>No</v>
      </c>
      <c r="L36" s="9" t="str">
        <v>KXIND/W/YD/MC/24072</v>
      </c>
      <c r="M36" s="9">
        <v>45644</v>
      </c>
      <c r="N36" s="9">
        <v>60000</v>
      </c>
      <c r="O36" s="9" t="str">
        <v>January</v>
      </c>
      <c r="P36" s="9" t="str">
        <v>February</v>
      </c>
      <c r="Q36" s="9">
        <v>0.8</v>
      </c>
      <c r="R36" s="9">
        <v>7388</v>
      </c>
      <c r="S36" s="9">
        <v>45667</v>
      </c>
      <c r="T36" s="9">
        <v>60000</v>
      </c>
      <c r="U36" s="9" t="str">
        <v>February</v>
      </c>
      <c r="V36" s="9">
        <v>0</v>
      </c>
      <c r="W36" s="9">
        <v>0</v>
      </c>
      <c r="X36" s="9">
        <v>0</v>
      </c>
      <c r="Y36" s="9">
        <v>0</v>
      </c>
    </row>
    <row r="37" spans="1:25">
      <c r="A37" s="9">
        <v>30</v>
      </c>
      <c r="B37" s="9">
        <v>45668</v>
      </c>
      <c r="C37" s="9" t="str">
        <v>Schaeffler India Limited</v>
      </c>
      <c r="D37" s="9" t="str">
        <v>Pune</v>
      </c>
      <c r="E37" s="9" t="str">
        <v>Tool Room</v>
      </c>
      <c r="F37" s="9" t="str">
        <v>Ananda. A</v>
      </c>
      <c r="G37" s="9">
        <v>9923177609</v>
      </c>
      <c r="H37" s="9" t="str">
        <v>asoduaan@schaeffler.com</v>
      </c>
      <c r="I37" s="9" t="str">
        <v>19004014/001</v>
      </c>
      <c r="J37" s="9" t="str">
        <v>Contract</v>
      </c>
      <c r="K37" s="9" t="str">
        <v>No</v>
      </c>
      <c r="L37" s="9" t="str">
        <v>KXIND/W/YD/MC/24076</v>
      </c>
      <c r="M37" s="9">
        <v>45653</v>
      </c>
      <c r="N37" s="9">
        <v>67000</v>
      </c>
      <c r="O37" s="9" t="str">
        <v>January</v>
      </c>
      <c r="P37" s="9" t="str">
        <v>January</v>
      </c>
      <c r="Q37" s="9">
        <v>0.8</v>
      </c>
      <c r="R37" s="9" t="str">
        <v>0042 / Y20 / 38369028</v>
      </c>
      <c r="S37" s="9">
        <v>45671</v>
      </c>
      <c r="T37" s="9">
        <v>67000</v>
      </c>
      <c r="U37" s="9" t="str">
        <v>January</v>
      </c>
      <c r="V37" s="9">
        <v>0</v>
      </c>
      <c r="W37" s="9">
        <v>0</v>
      </c>
      <c r="X37" s="9">
        <v>0</v>
      </c>
      <c r="Y37" s="9">
        <v>0</v>
      </c>
    </row>
    <row r="38" spans="1:25">
      <c r="A38" s="9">
        <v>31</v>
      </c>
      <c r="B38" s="9">
        <v>0</v>
      </c>
      <c r="C38" s="9" t="str">
        <v>Schaeffler India Limited</v>
      </c>
      <c r="D38" s="9" t="str">
        <v>Pune</v>
      </c>
      <c r="E38" s="9" t="str">
        <v>Tool Room</v>
      </c>
      <c r="F38" s="9" t="str">
        <v>Ananda. A</v>
      </c>
      <c r="G38" s="9">
        <v>9923177609</v>
      </c>
      <c r="H38" s="9" t="str">
        <v>asoduaan@schaeffler.com</v>
      </c>
      <c r="I38" s="9">
        <v>102006187</v>
      </c>
      <c r="J38" s="9" t="str">
        <v>Contract</v>
      </c>
      <c r="K38" s="9" t="str">
        <v>No</v>
      </c>
      <c r="L38" s="9" t="str">
        <v>KXIND/W/YD/MC/24076</v>
      </c>
      <c r="M38" s="9">
        <v>45653</v>
      </c>
      <c r="N38" s="9">
        <v>67000</v>
      </c>
      <c r="O38" s="9" t="str">
        <v>January</v>
      </c>
      <c r="P38" s="9" t="str">
        <v>January</v>
      </c>
      <c r="Q38" s="9">
        <v>0.8</v>
      </c>
      <c r="R38" s="9" t="str">
        <v>0042 / Y20 / 38414491</v>
      </c>
      <c r="S38" s="9">
        <v>45664</v>
      </c>
      <c r="T38" s="9">
        <v>67000</v>
      </c>
      <c r="U38" s="9" t="str">
        <v>January</v>
      </c>
      <c r="V38" s="9">
        <v>0</v>
      </c>
      <c r="W38" s="9">
        <v>0</v>
      </c>
      <c r="X38" s="9">
        <v>0</v>
      </c>
      <c r="Y38" s="9">
        <v>0</v>
      </c>
    </row>
    <row r="39" spans="1:25">
      <c r="A39" s="9">
        <v>32</v>
      </c>
      <c r="B39" s="9">
        <v>45668</v>
      </c>
      <c r="C39" s="9" t="str">
        <v>Tetra Pak India Pvt Ltd</v>
      </c>
      <c r="D39" s="9" t="str">
        <v>Pune</v>
      </c>
      <c r="E39" s="9" t="str">
        <v>Spare stores</v>
      </c>
      <c r="F39" s="9" t="str">
        <v>Vivek Kamya</v>
      </c>
      <c r="G39" s="9" t="str">
        <v>+91 9850 8069 74</v>
      </c>
      <c r="H39" s="9" t="str">
        <v>Vivek.Kyama@tetrapak.com</v>
      </c>
      <c r="I39" s="9" t="str">
        <v>07009761/001</v>
      </c>
      <c r="J39" s="9" t="str">
        <v>Contract</v>
      </c>
      <c r="K39" s="9" t="str">
        <v>No</v>
      </c>
      <c r="L39" s="9" t="str">
        <v>KXIND/W/YD/MC/24070</v>
      </c>
      <c r="M39" s="9">
        <v>45644</v>
      </c>
      <c r="N39" s="9">
        <v>96000</v>
      </c>
      <c r="O39" s="9" t="str">
        <v>January</v>
      </c>
      <c r="P39" s="9" t="str">
        <v>February</v>
      </c>
      <c r="Q39" s="9">
        <v>0.8</v>
      </c>
      <c r="R39" s="9">
        <v>927358056</v>
      </c>
      <c r="S39" s="9">
        <v>45672</v>
      </c>
      <c r="T39" s="9">
        <v>96000</v>
      </c>
      <c r="U39" s="9" t="str">
        <v>February</v>
      </c>
      <c r="V39" s="9">
        <v>0</v>
      </c>
      <c r="W39" s="9">
        <v>0</v>
      </c>
      <c r="X39" s="9">
        <v>0</v>
      </c>
      <c r="Y39" s="9">
        <v>0</v>
      </c>
    </row>
    <row r="40" spans="1:25">
      <c r="A40" s="9">
        <v>33</v>
      </c>
      <c r="B40" s="9">
        <v>45668</v>
      </c>
      <c r="C40" s="9" t="str">
        <v>Tata motors passenger vehicles Limted (Tata Motors Ltd)</v>
      </c>
      <c r="D40" s="9" t="str">
        <v>Pune</v>
      </c>
      <c r="E40" s="9" t="str">
        <v>Logistics</v>
      </c>
      <c r="F40" s="9" t="str">
        <v>Ravindra wani</v>
      </c>
      <c r="G40" s="9">
        <v>7276004059</v>
      </c>
      <c r="H40" s="9" t="str">
        <v>ravindra.wani@tatamotors.com</v>
      </c>
      <c r="I40" s="9" t="str">
        <v>08000931/001</v>
      </c>
      <c r="J40" s="9" t="str">
        <v>Contract</v>
      </c>
      <c r="K40" s="9" t="str">
        <v>No</v>
      </c>
      <c r="L40" s="9" t="str">
        <v>KXIND/W/YD/MC/24057</v>
      </c>
      <c r="M40" s="9">
        <v>45424</v>
      </c>
      <c r="N40" s="9">
        <v>82080</v>
      </c>
      <c r="O40" s="9" t="str">
        <v>January</v>
      </c>
      <c r="P40" s="9" t="str">
        <v>April</v>
      </c>
      <c r="Q40" s="9">
        <v>0.7</v>
      </c>
      <c r="R40" s="9">
        <v>2265005504</v>
      </c>
      <c r="S40" s="9">
        <v>45754</v>
      </c>
      <c r="T40" s="9">
        <v>82080</v>
      </c>
      <c r="U40" s="9" t="str">
        <v>April</v>
      </c>
      <c r="V40" s="9">
        <v>0</v>
      </c>
      <c r="W40" s="9">
        <v>0</v>
      </c>
      <c r="X40" s="9">
        <v>0</v>
      </c>
      <c r="Y40" s="9">
        <v>0</v>
      </c>
    </row>
    <row r="41" spans="1:25">
      <c r="A41" s="9">
        <v>34</v>
      </c>
      <c r="B41" s="9">
        <v>0</v>
      </c>
      <c r="C41" s="9" t="str">
        <v>Tata motors passenger vehicles Limted (Tata Motors Ltd)</v>
      </c>
      <c r="D41" s="9" t="str">
        <v>Pune</v>
      </c>
      <c r="E41" s="9" t="str">
        <v>Logistics</v>
      </c>
      <c r="F41" s="9" t="str">
        <v>Ravindra wani</v>
      </c>
      <c r="G41" s="9">
        <v>7276004060</v>
      </c>
      <c r="H41" s="9" t="str">
        <v>ravindra.wani@tatamotors.com</v>
      </c>
      <c r="I41" s="9" t="str">
        <v>08000931/002</v>
      </c>
      <c r="J41" s="9" t="str">
        <v>Contract</v>
      </c>
      <c r="K41" s="9" t="str">
        <v>No</v>
      </c>
      <c r="L41" s="9" t="str">
        <v>KXIND/W/YD/MC/24057</v>
      </c>
      <c r="M41" s="9">
        <v>45424</v>
      </c>
      <c r="N41" s="9">
        <v>82080</v>
      </c>
      <c r="O41" s="9" t="str">
        <v>January</v>
      </c>
      <c r="P41" s="9" t="str">
        <v>April</v>
      </c>
      <c r="Q41" s="9">
        <v>0.7</v>
      </c>
      <c r="R41" s="9">
        <v>2265005504</v>
      </c>
      <c r="S41" s="9">
        <v>45754</v>
      </c>
      <c r="T41" s="9">
        <v>82080</v>
      </c>
      <c r="U41" s="9" t="str">
        <v>April</v>
      </c>
      <c r="V41" s="9">
        <v>0</v>
      </c>
      <c r="W41" s="9">
        <v>0</v>
      </c>
      <c r="X41" s="9">
        <v>0</v>
      </c>
      <c r="Y41" s="9">
        <v>0</v>
      </c>
    </row>
    <row r="42" spans="1:25">
      <c r="A42" s="9">
        <v>35</v>
      </c>
      <c r="B42" s="9">
        <v>0</v>
      </c>
      <c r="C42" s="9" t="str">
        <v>Tata motors passenger vehicles Limted (Tata Motors Ltd)</v>
      </c>
      <c r="D42" s="9" t="str">
        <v>Pune</v>
      </c>
      <c r="E42" s="9" t="str">
        <v>Logistics</v>
      </c>
      <c r="F42" s="9" t="str">
        <v>Ravindra wani</v>
      </c>
      <c r="G42" s="9">
        <v>7276004061</v>
      </c>
      <c r="H42" s="9" t="str">
        <v>ravindra.wani@tatamotors.com</v>
      </c>
      <c r="I42" s="9" t="str">
        <v>07000901/001</v>
      </c>
      <c r="J42" s="9" t="str">
        <v>Contract</v>
      </c>
      <c r="K42" s="9" t="str">
        <v>No</v>
      </c>
      <c r="L42" s="9" t="str">
        <v>KXIND/W/YD/MC/24057</v>
      </c>
      <c r="M42" s="9">
        <v>45424</v>
      </c>
      <c r="N42" s="9">
        <v>82080</v>
      </c>
      <c r="O42" s="9" t="str">
        <v>January</v>
      </c>
      <c r="P42" s="9" t="str">
        <v>April</v>
      </c>
      <c r="Q42" s="9">
        <v>0.7</v>
      </c>
      <c r="R42" s="9">
        <v>2265005504</v>
      </c>
      <c r="S42" s="9">
        <v>45754</v>
      </c>
      <c r="T42" s="9">
        <v>82080</v>
      </c>
      <c r="U42" s="9" t="str">
        <v>April</v>
      </c>
      <c r="V42" s="9">
        <v>0</v>
      </c>
      <c r="W42" s="9">
        <v>0</v>
      </c>
      <c r="X42" s="9">
        <v>0</v>
      </c>
      <c r="Y42" s="9">
        <v>0</v>
      </c>
    </row>
    <row r="43" spans="1:25">
      <c r="A43" s="9">
        <v>36</v>
      </c>
      <c r="B43" s="9">
        <v>0</v>
      </c>
      <c r="C43" s="9" t="str">
        <v>Tata motors passenger vehicles Limted (Tata Motors Ltd)</v>
      </c>
      <c r="D43" s="9" t="str">
        <v>Pune</v>
      </c>
      <c r="E43" s="9" t="str">
        <v>Logistics</v>
      </c>
      <c r="F43" s="9" t="str">
        <v>Ravindra wani</v>
      </c>
      <c r="G43" s="9">
        <v>7276004062</v>
      </c>
      <c r="H43" s="9" t="str">
        <v>ravindra.wani@tatamotors.com</v>
      </c>
      <c r="I43" s="9" t="str">
        <v>07000901/002</v>
      </c>
      <c r="J43" s="9" t="str">
        <v>Contract</v>
      </c>
      <c r="K43" s="9" t="str">
        <v>No</v>
      </c>
      <c r="L43" s="9" t="str">
        <v>KXIND/W/YD/MC/24057</v>
      </c>
      <c r="M43" s="9">
        <v>45424</v>
      </c>
      <c r="N43" s="9">
        <v>82080</v>
      </c>
      <c r="O43" s="9" t="str">
        <v>January</v>
      </c>
      <c r="P43" s="9" t="str">
        <v>April</v>
      </c>
      <c r="Q43" s="9">
        <v>0.7</v>
      </c>
      <c r="R43" s="9">
        <v>2265005504</v>
      </c>
      <c r="S43" s="9">
        <v>45754</v>
      </c>
      <c r="T43" s="9">
        <v>82080</v>
      </c>
      <c r="U43" s="9" t="str">
        <v>April</v>
      </c>
      <c r="V43" s="9">
        <v>0</v>
      </c>
      <c r="W43" s="9">
        <v>0</v>
      </c>
      <c r="X43" s="9">
        <v>0</v>
      </c>
      <c r="Y43" s="9">
        <v>0</v>
      </c>
    </row>
    <row r="44" spans="1:25">
      <c r="A44" s="9">
        <v>37</v>
      </c>
      <c r="B44" s="9">
        <v>0</v>
      </c>
      <c r="C44" s="9" t="str">
        <v>Tata motors passenger vehicles Limted (Tata Motors Ltd)</v>
      </c>
      <c r="D44" s="9" t="str">
        <v>Pune</v>
      </c>
      <c r="E44" s="9" t="str">
        <v>Logistics</v>
      </c>
      <c r="F44" s="9" t="str">
        <v>Ravindra wani</v>
      </c>
      <c r="G44" s="9">
        <v>7276004063</v>
      </c>
      <c r="H44" s="9" t="str">
        <v>ravindra.wani@tatamotors.com</v>
      </c>
      <c r="I44" s="9" t="str">
        <v>07000904/001</v>
      </c>
      <c r="J44" s="9" t="str">
        <v>Contract</v>
      </c>
      <c r="K44" s="9" t="str">
        <v>No</v>
      </c>
      <c r="L44" s="9" t="str">
        <v>KXIND/W/YD/MC/24057</v>
      </c>
      <c r="M44" s="9">
        <v>45424</v>
      </c>
      <c r="N44" s="9">
        <v>82080</v>
      </c>
      <c r="O44" s="9" t="str">
        <v>January</v>
      </c>
      <c r="P44" s="9" t="str">
        <v>April</v>
      </c>
      <c r="Q44" s="9">
        <v>0.7</v>
      </c>
      <c r="R44" s="9">
        <v>2265005504</v>
      </c>
      <c r="S44" s="9">
        <v>45754</v>
      </c>
      <c r="T44" s="9">
        <v>82080</v>
      </c>
      <c r="U44" s="9" t="str">
        <v>April</v>
      </c>
      <c r="V44" s="9">
        <v>0</v>
      </c>
      <c r="W44" s="9">
        <v>0</v>
      </c>
      <c r="X44" s="9">
        <v>0</v>
      </c>
      <c r="Y44" s="9">
        <v>0</v>
      </c>
    </row>
    <row r="45" spans="1:25">
      <c r="A45" s="9">
        <v>38</v>
      </c>
      <c r="B45" s="9">
        <v>0</v>
      </c>
      <c r="C45" s="9" t="str">
        <v>Tata motors passenger vehicles Limted (Tata Motors Ltd)</v>
      </c>
      <c r="D45" s="9" t="str">
        <v>Pune</v>
      </c>
      <c r="E45" s="9" t="str">
        <v>Logistics</v>
      </c>
      <c r="F45" s="9" t="str">
        <v>Ravindra wani</v>
      </c>
      <c r="G45" s="9">
        <v>7276004064</v>
      </c>
      <c r="H45" s="9" t="str">
        <v>ravindra.wani@tatamotors.com</v>
      </c>
      <c r="I45" s="9" t="str">
        <v>07000904/002</v>
      </c>
      <c r="J45" s="9" t="str">
        <v>Contract</v>
      </c>
      <c r="K45" s="9" t="str">
        <v>No</v>
      </c>
      <c r="L45" s="9" t="str">
        <v>KXIND/W/YD/MC/24057</v>
      </c>
      <c r="M45" s="9">
        <v>45424</v>
      </c>
      <c r="N45" s="9">
        <v>82080</v>
      </c>
      <c r="O45" s="9" t="str">
        <v>January</v>
      </c>
      <c r="P45" s="9" t="str">
        <v>April</v>
      </c>
      <c r="Q45" s="9">
        <v>0.7</v>
      </c>
      <c r="R45" s="9">
        <v>2265005504</v>
      </c>
      <c r="S45" s="9">
        <v>45754</v>
      </c>
      <c r="T45" s="9">
        <v>82080</v>
      </c>
      <c r="U45" s="9" t="str">
        <v>April</v>
      </c>
      <c r="V45" s="9">
        <v>0</v>
      </c>
      <c r="W45" s="9">
        <v>0</v>
      </c>
      <c r="X45" s="9">
        <v>0</v>
      </c>
      <c r="Y45" s="9">
        <v>0</v>
      </c>
    </row>
    <row r="46" spans="1:25">
      <c r="A46" s="9">
        <v>39</v>
      </c>
      <c r="B46" s="9">
        <v>0</v>
      </c>
      <c r="C46" s="9" t="str">
        <v>Tata motors passenger vehicles Limted (Tata Motors Ltd)</v>
      </c>
      <c r="D46" s="9" t="str">
        <v>Pune</v>
      </c>
      <c r="E46" s="9" t="str">
        <v>Logistics</v>
      </c>
      <c r="F46" s="9" t="str">
        <v>Ravindra wani</v>
      </c>
      <c r="G46" s="9">
        <v>7276004065</v>
      </c>
      <c r="H46" s="9" t="str">
        <v>ravindra.wani@tatamotors.com</v>
      </c>
      <c r="I46" s="9" t="str">
        <v>07007494/001</v>
      </c>
      <c r="J46" s="9" t="str">
        <v>Contract</v>
      </c>
      <c r="K46" s="9" t="str">
        <v>No</v>
      </c>
      <c r="L46" s="9" t="str">
        <v>KXIND/W/YD/MC/24057</v>
      </c>
      <c r="M46" s="9">
        <v>45424</v>
      </c>
      <c r="N46" s="9">
        <v>82080</v>
      </c>
      <c r="O46" s="9" t="str">
        <v>January</v>
      </c>
      <c r="P46" s="9" t="str">
        <v>April</v>
      </c>
      <c r="Q46" s="9">
        <v>0.7</v>
      </c>
      <c r="R46" s="9">
        <v>2265005504</v>
      </c>
      <c r="S46" s="9">
        <v>45754</v>
      </c>
      <c r="T46" s="9">
        <v>82080</v>
      </c>
      <c r="U46" s="9" t="str">
        <v>April</v>
      </c>
      <c r="V46" s="9">
        <v>0</v>
      </c>
      <c r="W46" s="9">
        <v>0</v>
      </c>
      <c r="X46" s="9">
        <v>0</v>
      </c>
      <c r="Y46" s="9">
        <v>0</v>
      </c>
    </row>
    <row r="47" spans="1:25">
      <c r="A47" s="9">
        <v>40</v>
      </c>
      <c r="B47" s="9">
        <v>0</v>
      </c>
      <c r="C47" s="9" t="str">
        <v>Tata motors passenger vehicles Limted (Tata Motors Ltd)</v>
      </c>
      <c r="D47" s="9" t="str">
        <v>Pune</v>
      </c>
      <c r="E47" s="9" t="str">
        <v>Logistics</v>
      </c>
      <c r="F47" s="9" t="str">
        <v>Ravindra wani</v>
      </c>
      <c r="G47" s="9">
        <v>7276004066</v>
      </c>
      <c r="H47" s="9" t="str">
        <v>ravindra.wani@tatamotors.com</v>
      </c>
      <c r="I47" s="9" t="str">
        <v>06009440/001</v>
      </c>
      <c r="J47" s="9" t="str">
        <v>Contract</v>
      </c>
      <c r="K47" s="9" t="str">
        <v>No</v>
      </c>
      <c r="L47" s="9" t="str">
        <v>KXIND/W/YD/MC/24057</v>
      </c>
      <c r="M47" s="9">
        <v>45424</v>
      </c>
      <c r="N47" s="9">
        <v>82080</v>
      </c>
      <c r="O47" s="9" t="str">
        <v>January</v>
      </c>
      <c r="P47" s="9" t="str">
        <v>April</v>
      </c>
      <c r="Q47" s="9">
        <v>0.7</v>
      </c>
      <c r="R47" s="9">
        <v>2265005504</v>
      </c>
      <c r="S47" s="9">
        <v>45754</v>
      </c>
      <c r="T47" s="9">
        <v>82080</v>
      </c>
      <c r="U47" s="9" t="str">
        <v>April</v>
      </c>
      <c r="V47" s="9">
        <v>0</v>
      </c>
      <c r="W47" s="9">
        <v>0</v>
      </c>
      <c r="X47" s="9">
        <v>0</v>
      </c>
      <c r="Y47" s="9">
        <v>0</v>
      </c>
    </row>
    <row r="48" spans="1:25">
      <c r="A48" s="9">
        <v>41</v>
      </c>
      <c r="B48" s="9">
        <v>0</v>
      </c>
      <c r="C48" s="9" t="str">
        <v>Tata motors passenger vehicles Limted (Tata Motors Ltd)</v>
      </c>
      <c r="D48" s="9" t="str">
        <v>Pune</v>
      </c>
      <c r="E48" s="9" t="str">
        <v>Logistics</v>
      </c>
      <c r="F48" s="9" t="str">
        <v>Ravindra wani</v>
      </c>
      <c r="G48" s="9">
        <v>7276004067</v>
      </c>
      <c r="H48" s="9" t="str">
        <v>ravindra.wani@tatamotors.com</v>
      </c>
      <c r="I48" s="9" t="str">
        <v>06009440/002</v>
      </c>
      <c r="J48" s="9" t="str">
        <v>Contract</v>
      </c>
      <c r="K48" s="9" t="str">
        <v>No</v>
      </c>
      <c r="L48" s="9" t="str">
        <v>KXIND/W/YD/MC/24057</v>
      </c>
      <c r="M48" s="9">
        <v>45424</v>
      </c>
      <c r="N48" s="9">
        <v>82080</v>
      </c>
      <c r="O48" s="9" t="str">
        <v>January</v>
      </c>
      <c r="P48" s="9" t="str">
        <v>April</v>
      </c>
      <c r="Q48" s="9">
        <v>0.7</v>
      </c>
      <c r="R48" s="9">
        <v>2265005504</v>
      </c>
      <c r="S48" s="9">
        <v>45754</v>
      </c>
      <c r="T48" s="9">
        <v>82080</v>
      </c>
      <c r="U48" s="9" t="str">
        <v>April</v>
      </c>
      <c r="V48" s="9">
        <v>0</v>
      </c>
      <c r="W48" s="9">
        <v>0</v>
      </c>
      <c r="X48" s="9">
        <v>0</v>
      </c>
      <c r="Y48" s="9">
        <v>0</v>
      </c>
    </row>
    <row r="49" spans="1:25">
      <c r="A49" s="9">
        <v>42</v>
      </c>
      <c r="B49" s="9">
        <v>0</v>
      </c>
      <c r="C49" s="9" t="str">
        <v>Tata motors passenger vehicles Limted (Tata Motors Ltd)</v>
      </c>
      <c r="D49" s="9" t="str">
        <v>Pune</v>
      </c>
      <c r="E49" s="9" t="str">
        <v>Logistics</v>
      </c>
      <c r="F49" s="9" t="str">
        <v>Ravindra wani</v>
      </c>
      <c r="G49" s="9">
        <v>7276004068</v>
      </c>
      <c r="H49" s="9" t="str">
        <v>ravindra.wani@tatamotors.com</v>
      </c>
      <c r="I49" s="9" t="str">
        <v>06009440/003</v>
      </c>
      <c r="J49" s="9" t="str">
        <v>Contract</v>
      </c>
      <c r="K49" s="9" t="str">
        <v>No</v>
      </c>
      <c r="L49" s="9" t="str">
        <v>KXIND/W/YD/MC/24057</v>
      </c>
      <c r="M49" s="9">
        <v>45424</v>
      </c>
      <c r="N49" s="9">
        <v>82080</v>
      </c>
      <c r="O49" s="9" t="str">
        <v>January</v>
      </c>
      <c r="P49" s="9" t="str">
        <v>April</v>
      </c>
      <c r="Q49" s="9">
        <v>0.7</v>
      </c>
      <c r="R49" s="9">
        <v>2265005504</v>
      </c>
      <c r="S49" s="9">
        <v>45754</v>
      </c>
      <c r="T49" s="9">
        <v>82080</v>
      </c>
      <c r="U49" s="9" t="str">
        <v>April</v>
      </c>
      <c r="V49" s="9">
        <v>0</v>
      </c>
      <c r="W49" s="9">
        <v>0</v>
      </c>
      <c r="X49" s="9">
        <v>0</v>
      </c>
      <c r="Y49" s="9">
        <v>0</v>
      </c>
    </row>
    <row r="50" spans="1:25">
      <c r="A50" s="9">
        <v>43</v>
      </c>
      <c r="B50" s="9">
        <v>0</v>
      </c>
      <c r="C50" s="9" t="str">
        <v>Tata motors passenger vehicles Limted (Tata Motors Ltd)</v>
      </c>
      <c r="D50" s="9" t="str">
        <v>Pune</v>
      </c>
      <c r="E50" s="9" t="str">
        <v>Logistics</v>
      </c>
      <c r="F50" s="9" t="str">
        <v>Ravindra wani</v>
      </c>
      <c r="G50" s="9">
        <v>7276004069</v>
      </c>
      <c r="H50" s="9" t="str">
        <v>ravindra.wani@tatamotors.com</v>
      </c>
      <c r="I50" s="9" t="str">
        <v>07007497/002</v>
      </c>
      <c r="J50" s="9" t="str">
        <v>Contract</v>
      </c>
      <c r="K50" s="9" t="str">
        <v>No</v>
      </c>
      <c r="L50" s="9" t="str">
        <v>KXIND/W/YD/MC/24057</v>
      </c>
      <c r="M50" s="9">
        <v>45424</v>
      </c>
      <c r="N50" s="9">
        <v>82080</v>
      </c>
      <c r="O50" s="9" t="str">
        <v>January</v>
      </c>
      <c r="P50" s="9" t="str">
        <v>April</v>
      </c>
      <c r="Q50" s="9">
        <v>0.7</v>
      </c>
      <c r="R50" s="9">
        <v>2265005504</v>
      </c>
      <c r="S50" s="9">
        <v>45754</v>
      </c>
      <c r="T50" s="9">
        <v>82080</v>
      </c>
      <c r="U50" s="9" t="str">
        <v>April</v>
      </c>
      <c r="V50" s="9">
        <v>0</v>
      </c>
      <c r="W50" s="9">
        <v>0</v>
      </c>
      <c r="X50" s="9">
        <v>0</v>
      </c>
      <c r="Y50" s="9">
        <v>0</v>
      </c>
    </row>
    <row r="51" spans="1:25">
      <c r="A51" s="9">
        <v>44</v>
      </c>
      <c r="B51" s="9">
        <v>0</v>
      </c>
      <c r="C51" s="9" t="str">
        <v>Tata motors passenger vehicles Limted (Tata Motors Ltd)</v>
      </c>
      <c r="D51" s="9" t="str">
        <v>Pune</v>
      </c>
      <c r="E51" s="9" t="str">
        <v>Logistics</v>
      </c>
      <c r="F51" s="9" t="str">
        <v>Ravindra wani</v>
      </c>
      <c r="G51" s="9">
        <v>7276004070</v>
      </c>
      <c r="H51" s="9" t="str">
        <v>ravindra.wani@tatamotors.com</v>
      </c>
      <c r="I51" s="9" t="str">
        <v>05000458/001</v>
      </c>
      <c r="J51" s="9" t="str">
        <v>Contract</v>
      </c>
      <c r="K51" s="9" t="str">
        <v>No</v>
      </c>
      <c r="L51" s="9" t="str">
        <v>KXIND/W/YD/MC/24057</v>
      </c>
      <c r="M51" s="9">
        <v>45424</v>
      </c>
      <c r="N51" s="9">
        <v>82080</v>
      </c>
      <c r="O51" s="9" t="str">
        <v>January</v>
      </c>
      <c r="P51" s="9" t="str">
        <v>April</v>
      </c>
      <c r="Q51" s="9">
        <v>0.7</v>
      </c>
      <c r="R51" s="9">
        <v>2265005504</v>
      </c>
      <c r="S51" s="9">
        <v>45754</v>
      </c>
      <c r="T51" s="9">
        <v>82080</v>
      </c>
      <c r="U51" s="9" t="str">
        <v>April</v>
      </c>
      <c r="V51" s="9">
        <v>0</v>
      </c>
      <c r="W51" s="9">
        <v>0</v>
      </c>
      <c r="X51" s="9">
        <v>0</v>
      </c>
      <c r="Y51" s="9">
        <v>0</v>
      </c>
    </row>
    <row r="52" spans="1:25">
      <c r="A52" s="9">
        <v>45</v>
      </c>
      <c r="B52" s="9">
        <v>0</v>
      </c>
      <c r="C52" s="9" t="str">
        <v>Tata motors passenger vehicles Limted (Tata Motors Ltd)</v>
      </c>
      <c r="D52" s="9" t="str">
        <v>Pune</v>
      </c>
      <c r="E52" s="9" t="str">
        <v>Logistics</v>
      </c>
      <c r="F52" s="9" t="str">
        <v>Ravindra wani</v>
      </c>
      <c r="G52" s="9">
        <v>7276004071</v>
      </c>
      <c r="H52" s="9" t="str">
        <v>ravindra.wani@tatamotors.com</v>
      </c>
      <c r="I52" s="9" t="str">
        <v>05000458/002</v>
      </c>
      <c r="J52" s="9" t="str">
        <v>Contract</v>
      </c>
      <c r="K52" s="9" t="str">
        <v>No</v>
      </c>
      <c r="L52" s="9" t="str">
        <v>KXIND/W/YD/MC/24057</v>
      </c>
      <c r="M52" s="9">
        <v>45424</v>
      </c>
      <c r="N52" s="9">
        <v>82080</v>
      </c>
      <c r="O52" s="9" t="str">
        <v>January</v>
      </c>
      <c r="P52" s="9" t="str">
        <v>April</v>
      </c>
      <c r="Q52" s="9">
        <v>0.7</v>
      </c>
      <c r="R52" s="9">
        <v>2265005504</v>
      </c>
      <c r="S52" s="9">
        <v>45754</v>
      </c>
      <c r="T52" s="9">
        <v>82080</v>
      </c>
      <c r="U52" s="9" t="str">
        <v>April</v>
      </c>
      <c r="V52" s="9">
        <v>0</v>
      </c>
      <c r="W52" s="9">
        <v>0</v>
      </c>
      <c r="X52" s="9">
        <v>0</v>
      </c>
      <c r="Y52" s="9">
        <v>0</v>
      </c>
    </row>
    <row r="53" spans="1:25">
      <c r="A53" s="9">
        <v>46</v>
      </c>
      <c r="B53" s="9">
        <v>45668</v>
      </c>
      <c r="C53" s="9" t="str">
        <v xml:space="preserve">Minda Industries LTD </v>
      </c>
      <c r="D53" s="9" t="str">
        <v>Pune</v>
      </c>
      <c r="E53" s="9" t="str">
        <v>Tool Room</v>
      </c>
      <c r="F53" s="9" t="str">
        <v>D T Narawade</v>
      </c>
      <c r="G53" s="9">
        <v>7276413858</v>
      </c>
      <c r="H53" s="9" t="str">
        <v>dtnarawade@unominda.com</v>
      </c>
      <c r="I53" s="9" t="str">
        <v>03007276/001</v>
      </c>
      <c r="J53" s="9" t="str">
        <v>BD Charges</v>
      </c>
      <c r="K53" s="9" t="str">
        <v>No</v>
      </c>
      <c r="L53" s="9" t="str">
        <v>KXIND/W/YD/SER/2504</v>
      </c>
      <c r="M53" s="9">
        <v>45666</v>
      </c>
      <c r="N53" s="9">
        <v>22500</v>
      </c>
      <c r="O53" s="9" t="str">
        <v>January</v>
      </c>
      <c r="P53" s="9" t="str">
        <v>June</v>
      </c>
      <c r="Q53" s="9">
        <v>0.5</v>
      </c>
      <c r="R53" s="9">
        <v>4300416395</v>
      </c>
      <c r="S53" s="9">
        <v>45801</v>
      </c>
      <c r="T53" s="9">
        <v>22500</v>
      </c>
      <c r="U53" s="9" t="str">
        <v>June</v>
      </c>
      <c r="V53" s="9">
        <v>0</v>
      </c>
      <c r="W53" s="9">
        <v>0</v>
      </c>
      <c r="X53" s="9">
        <v>0</v>
      </c>
      <c r="Y53" s="9">
        <v>0</v>
      </c>
    </row>
    <row r="54" spans="1:25">
      <c r="A54" s="9">
        <v>47</v>
      </c>
      <c r="B54" s="9">
        <v>45668</v>
      </c>
      <c r="C54" s="9" t="str">
        <v xml:space="preserve">Kirloskar Oil Engine LTD </v>
      </c>
      <c r="D54" s="9" t="str">
        <v>Pune</v>
      </c>
      <c r="E54" s="9" t="str">
        <v>Stores</v>
      </c>
      <c r="F54" s="9" t="str">
        <v>Sayajirao Mali</v>
      </c>
      <c r="G54" s="9" t="str">
        <v>9881734612 </v>
      </c>
      <c r="H54" s="9" t="str">
        <v>sayajirao.mali@kirloskar.com</v>
      </c>
      <c r="I54" s="9" t="str">
        <v>07000530/001</v>
      </c>
      <c r="J54" s="9" t="str">
        <v>Contract</v>
      </c>
      <c r="K54" s="9" t="str">
        <v>No</v>
      </c>
      <c r="L54" s="9" t="str">
        <v>KXIND/W/MC/YD/2505</v>
      </c>
      <c r="M54" s="9">
        <v>45666</v>
      </c>
      <c r="N54" s="9">
        <v>64000</v>
      </c>
      <c r="O54" s="9" t="str">
        <v>January</v>
      </c>
      <c r="P54" s="9" t="str">
        <v>June</v>
      </c>
      <c r="Q54" s="9">
        <v>0.5</v>
      </c>
      <c r="R54" s="9">
        <v>7026010733</v>
      </c>
      <c r="S54" s="9">
        <v>45819</v>
      </c>
      <c r="T54" s="9">
        <v>64000</v>
      </c>
      <c r="U54" s="9" t="str">
        <v>June</v>
      </c>
      <c r="V54" s="9">
        <v>0</v>
      </c>
      <c r="W54" s="9">
        <v>0</v>
      </c>
      <c r="X54" s="9">
        <v>0</v>
      </c>
      <c r="Y54" s="9">
        <v>0</v>
      </c>
    </row>
    <row r="55" spans="1:25">
      <c r="A55" s="9">
        <v>48</v>
      </c>
      <c r="B55" s="9">
        <v>0</v>
      </c>
      <c r="C55" s="9" t="str">
        <v xml:space="preserve">Kirloskar Oil Engine LTD </v>
      </c>
      <c r="D55" s="9" t="str">
        <v>Pune</v>
      </c>
      <c r="E55" s="9" t="str">
        <v>Stores</v>
      </c>
      <c r="F55" s="9" t="str">
        <v>Sayajirao Mali</v>
      </c>
      <c r="G55" s="9" t="str">
        <v>9881734612 </v>
      </c>
      <c r="H55" s="9" t="str">
        <v>sayajirao.mali@kirloskar.com</v>
      </c>
      <c r="I55" s="9" t="str">
        <v>07007199/001</v>
      </c>
      <c r="J55" s="9" t="str">
        <v>Contract</v>
      </c>
      <c r="K55" s="9" t="str">
        <v>No</v>
      </c>
      <c r="L55" s="9" t="str">
        <v>KXIND/W/MC/YD/2505</v>
      </c>
      <c r="M55" s="9">
        <v>45666</v>
      </c>
      <c r="N55" s="9">
        <v>64000</v>
      </c>
      <c r="O55" s="9" t="str">
        <v>January</v>
      </c>
      <c r="P55" s="9" t="str">
        <v>June</v>
      </c>
      <c r="Q55" s="9">
        <v>0.5</v>
      </c>
      <c r="R55" s="9">
        <v>7026010733</v>
      </c>
      <c r="S55" s="9">
        <v>45819</v>
      </c>
      <c r="T55" s="9">
        <v>64000</v>
      </c>
      <c r="U55" s="9" t="str">
        <v>June</v>
      </c>
      <c r="V55" s="9">
        <v>0</v>
      </c>
      <c r="W55" s="9">
        <v>0</v>
      </c>
      <c r="X55" s="9">
        <v>0</v>
      </c>
      <c r="Y55" s="9">
        <v>0</v>
      </c>
    </row>
    <row r="56" spans="1:25">
      <c r="A56" s="9">
        <v>49</v>
      </c>
      <c r="B56" s="9">
        <v>0</v>
      </c>
      <c r="C56" s="9" t="str">
        <v xml:space="preserve">Kirloskar Oil Engine LTD </v>
      </c>
      <c r="D56" s="9" t="str">
        <v>Pune</v>
      </c>
      <c r="E56" s="9" t="str">
        <v>Stores</v>
      </c>
      <c r="F56" s="9" t="str">
        <v>Sayajirao Mali</v>
      </c>
      <c r="G56" s="9" t="str">
        <v>9881734612 </v>
      </c>
      <c r="H56" s="9" t="str">
        <v>sayajirao.mali@kirloskar.com</v>
      </c>
      <c r="I56" s="9" t="str">
        <v>07007204/001</v>
      </c>
      <c r="J56" s="9" t="str">
        <v>Contract</v>
      </c>
      <c r="K56" s="9" t="str">
        <v>No</v>
      </c>
      <c r="L56" s="9" t="str">
        <v>KXIND/W/MC/YD/2505</v>
      </c>
      <c r="M56" s="9">
        <v>45666</v>
      </c>
      <c r="N56" s="9">
        <v>64000</v>
      </c>
      <c r="O56" s="9" t="str">
        <v>January</v>
      </c>
      <c r="P56" s="9" t="str">
        <v>June</v>
      </c>
      <c r="Q56" s="9">
        <v>0.5</v>
      </c>
      <c r="R56" s="9">
        <v>7026010733</v>
      </c>
      <c r="S56" s="9">
        <v>45819</v>
      </c>
      <c r="T56" s="9">
        <v>64000</v>
      </c>
      <c r="U56" s="9" t="str">
        <v>June</v>
      </c>
      <c r="V56" s="9">
        <v>0</v>
      </c>
      <c r="W56" s="9">
        <v>0</v>
      </c>
      <c r="X56" s="9">
        <v>0</v>
      </c>
      <c r="Y56" s="9">
        <v>0</v>
      </c>
    </row>
    <row r="57" spans="1:25">
      <c r="A57" s="9">
        <v>50</v>
      </c>
      <c r="B57" s="9">
        <v>0</v>
      </c>
      <c r="C57" s="9" t="str">
        <v xml:space="preserve">Kirloskar Oil Engine LTD </v>
      </c>
      <c r="D57" s="9" t="str">
        <v>Pune</v>
      </c>
      <c r="E57" s="9" t="str">
        <v>Stores</v>
      </c>
      <c r="F57" s="9" t="str">
        <v>Sayajirao Mali</v>
      </c>
      <c r="G57" s="9" t="str">
        <v>9881734612 </v>
      </c>
      <c r="H57" s="9" t="str">
        <v>sayajirao.mali@kirloskar.com</v>
      </c>
      <c r="I57" s="9" t="str">
        <v>07008022/001</v>
      </c>
      <c r="J57" s="9" t="str">
        <v>Contract</v>
      </c>
      <c r="K57" s="9" t="str">
        <v>No</v>
      </c>
      <c r="L57" s="9" t="str">
        <v>KXIND/W/MC/YD/2505</v>
      </c>
      <c r="M57" s="9">
        <v>45666</v>
      </c>
      <c r="N57" s="9">
        <v>64000</v>
      </c>
      <c r="O57" s="9" t="str">
        <v>January</v>
      </c>
      <c r="P57" s="9" t="str">
        <v>June</v>
      </c>
      <c r="Q57" s="9">
        <v>0.5</v>
      </c>
      <c r="R57" s="9">
        <v>7026010733</v>
      </c>
      <c r="S57" s="9">
        <v>45819</v>
      </c>
      <c r="T57" s="9">
        <v>64000</v>
      </c>
      <c r="U57" s="9" t="str">
        <v>June</v>
      </c>
      <c r="V57" s="9">
        <v>0</v>
      </c>
      <c r="W57" s="9">
        <v>0</v>
      </c>
      <c r="X57" s="9">
        <v>0</v>
      </c>
      <c r="Y57" s="9">
        <v>0</v>
      </c>
    </row>
    <row r="58" spans="1:25">
      <c r="A58" s="9">
        <v>51</v>
      </c>
      <c r="B58" s="9">
        <v>0</v>
      </c>
      <c r="C58" s="9" t="str">
        <v xml:space="preserve">Kirloskar Oil Engine LTD </v>
      </c>
      <c r="D58" s="9" t="str">
        <v>Pune</v>
      </c>
      <c r="E58" s="9" t="str">
        <v>Stores</v>
      </c>
      <c r="F58" s="9" t="str">
        <v>Sayajirao Mali</v>
      </c>
      <c r="G58" s="9" t="str">
        <v>9881734612 </v>
      </c>
      <c r="H58" s="9" t="str">
        <v>sayajirao.mali@kirloskar.com</v>
      </c>
      <c r="I58" s="9" t="str">
        <v>07008406/001</v>
      </c>
      <c r="J58" s="9" t="str">
        <v>Contract</v>
      </c>
      <c r="K58" s="9" t="str">
        <v>No</v>
      </c>
      <c r="L58" s="9" t="str">
        <v>KXIND/W/MC/YD/2505</v>
      </c>
      <c r="M58" s="9">
        <v>45666</v>
      </c>
      <c r="N58" s="9">
        <v>64000</v>
      </c>
      <c r="O58" s="9" t="str">
        <v>January</v>
      </c>
      <c r="P58" s="9" t="str">
        <v>June</v>
      </c>
      <c r="Q58" s="9">
        <v>0.5</v>
      </c>
      <c r="R58" s="9">
        <v>7026010733</v>
      </c>
      <c r="S58" s="9">
        <v>45819</v>
      </c>
      <c r="T58" s="9">
        <v>64000</v>
      </c>
      <c r="U58" s="9" t="str">
        <v>June</v>
      </c>
      <c r="V58" s="9">
        <v>0</v>
      </c>
      <c r="W58" s="9">
        <v>0</v>
      </c>
      <c r="X58" s="9">
        <v>0</v>
      </c>
      <c r="Y58" s="9">
        <v>0</v>
      </c>
    </row>
    <row r="59" spans="1:25">
      <c r="A59" s="9">
        <v>52</v>
      </c>
      <c r="B59" s="9">
        <v>0</v>
      </c>
      <c r="C59" s="9" t="str">
        <v xml:space="preserve">Kirloskar Oil Engine LTD </v>
      </c>
      <c r="D59" s="9" t="str">
        <v>Pune</v>
      </c>
      <c r="E59" s="9" t="str">
        <v>Stores</v>
      </c>
      <c r="F59" s="9" t="str">
        <v>Sayajirao Mali</v>
      </c>
      <c r="G59" s="9" t="str">
        <v>9881734612 </v>
      </c>
      <c r="H59" s="9" t="str">
        <v>sayajirao.mali@kirloskar.com</v>
      </c>
      <c r="I59" s="9" t="str">
        <v>07010686/001</v>
      </c>
      <c r="J59" s="9" t="str">
        <v>Contract</v>
      </c>
      <c r="K59" s="9" t="str">
        <v>No</v>
      </c>
      <c r="L59" s="9" t="str">
        <v>KXIND/W/MC/YD/2505</v>
      </c>
      <c r="M59" s="9">
        <v>45666</v>
      </c>
      <c r="N59" s="9">
        <v>64000</v>
      </c>
      <c r="O59" s="9" t="str">
        <v>January</v>
      </c>
      <c r="P59" s="9" t="str">
        <v>June</v>
      </c>
      <c r="Q59" s="9">
        <v>0.5</v>
      </c>
      <c r="R59" s="9">
        <v>7026010733</v>
      </c>
      <c r="S59" s="9">
        <v>45819</v>
      </c>
      <c r="T59" s="9">
        <v>64000</v>
      </c>
      <c r="U59" s="9" t="str">
        <v>June</v>
      </c>
      <c r="V59" s="9">
        <v>0</v>
      </c>
      <c r="W59" s="9">
        <v>0</v>
      </c>
      <c r="X59" s="9">
        <v>0</v>
      </c>
      <c r="Y59" s="9">
        <v>0</v>
      </c>
    </row>
    <row r="60" spans="1:25">
      <c r="A60" s="9">
        <v>53</v>
      </c>
      <c r="B60" s="9">
        <v>0</v>
      </c>
      <c r="C60" s="9" t="str">
        <v xml:space="preserve">Kirloskar Oil Engine LTD </v>
      </c>
      <c r="D60" s="9" t="str">
        <v>Pune</v>
      </c>
      <c r="E60" s="9" t="str">
        <v>Stores</v>
      </c>
      <c r="F60" s="9" t="str">
        <v>Sayajirao Mali</v>
      </c>
      <c r="G60" s="9" t="str">
        <v>9881734612 </v>
      </c>
      <c r="H60" s="9" t="str">
        <v>sayajirao.mali@kirloskar.com</v>
      </c>
      <c r="I60" s="9" t="str">
        <v>16000438/002</v>
      </c>
      <c r="J60" s="9" t="str">
        <v>Contract</v>
      </c>
      <c r="K60" s="9" t="str">
        <v>No</v>
      </c>
      <c r="L60" s="9" t="str">
        <v>KXIND/W/MC/YD/2505</v>
      </c>
      <c r="M60" s="9">
        <v>45666</v>
      </c>
      <c r="N60" s="9">
        <v>64000</v>
      </c>
      <c r="O60" s="9" t="str">
        <v>January</v>
      </c>
      <c r="P60" s="9" t="str">
        <v>June</v>
      </c>
      <c r="Q60" s="9">
        <v>0.5</v>
      </c>
      <c r="R60" s="9">
        <v>7026010733</v>
      </c>
      <c r="S60" s="9">
        <v>45819</v>
      </c>
      <c r="T60" s="9">
        <v>64000</v>
      </c>
      <c r="U60" s="9" t="str">
        <v>June</v>
      </c>
      <c r="V60" s="9">
        <v>0</v>
      </c>
      <c r="W60" s="9">
        <v>0</v>
      </c>
      <c r="X60" s="9">
        <v>0</v>
      </c>
      <c r="Y60" s="9">
        <v>0</v>
      </c>
    </row>
    <row r="61" spans="1:25">
      <c r="A61" s="9">
        <v>54</v>
      </c>
      <c r="B61" s="9">
        <v>0</v>
      </c>
      <c r="C61" s="9" t="str">
        <v xml:space="preserve">Kirloskar Oil Engine LTD </v>
      </c>
      <c r="D61" s="9" t="str">
        <v>Pune</v>
      </c>
      <c r="E61" s="9" t="str">
        <v>Stores</v>
      </c>
      <c r="F61" s="9" t="str">
        <v>Sayajirao Mali</v>
      </c>
      <c r="G61" s="9" t="str">
        <v>9881734612 </v>
      </c>
      <c r="H61" s="9" t="str">
        <v>sayajirao.mali@kirloskar.com</v>
      </c>
      <c r="I61" s="9" t="str">
        <v>16000438/001</v>
      </c>
      <c r="J61" s="9" t="str">
        <v>Contract</v>
      </c>
      <c r="K61" s="9" t="str">
        <v>No</v>
      </c>
      <c r="L61" s="9" t="str">
        <v>KXIND/W/MC/YD/2505</v>
      </c>
      <c r="M61" s="9">
        <v>45666</v>
      </c>
      <c r="N61" s="9">
        <v>64000</v>
      </c>
      <c r="O61" s="9" t="str">
        <v>January</v>
      </c>
      <c r="P61" s="9" t="str">
        <v>June</v>
      </c>
      <c r="Q61" s="9">
        <v>0.5</v>
      </c>
      <c r="R61" s="9">
        <v>7026010733</v>
      </c>
      <c r="S61" s="9">
        <v>45819</v>
      </c>
      <c r="T61" s="9">
        <v>64000</v>
      </c>
      <c r="U61" s="9" t="str">
        <v>June</v>
      </c>
      <c r="V61" s="9">
        <v>0</v>
      </c>
      <c r="W61" s="9">
        <v>0</v>
      </c>
      <c r="X61" s="9">
        <v>0</v>
      </c>
      <c r="Y61" s="9">
        <v>0</v>
      </c>
    </row>
    <row r="62" spans="1:25">
      <c r="A62" s="9">
        <v>55</v>
      </c>
      <c r="B62" s="9">
        <v>45668</v>
      </c>
      <c r="C62" s="9" t="str">
        <v>Tata motors passenger vehicles Limted (Tata Motors Ltd)</v>
      </c>
      <c r="D62" s="9" t="str">
        <v>Pune</v>
      </c>
      <c r="E62" s="9" t="str">
        <v>Tool Crib</v>
      </c>
      <c r="F62" s="9" t="str">
        <v>sagar kulkarni</v>
      </c>
      <c r="G62" s="9">
        <v>9511742041</v>
      </c>
      <c r="H62" s="9" t="str">
        <v>sagar.kulkarni@tatamotors.com</v>
      </c>
      <c r="I62" s="9" t="str">
        <v>04006517/001</v>
      </c>
      <c r="J62" s="9" t="str">
        <v>Contract</v>
      </c>
      <c r="K62" s="9" t="str">
        <v>No</v>
      </c>
      <c r="L62" s="9" t="str">
        <v>KXIND/W/MC/YD/24077</v>
      </c>
      <c r="M62" s="9">
        <v>45653</v>
      </c>
      <c r="N62" s="9">
        <v>82080</v>
      </c>
      <c r="O62" s="9" t="str">
        <v>January</v>
      </c>
      <c r="P62" s="9" t="str">
        <v>April</v>
      </c>
      <c r="Q62" s="9">
        <v>0.6</v>
      </c>
      <c r="R62" s="9">
        <v>2265005320</v>
      </c>
      <c r="S62" s="9">
        <v>45722</v>
      </c>
      <c r="T62" s="9">
        <v>82080</v>
      </c>
      <c r="U62" s="9" t="str">
        <v>April</v>
      </c>
      <c r="V62" s="9">
        <v>0</v>
      </c>
      <c r="W62" s="9">
        <v>0</v>
      </c>
      <c r="X62" s="9">
        <v>0</v>
      </c>
      <c r="Y62" s="9">
        <v>0</v>
      </c>
    </row>
    <row r="63" spans="1:25">
      <c r="A63" s="9">
        <v>56</v>
      </c>
      <c r="B63" s="9">
        <v>0</v>
      </c>
      <c r="C63" s="9" t="str">
        <v>Tata motors passenger vehicles Limted (Tata Motors Ltd)</v>
      </c>
      <c r="D63" s="9" t="str">
        <v>Pune</v>
      </c>
      <c r="E63" s="9" t="str">
        <v>Tool Crib</v>
      </c>
      <c r="F63" s="9" t="str">
        <v>sagar kulkarni</v>
      </c>
      <c r="G63" s="9">
        <v>9511742041</v>
      </c>
      <c r="H63" s="9" t="str">
        <v>sagar.kulkarni@tatamotors.com</v>
      </c>
      <c r="I63" s="9" t="str">
        <v>04006517/002</v>
      </c>
      <c r="J63" s="9" t="str">
        <v>Contract</v>
      </c>
      <c r="K63" s="9" t="str">
        <v>No</v>
      </c>
      <c r="L63" s="9" t="str">
        <v>KXIND/W/MC/YD/24077</v>
      </c>
      <c r="M63" s="9">
        <v>45653</v>
      </c>
      <c r="N63" s="9">
        <v>82080</v>
      </c>
      <c r="O63" s="9" t="str">
        <v>January</v>
      </c>
      <c r="P63" s="9" t="str">
        <v>April</v>
      </c>
      <c r="Q63" s="9">
        <v>0.6</v>
      </c>
      <c r="R63" s="9">
        <v>2265005320</v>
      </c>
      <c r="S63" s="9">
        <v>45722</v>
      </c>
      <c r="T63" s="9">
        <v>82080</v>
      </c>
      <c r="U63" s="9" t="str">
        <v>April</v>
      </c>
      <c r="V63" s="9">
        <v>0</v>
      </c>
      <c r="W63" s="9">
        <v>0</v>
      </c>
      <c r="X63" s="9">
        <v>0</v>
      </c>
      <c r="Y63" s="9">
        <v>0</v>
      </c>
    </row>
    <row r="64" spans="1:25">
      <c r="A64" s="9">
        <v>17</v>
      </c>
      <c r="B64" s="9">
        <v>45999</v>
      </c>
      <c r="C64" s="9" t="str">
        <v>Tata motors passenger vehicles Limted (Tata Motors Ltd)</v>
      </c>
      <c r="D64" s="9" t="str">
        <v>Pune</v>
      </c>
      <c r="E64" s="9" t="str">
        <v>TCF</v>
      </c>
      <c r="F64" s="9" t="str">
        <v>Depak Dalvi</v>
      </c>
      <c r="G64" s="9">
        <v>9850341560</v>
      </c>
      <c r="H64" s="9" t="str">
        <v>DGD793450@tatamotors.com</v>
      </c>
      <c r="I64" s="9" t="str">
        <v>08000931/001</v>
      </c>
      <c r="J64" s="9" t="str">
        <v>SPP</v>
      </c>
      <c r="K64" s="9" t="str">
        <v>Yes</v>
      </c>
      <c r="L64" s="9" t="str">
        <v>KXIND/W/YD/SPP/25088</v>
      </c>
      <c r="M64" s="9">
        <v>45989</v>
      </c>
      <c r="N64" s="9">
        <v>346200</v>
      </c>
      <c r="O64" s="9" t="str">
        <v>November</v>
      </c>
      <c r="P64" s="9" t="str">
        <v>December</v>
      </c>
      <c r="Q64" s="9">
        <v>0.2</v>
      </c>
      <c r="R64" s="9">
        <v>0</v>
      </c>
      <c r="S64" s="9">
        <v>0</v>
      </c>
      <c r="T64" s="9">
        <v>0</v>
      </c>
      <c r="U64" s="9">
        <v>0</v>
      </c>
      <c r="V64" s="9">
        <v>-346200</v>
      </c>
      <c r="W64" s="9" t="str">
        <v>Purchase will be plan after budgetin after 31st.March</v>
      </c>
      <c r="X64" s="9">
        <v>0</v>
      </c>
      <c r="Y64" s="9">
        <v>0</v>
      </c>
    </row>
    <row r="65" spans="1:25">
      <c r="A65" s="9">
        <v>58</v>
      </c>
      <c r="B65" s="9">
        <v>45668</v>
      </c>
      <c r="C65" s="9" t="str">
        <v xml:space="preserve">Klug avalon mechatronics </v>
      </c>
      <c r="D65" s="9" t="str">
        <v>Pune</v>
      </c>
      <c r="E65" s="9" t="str">
        <v>stores</v>
      </c>
      <c r="F65" s="9" t="str">
        <v>N.Patil</v>
      </c>
      <c r="G65" s="9">
        <v>9271117805</v>
      </c>
      <c r="H65" s="9" t="str">
        <v>rms@klugavalon.com</v>
      </c>
      <c r="I65" s="9" t="str">
        <v>16007512/001</v>
      </c>
      <c r="J65" s="9" t="str">
        <v>SPP</v>
      </c>
      <c r="K65" s="9" t="str">
        <v>Yes</v>
      </c>
      <c r="L65" s="9" t="str">
        <v>KXIND/W/YD/SPP/2505</v>
      </c>
      <c r="M65" s="9">
        <v>45666</v>
      </c>
      <c r="N65" s="9">
        <v>0</v>
      </c>
      <c r="O65" s="9" t="str">
        <v>January</v>
      </c>
      <c r="P65" s="9" t="str">
        <v>July</v>
      </c>
      <c r="Q65" s="9">
        <v>0.2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 t="str">
        <v xml:space="preserve">Not Appoved by management </v>
      </c>
      <c r="X65" s="9">
        <v>0</v>
      </c>
      <c r="Y65" s="9">
        <v>0</v>
      </c>
    </row>
    <row r="66" spans="1:25">
      <c r="A66" s="9">
        <v>59</v>
      </c>
      <c r="B66" s="9">
        <v>45668</v>
      </c>
      <c r="C66" s="9" t="str">
        <v>Merck Life Science Pvt Ltd</v>
      </c>
      <c r="D66" s="9" t="str">
        <v>Mumbai</v>
      </c>
      <c r="E66" s="9" t="str">
        <v>stores</v>
      </c>
      <c r="F66" s="9" t="str">
        <v>Kalpesh Patil</v>
      </c>
      <c r="G66" s="9">
        <v>9762817803</v>
      </c>
      <c r="H66" s="9" t="str">
        <v>Kalpesh.patil@external.merckgroup.com</v>
      </c>
      <c r="I66" s="9" t="str">
        <v>23004830/001</v>
      </c>
      <c r="J66" s="9" t="str">
        <v>SPP</v>
      </c>
      <c r="K66" s="9" t="str">
        <v>Yes</v>
      </c>
      <c r="L66" s="9" t="str">
        <v>KXIND/W/YD/SPP/24068</v>
      </c>
      <c r="M66" s="9">
        <v>45644</v>
      </c>
      <c r="N66" s="9">
        <v>1276654</v>
      </c>
      <c r="O66" s="9" t="str">
        <v>January</v>
      </c>
      <c r="P66" s="9" t="str">
        <v>April</v>
      </c>
      <c r="Q66" s="9">
        <v>0.4</v>
      </c>
      <c r="R66" s="9">
        <v>5030114286</v>
      </c>
      <c r="S66" s="9">
        <v>45750</v>
      </c>
      <c r="T66" s="9">
        <v>584024</v>
      </c>
      <c r="U66" s="9" t="str">
        <v>April</v>
      </c>
      <c r="V66" s="9">
        <v>-692630</v>
      </c>
      <c r="W66" s="9">
        <v>0</v>
      </c>
      <c r="X66" s="9">
        <v>0</v>
      </c>
      <c r="Y66" s="9">
        <v>0</v>
      </c>
    </row>
    <row r="67" spans="1:25">
      <c r="A67" s="9">
        <v>60</v>
      </c>
      <c r="B67" s="9">
        <v>45705</v>
      </c>
      <c r="C67" s="9" t="str">
        <v>Lupin Limited</v>
      </c>
      <c r="D67" s="9" t="str">
        <v>Nagpur</v>
      </c>
      <c r="E67" s="9" t="str">
        <v>Stores</v>
      </c>
      <c r="F67" s="9" t="str">
        <v>Mukesh Namdev</v>
      </c>
      <c r="G67" s="9" t="str">
        <v>+91 8959678211</v>
      </c>
      <c r="H67" s="9" t="str">
        <v>mukeshnamdev@lupin.com</v>
      </c>
      <c r="I67" s="9" t="str">
        <v>23005504/001</v>
      </c>
      <c r="J67" s="9" t="str">
        <v>Contract</v>
      </c>
      <c r="K67" s="9" t="str">
        <v>Yes</v>
      </c>
      <c r="L67" s="9" t="str">
        <v>KXIND/W/YD/MC/2509R</v>
      </c>
      <c r="M67" s="9">
        <v>45863</v>
      </c>
      <c r="N67" s="9">
        <v>55000</v>
      </c>
      <c r="O67" s="9" t="str">
        <v>July</v>
      </c>
      <c r="P67" s="9" t="str">
        <v>August</v>
      </c>
      <c r="Q67" s="9">
        <v>0.5</v>
      </c>
      <c r="R67" s="9">
        <v>0</v>
      </c>
      <c r="S67" s="9">
        <v>0</v>
      </c>
      <c r="T67" s="9">
        <v>0</v>
      </c>
      <c r="U67" s="9">
        <v>0</v>
      </c>
      <c r="V67" s="9">
        <v>-55000</v>
      </c>
      <c r="W67" s="9" t="str">
        <v>Revised offer submitted</v>
      </c>
      <c r="X67" s="9">
        <v>0</v>
      </c>
      <c r="Y67" s="9">
        <v>0</v>
      </c>
    </row>
    <row r="68" spans="1:25">
      <c r="A68" s="9">
        <v>61</v>
      </c>
      <c r="B68" s="9">
        <v>45705</v>
      </c>
      <c r="C68" s="9" t="str">
        <v xml:space="preserve">GIC Instruments Pvt Ltd </v>
      </c>
      <c r="D68" s="9" t="str">
        <v>Pune</v>
      </c>
      <c r="E68" s="9" t="str">
        <v>stores</v>
      </c>
      <c r="F68" s="9" t="str">
        <v>Ajinkya Desale</v>
      </c>
      <c r="G68" s="9">
        <v>9403849891</v>
      </c>
      <c r="H68" s="9" t="str">
        <v>ajinkya.dhekale@gicindia.com</v>
      </c>
      <c r="I68" s="9" t="str">
        <v>22005568/001</v>
      </c>
      <c r="J68" s="9" t="str">
        <v>Contract</v>
      </c>
      <c r="K68" s="9" t="str">
        <v>Yes</v>
      </c>
      <c r="L68" s="9" t="str">
        <v>KXIND/W/YD/MC/25010</v>
      </c>
      <c r="M68" s="9" t="str">
        <v>29/01/2025</v>
      </c>
      <c r="N68" s="9">
        <v>78000</v>
      </c>
      <c r="O68" s="9" t="str">
        <v>January</v>
      </c>
      <c r="P68" s="9" t="str">
        <v>May</v>
      </c>
      <c r="Q68" s="9">
        <v>0.5</v>
      </c>
      <c r="R68" s="9">
        <v>26001159</v>
      </c>
      <c r="S68" s="9">
        <v>45798</v>
      </c>
      <c r="T68" s="9">
        <v>78000</v>
      </c>
      <c r="U68" s="9" t="str">
        <v>May</v>
      </c>
      <c r="V68" s="9">
        <v>0</v>
      </c>
      <c r="W68" s="9">
        <v>0</v>
      </c>
      <c r="X68" s="9">
        <v>0</v>
      </c>
      <c r="Y68" s="9">
        <v>0</v>
      </c>
    </row>
    <row r="69" spans="1:25">
      <c r="A69" s="9">
        <v>62</v>
      </c>
      <c r="B69" s="9">
        <v>45705</v>
      </c>
      <c r="C69" s="9" t="str">
        <v>Bajaj Auto Ltd</v>
      </c>
      <c r="D69" s="9" t="str">
        <v>Pune</v>
      </c>
      <c r="E69" s="9" t="str">
        <v>MTD store</v>
      </c>
      <c r="F69" s="9" t="str">
        <v>KIRAN S MAKHAMALE</v>
      </c>
      <c r="G69" s="9" t="str">
        <v>(020)66106409</v>
      </c>
      <c r="H69" s="9" t="str">
        <v>ksmakhamale@bajajauto.co.in</v>
      </c>
      <c r="I69" s="9" t="str">
        <v>14006953/001</v>
      </c>
      <c r="J69" s="9" t="str">
        <v>Contract</v>
      </c>
      <c r="K69" s="9" t="str">
        <v>No</v>
      </c>
      <c r="L69" s="9" t="str">
        <v>KXIND/W/YD/MC/25014R</v>
      </c>
      <c r="M69" s="9">
        <v>45993</v>
      </c>
      <c r="N69" s="9">
        <v>50000</v>
      </c>
      <c r="O69" s="9" t="str">
        <v>February</v>
      </c>
      <c r="P69" s="9" t="str">
        <v>February</v>
      </c>
      <c r="Q69" s="9">
        <v>0.6</v>
      </c>
      <c r="R69" s="9">
        <v>3110014461</v>
      </c>
      <c r="S69" s="9">
        <v>45700</v>
      </c>
      <c r="T69" s="9">
        <v>50000</v>
      </c>
      <c r="U69" s="9" t="str">
        <v>February</v>
      </c>
      <c r="V69" s="9">
        <v>0</v>
      </c>
      <c r="W69" s="9">
        <v>0</v>
      </c>
      <c r="X69" s="9">
        <v>0</v>
      </c>
      <c r="Y69" s="9">
        <v>0</v>
      </c>
    </row>
    <row r="70" spans="1:25">
      <c r="A70" s="9">
        <v>63</v>
      </c>
      <c r="B70" s="9">
        <v>45705</v>
      </c>
      <c r="C70" s="9" t="str">
        <v xml:space="preserve">Fiat india Automobiles Pvt. LTD </v>
      </c>
      <c r="D70" s="9" t="str">
        <v>Pune</v>
      </c>
      <c r="E70" s="9" t="str">
        <v>stores</v>
      </c>
      <c r="F70" s="9" t="str">
        <v>Ajinkya Suryavanshi</v>
      </c>
      <c r="G70" s="9">
        <v>7875555910</v>
      </c>
      <c r="H70" s="9" t="str">
        <v>Ajinkya.Suryavanshi@fiapl.com</v>
      </c>
      <c r="I70" s="9" t="str">
        <v>08008916/001</v>
      </c>
      <c r="J70" s="9" t="str">
        <v>Contract</v>
      </c>
      <c r="K70" s="9" t="str">
        <v>No</v>
      </c>
      <c r="L70" s="9" t="str">
        <v>KXIND/W/YD/MC/25015</v>
      </c>
      <c r="M70" s="9">
        <v>45993</v>
      </c>
      <c r="N70" s="9">
        <v>46500</v>
      </c>
      <c r="O70" s="9" t="str">
        <v>February</v>
      </c>
      <c r="P70" s="9" t="str">
        <v>June</v>
      </c>
      <c r="Q70" s="9">
        <v>0.5</v>
      </c>
      <c r="R70" s="9">
        <v>4518004947</v>
      </c>
      <c r="S70" s="9">
        <v>45812</v>
      </c>
      <c r="T70" s="9">
        <v>46500</v>
      </c>
      <c r="U70" s="9" t="str">
        <v>June</v>
      </c>
      <c r="V70" s="9">
        <v>0</v>
      </c>
      <c r="W70" s="9" t="str">
        <v>Offer including SW contract</v>
      </c>
      <c r="X70" s="9">
        <v>0</v>
      </c>
      <c r="Y70" s="9">
        <v>0</v>
      </c>
    </row>
    <row r="71" spans="1:25">
      <c r="A71" s="9">
        <v>64</v>
      </c>
      <c r="B71" s="9">
        <v>0</v>
      </c>
      <c r="C71" s="9" t="str">
        <v xml:space="preserve">Fiat india Automobiles Pvt. LTD </v>
      </c>
      <c r="D71" s="9" t="str">
        <v>Pune</v>
      </c>
      <c r="E71" s="9" t="str">
        <v>stores</v>
      </c>
      <c r="F71" s="9" t="str">
        <v>Ajinkya Suryavanshi</v>
      </c>
      <c r="G71" s="9">
        <v>7875555910</v>
      </c>
      <c r="H71" s="9" t="str">
        <v>Ajinkya.Suryavanshi@fiapl.com</v>
      </c>
      <c r="I71" s="9" t="str">
        <v>08008916/002</v>
      </c>
      <c r="J71" s="9" t="str">
        <v>Contract</v>
      </c>
      <c r="K71" s="9" t="str">
        <v>No</v>
      </c>
      <c r="L71" s="9" t="str">
        <v>KXIND/W/YD/MC/25015</v>
      </c>
      <c r="M71" s="9">
        <v>45993</v>
      </c>
      <c r="N71" s="9">
        <v>46500</v>
      </c>
      <c r="O71" s="9" t="str">
        <v>February</v>
      </c>
      <c r="P71" s="9" t="str">
        <v>June</v>
      </c>
      <c r="Q71" s="9">
        <v>0.5</v>
      </c>
      <c r="R71" s="9">
        <v>4518004947</v>
      </c>
      <c r="S71" s="9">
        <v>45812</v>
      </c>
      <c r="T71" s="9">
        <v>46500</v>
      </c>
      <c r="U71" s="9" t="str">
        <v>June</v>
      </c>
      <c r="V71" s="9">
        <v>0</v>
      </c>
      <c r="W71" s="9" t="str">
        <v>Offer including SW contract</v>
      </c>
      <c r="X71" s="9">
        <v>0</v>
      </c>
      <c r="Y71" s="9">
        <v>0</v>
      </c>
    </row>
    <row r="72" spans="1:25">
      <c r="A72" s="9">
        <v>65</v>
      </c>
      <c r="B72" s="9">
        <v>0</v>
      </c>
      <c r="C72" s="9" t="str">
        <v xml:space="preserve">Fiat india Automobiles Pvt. LTD </v>
      </c>
      <c r="D72" s="9" t="str">
        <v>Pune</v>
      </c>
      <c r="E72" s="9" t="str">
        <v>Stores</v>
      </c>
      <c r="F72" s="9" t="str">
        <v>Ajinkya Suryavanshi</v>
      </c>
      <c r="G72" s="9">
        <v>7875555910</v>
      </c>
      <c r="H72" s="9" t="str">
        <v>Ajinkya.Suryavanshi@fiapl.com</v>
      </c>
      <c r="I72" s="9" t="str">
        <v>10005771/001</v>
      </c>
      <c r="J72" s="9" t="str">
        <v>Contract</v>
      </c>
      <c r="K72" s="9" t="str">
        <v>No</v>
      </c>
      <c r="L72" s="9" t="str">
        <v>KXIND/W/YD/MC/25015</v>
      </c>
      <c r="M72" s="9">
        <v>45993</v>
      </c>
      <c r="N72" s="9">
        <v>46500</v>
      </c>
      <c r="O72" s="9" t="str">
        <v>February</v>
      </c>
      <c r="P72" s="9" t="str">
        <v>June</v>
      </c>
      <c r="Q72" s="9">
        <v>0.5</v>
      </c>
      <c r="R72" s="9">
        <v>4518004947</v>
      </c>
      <c r="S72" s="9">
        <v>45812</v>
      </c>
      <c r="T72" s="9">
        <v>46500</v>
      </c>
      <c r="U72" s="9" t="str">
        <v>June</v>
      </c>
      <c r="V72" s="9">
        <v>0</v>
      </c>
      <c r="W72" s="9" t="str">
        <v>Offer including SW contract</v>
      </c>
      <c r="X72" s="9">
        <v>0</v>
      </c>
      <c r="Y72" s="9">
        <v>0</v>
      </c>
    </row>
    <row r="73" spans="1:25">
      <c r="A73" s="9">
        <v>66</v>
      </c>
      <c r="B73" s="9">
        <v>0</v>
      </c>
      <c r="C73" s="9" t="str">
        <v xml:space="preserve">Fiat india Automobiles Pvt. LTD </v>
      </c>
      <c r="D73" s="9" t="str">
        <v>Pune</v>
      </c>
      <c r="E73" s="9" t="str">
        <v>stores</v>
      </c>
      <c r="F73" s="9" t="str">
        <v>Ajinkya Suryavanshi</v>
      </c>
      <c r="G73" s="9">
        <v>7875555910</v>
      </c>
      <c r="H73" s="9" t="str">
        <v>Ajinkya.Suryavanshi@fiapl.com</v>
      </c>
      <c r="I73" s="9" t="str">
        <v>10005770/001</v>
      </c>
      <c r="J73" s="9" t="str">
        <v>Contract</v>
      </c>
      <c r="K73" s="9" t="str">
        <v>No</v>
      </c>
      <c r="L73" s="9" t="str">
        <v>KXIND/W/YD/MC/25015</v>
      </c>
      <c r="M73" s="9">
        <v>45993</v>
      </c>
      <c r="N73" s="9">
        <v>46500</v>
      </c>
      <c r="O73" s="9" t="str">
        <v>February</v>
      </c>
      <c r="P73" s="9" t="str">
        <v>June</v>
      </c>
      <c r="Q73" s="9">
        <v>0.5</v>
      </c>
      <c r="R73" s="9">
        <v>4518004947</v>
      </c>
      <c r="S73" s="9">
        <v>45812</v>
      </c>
      <c r="T73" s="9">
        <v>46500</v>
      </c>
      <c r="U73" s="9" t="str">
        <v>June</v>
      </c>
      <c r="V73" s="9">
        <v>0</v>
      </c>
      <c r="W73" s="9" t="str">
        <v>Offer including SW contract</v>
      </c>
      <c r="X73" s="9">
        <v>0</v>
      </c>
      <c r="Y73" s="9">
        <v>0</v>
      </c>
    </row>
    <row r="74" spans="1:25">
      <c r="A74" s="9">
        <v>67</v>
      </c>
      <c r="B74" s="9">
        <v>45705</v>
      </c>
      <c r="C74" s="9" t="str">
        <v>Skoda Auto Volkswagen India Pvt Ltd</v>
      </c>
      <c r="D74" s="9" t="str">
        <v>Pune</v>
      </c>
      <c r="E74" s="9" t="str">
        <v>stores</v>
      </c>
      <c r="F74" s="9" t="str">
        <v>Pranav shinde</v>
      </c>
      <c r="G74" s="9">
        <v>7744051513</v>
      </c>
      <c r="H74" s="9" t="str">
        <v>pranav.shinde1@skoda-vw.co.in</v>
      </c>
      <c r="I74" s="9">
        <v>102008505</v>
      </c>
      <c r="J74" s="9" t="str">
        <v>SPP</v>
      </c>
      <c r="K74" s="9" t="str">
        <v>Yes</v>
      </c>
      <c r="L74" s="9" t="str">
        <v>KXIND/W/YD/SPP/25013</v>
      </c>
      <c r="M74" s="9">
        <v>45687</v>
      </c>
      <c r="N74" s="9">
        <v>651370</v>
      </c>
      <c r="O74" s="9" t="str">
        <v>February</v>
      </c>
      <c r="P74" s="9" t="str">
        <v>April</v>
      </c>
      <c r="Q74" s="9">
        <v>0.5</v>
      </c>
      <c r="R74" s="9">
        <v>8000155101</v>
      </c>
      <c r="S74" s="9">
        <v>45758</v>
      </c>
      <c r="T74" s="9">
        <v>625314</v>
      </c>
      <c r="U74" s="9" t="str">
        <v>April</v>
      </c>
      <c r="V74" s="9">
        <v>-26056</v>
      </c>
      <c r="W74" s="9">
        <v>0</v>
      </c>
      <c r="X74" s="9">
        <v>0</v>
      </c>
      <c r="Y74" s="9">
        <v>0</v>
      </c>
    </row>
    <row r="75" spans="1:25">
      <c r="A75" s="9">
        <v>137</v>
      </c>
      <c r="B75" s="9">
        <v>45922</v>
      </c>
      <c r="C75" s="9" t="str">
        <v xml:space="preserve">Tata Motors LTD </v>
      </c>
      <c r="D75" s="9" t="str">
        <v>Pune</v>
      </c>
      <c r="E75" s="9" t="str">
        <v>Cblk Maint</v>
      </c>
      <c r="F75" s="9" t="str">
        <v>Amit sharma</v>
      </c>
      <c r="G75" s="9">
        <v>9011018387</v>
      </c>
      <c r="H75" s="9" t="str">
        <v>s.amit1@tatamotors.com</v>
      </c>
      <c r="I75" s="9" t="str">
        <v>06008006/001</v>
      </c>
      <c r="J75" s="9" t="str">
        <v>Relocation</v>
      </c>
      <c r="K75" s="9" t="str">
        <v>Yes</v>
      </c>
      <c r="L75" s="9" t="str">
        <v>KRIND/W/YD/RE/25069</v>
      </c>
      <c r="M75" s="9" t="str">
        <v>15-092025</v>
      </c>
      <c r="N75" s="9">
        <v>1160000</v>
      </c>
      <c r="O75" s="9" t="str">
        <v>September</v>
      </c>
      <c r="P75" s="9" t="str">
        <v>December</v>
      </c>
      <c r="Q75" s="9">
        <v>0.3</v>
      </c>
      <c r="R75" s="9">
        <v>0</v>
      </c>
      <c r="S75" s="9">
        <v>0</v>
      </c>
      <c r="T75" s="9">
        <v>0</v>
      </c>
      <c r="U75" s="9">
        <v>0</v>
      </c>
      <c r="V75" s="9">
        <v>1160000</v>
      </c>
      <c r="W75" s="9">
        <v>0</v>
      </c>
      <c r="X75" s="9">
        <v>0</v>
      </c>
      <c r="Y75" s="9">
        <v>0</v>
      </c>
    </row>
    <row r="76" spans="1:25">
      <c r="A76" s="9">
        <v>69</v>
      </c>
      <c r="B76" s="9">
        <v>45705</v>
      </c>
      <c r="C76" s="9" t="str">
        <v>Carraro India Pvt Limited</v>
      </c>
      <c r="D76" s="9" t="str">
        <v>Pune</v>
      </c>
      <c r="E76" s="9" t="str">
        <v>stores</v>
      </c>
      <c r="F76" s="9" t="str">
        <v>Ravindra khambayat</v>
      </c>
      <c r="G76" s="9">
        <v>9822840261</v>
      </c>
      <c r="H76" s="9" t="str">
        <v>Ravindra_Khambayat@carraro.com</v>
      </c>
      <c r="I76" s="9" t="str">
        <v>23004830/001</v>
      </c>
      <c r="J76" s="9" t="str">
        <v>SPP</v>
      </c>
      <c r="K76" s="9" t="str">
        <v>Yes</v>
      </c>
      <c r="L76" s="9" t="str">
        <v>KXIND/W/YD/SPP/25012</v>
      </c>
      <c r="M76" s="9">
        <v>45687</v>
      </c>
      <c r="N76" s="9">
        <v>85916</v>
      </c>
      <c r="O76" s="9" t="str">
        <v>February</v>
      </c>
      <c r="P76" s="9" t="str">
        <v>April</v>
      </c>
      <c r="Q76" s="9">
        <v>0.5</v>
      </c>
      <c r="R76" s="9">
        <v>4500527548</v>
      </c>
      <c r="S76" s="9">
        <v>45740</v>
      </c>
      <c r="T76" s="9">
        <v>52380</v>
      </c>
      <c r="U76" s="9" t="str">
        <v>April</v>
      </c>
      <c r="V76" s="9">
        <v>-33536</v>
      </c>
      <c r="W76" s="9">
        <v>0</v>
      </c>
      <c r="X76" s="9">
        <v>0</v>
      </c>
      <c r="Y76" s="9">
        <v>0</v>
      </c>
    </row>
    <row r="77" spans="1:25">
      <c r="A77" s="9">
        <v>70</v>
      </c>
      <c r="B77" s="9">
        <v>45705</v>
      </c>
      <c r="C77" s="9" t="str">
        <v>Bajaj Auto Ltd</v>
      </c>
      <c r="D77" s="9" t="str">
        <v>Pune</v>
      </c>
      <c r="E77" s="9" t="str">
        <v>veh.store</v>
      </c>
      <c r="F77" s="9" t="str">
        <v>Ganesh Navale</v>
      </c>
      <c r="G77" s="9">
        <v>9503050525</v>
      </c>
      <c r="H77" s="9" t="str">
        <v>ganesh.navale@bajaj.co.in</v>
      </c>
      <c r="I77" s="9" t="str">
        <v>18001594/001</v>
      </c>
      <c r="J77" s="9" t="str">
        <v>SPP</v>
      </c>
      <c r="K77" s="9" t="str">
        <v>Yes</v>
      </c>
      <c r="L77" s="9" t="str">
        <v>KXIND/W/YD/SPP/24025</v>
      </c>
      <c r="M77" s="9" t="str">
        <v>13/02/2025</v>
      </c>
      <c r="N77" s="9">
        <v>185900</v>
      </c>
      <c r="O77" s="9" t="str">
        <v>January</v>
      </c>
      <c r="P77" s="9" t="str">
        <v>April</v>
      </c>
      <c r="Q77" s="9">
        <v>0.5</v>
      </c>
      <c r="R77" s="9">
        <v>5210058236</v>
      </c>
      <c r="S77" s="9">
        <v>45737</v>
      </c>
      <c r="T77" s="9">
        <v>178464</v>
      </c>
      <c r="U77" s="9" t="str">
        <v>April</v>
      </c>
      <c r="V77" s="9">
        <v>-7436</v>
      </c>
      <c r="W77" s="9">
        <v>0</v>
      </c>
      <c r="X77" s="9">
        <v>0</v>
      </c>
      <c r="Y77" s="9">
        <v>0</v>
      </c>
    </row>
    <row r="78" spans="1:25">
      <c r="A78" s="9">
        <v>71</v>
      </c>
      <c r="B78" s="9">
        <v>45705</v>
      </c>
      <c r="C78" s="9" t="str">
        <v>Skoda Auto Volkswagen India Pvt Ltd</v>
      </c>
      <c r="D78" s="9" t="str">
        <v>Pune</v>
      </c>
      <c r="E78" s="9" t="str">
        <v>stores</v>
      </c>
      <c r="F78" s="9" t="str">
        <v>Pranav shinde</v>
      </c>
      <c r="G78" s="9">
        <v>7744051513</v>
      </c>
      <c r="H78" s="9" t="str">
        <v>pranav.shinde1@skoda-vw.co.in</v>
      </c>
      <c r="I78" s="9">
        <v>102008505</v>
      </c>
      <c r="J78" s="9" t="str">
        <v>Contract</v>
      </c>
      <c r="K78" s="9" t="str">
        <v>No</v>
      </c>
      <c r="L78" s="9" t="str">
        <v>KXIND/W/YD/SPP/2519</v>
      </c>
      <c r="M78" s="9" t="str">
        <v>17/02/2025</v>
      </c>
      <c r="N78" s="9">
        <v>127200</v>
      </c>
      <c r="O78" s="9" t="str">
        <v>February</v>
      </c>
      <c r="P78" s="9" t="str">
        <v>April</v>
      </c>
      <c r="Q78" s="9">
        <v>0.5</v>
      </c>
      <c r="R78" s="9">
        <v>8000155292</v>
      </c>
      <c r="S78" s="9">
        <v>45768</v>
      </c>
      <c r="T78" s="9">
        <v>127200</v>
      </c>
      <c r="U78" s="9" t="str">
        <v>April</v>
      </c>
      <c r="V78" s="9">
        <v>0</v>
      </c>
      <c r="W78" s="9" t="str">
        <v>Offer including SW contract</v>
      </c>
      <c r="X78" s="9">
        <v>0</v>
      </c>
      <c r="Y78" s="9">
        <v>0</v>
      </c>
    </row>
    <row r="79" spans="1:25">
      <c r="A79" s="9">
        <v>72</v>
      </c>
      <c r="B79" s="9">
        <v>0</v>
      </c>
      <c r="C79" s="9" t="str">
        <v>Skoda Auto Volkswagen India Pvt Ltd</v>
      </c>
      <c r="D79" s="9" t="str">
        <v>Pune</v>
      </c>
      <c r="E79" s="9" t="str">
        <v>stores</v>
      </c>
      <c r="F79" s="9" t="str">
        <v>Pranav shinde</v>
      </c>
      <c r="G79" s="9">
        <v>7744051513</v>
      </c>
      <c r="H79" s="9" t="str">
        <v>pranav.shinde1@skoda-vw.co.in</v>
      </c>
      <c r="I79" s="9">
        <v>102008506</v>
      </c>
      <c r="J79" s="9" t="str">
        <v>Contract</v>
      </c>
      <c r="K79" s="9" t="str">
        <v>No</v>
      </c>
      <c r="L79" s="9" t="str">
        <v>KXIND/W/YD/SPP/2519</v>
      </c>
      <c r="M79" s="9" t="str">
        <v>17/02/2025</v>
      </c>
      <c r="N79" s="9">
        <v>127200</v>
      </c>
      <c r="O79" s="9" t="str">
        <v>February</v>
      </c>
      <c r="P79" s="9" t="str">
        <v>April</v>
      </c>
      <c r="Q79" s="9">
        <v>0.5</v>
      </c>
      <c r="R79" s="9">
        <v>8000155292</v>
      </c>
      <c r="S79" s="9">
        <v>45768</v>
      </c>
      <c r="T79" s="9">
        <v>127200</v>
      </c>
      <c r="U79" s="9" t="str">
        <v>April</v>
      </c>
      <c r="V79" s="9">
        <v>0</v>
      </c>
      <c r="W79" s="9" t="str">
        <v>Offer including SW contract</v>
      </c>
      <c r="X79" s="9">
        <v>0</v>
      </c>
      <c r="Y79" s="9">
        <v>0</v>
      </c>
    </row>
    <row r="80" spans="1:25">
      <c r="A80" s="9">
        <v>73</v>
      </c>
      <c r="B80" s="9">
        <v>0</v>
      </c>
      <c r="C80" s="9" t="str">
        <v>Skoda Auto Volkswagen India Pvt Ltd</v>
      </c>
      <c r="D80" s="9" t="str">
        <v>Pune</v>
      </c>
      <c r="E80" s="9" t="str">
        <v>stores</v>
      </c>
      <c r="F80" s="9" t="str">
        <v>Pranav shinde</v>
      </c>
      <c r="G80" s="9">
        <v>7744051513</v>
      </c>
      <c r="H80" s="9" t="str">
        <v>pranav.shinde1@skoda-vw.co.in</v>
      </c>
      <c r="I80" s="9">
        <v>102008507</v>
      </c>
      <c r="J80" s="9" t="str">
        <v>Contract</v>
      </c>
      <c r="K80" s="9" t="str">
        <v>No</v>
      </c>
      <c r="L80" s="9" t="str">
        <v>KXIND/W/YD/SPP/2519</v>
      </c>
      <c r="M80" s="9" t="str">
        <v>17/02/2025</v>
      </c>
      <c r="N80" s="9">
        <v>127200</v>
      </c>
      <c r="O80" s="9" t="str">
        <v>February</v>
      </c>
      <c r="P80" s="9" t="str">
        <v>April</v>
      </c>
      <c r="Q80" s="9">
        <v>0.5</v>
      </c>
      <c r="R80" s="9">
        <v>8000155292</v>
      </c>
      <c r="S80" s="9">
        <v>45768</v>
      </c>
      <c r="T80" s="9">
        <v>127200</v>
      </c>
      <c r="U80" s="9" t="str">
        <v>April</v>
      </c>
      <c r="V80" s="9">
        <v>0</v>
      </c>
      <c r="W80" s="9" t="str">
        <v>Offer including SW contract</v>
      </c>
      <c r="X80" s="9">
        <v>0</v>
      </c>
      <c r="Y80" s="9">
        <v>0</v>
      </c>
    </row>
    <row r="81" spans="1:25">
      <c r="A81" s="9">
        <v>74</v>
      </c>
      <c r="B81" s="9">
        <v>0</v>
      </c>
      <c r="C81" s="9" t="str">
        <v>Skoda Auto Volkswagen India Pvt Ltd</v>
      </c>
      <c r="D81" s="9" t="str">
        <v>Pune</v>
      </c>
      <c r="E81" s="9" t="str">
        <v>stores</v>
      </c>
      <c r="F81" s="9" t="str">
        <v>Pranav shinde</v>
      </c>
      <c r="G81" s="9">
        <v>7744051513</v>
      </c>
      <c r="H81" s="9" t="str">
        <v>pranav.shinde1@skoda-vw.co.in</v>
      </c>
      <c r="I81" s="9">
        <v>102008508</v>
      </c>
      <c r="J81" s="9" t="str">
        <v>Contract</v>
      </c>
      <c r="K81" s="9" t="str">
        <v>No</v>
      </c>
      <c r="L81" s="9" t="str">
        <v>KXIND/W/YD/SPP/2519</v>
      </c>
      <c r="M81" s="9" t="str">
        <v>17/02/2025</v>
      </c>
      <c r="N81" s="9">
        <v>127200</v>
      </c>
      <c r="O81" s="9" t="str">
        <v>February</v>
      </c>
      <c r="P81" s="9" t="str">
        <v>April</v>
      </c>
      <c r="Q81" s="9">
        <v>0.5</v>
      </c>
      <c r="R81" s="9">
        <v>8000155292</v>
      </c>
      <c r="S81" s="9">
        <v>45768</v>
      </c>
      <c r="T81" s="9">
        <v>127200</v>
      </c>
      <c r="U81" s="9" t="str">
        <v>April</v>
      </c>
      <c r="V81" s="9">
        <v>0</v>
      </c>
      <c r="W81" s="9" t="str">
        <v>Offer including SW contract</v>
      </c>
      <c r="X81" s="9">
        <v>0</v>
      </c>
      <c r="Y81" s="9">
        <v>0</v>
      </c>
    </row>
    <row r="82" spans="1:25">
      <c r="A82" s="9">
        <v>75</v>
      </c>
      <c r="B82" s="9">
        <v>0</v>
      </c>
      <c r="C82" s="9" t="str">
        <v>Skoda Auto Volkswagen India Pvt Ltd</v>
      </c>
      <c r="D82" s="9" t="str">
        <v>Pune</v>
      </c>
      <c r="E82" s="9" t="str">
        <v>stores</v>
      </c>
      <c r="F82" s="9" t="str">
        <v>Pranav shinde</v>
      </c>
      <c r="G82" s="9">
        <v>7744051513</v>
      </c>
      <c r="H82" s="9" t="str">
        <v>pranav.shinde1@skoda-vw.co.in</v>
      </c>
      <c r="I82" s="9">
        <v>102008509</v>
      </c>
      <c r="J82" s="9" t="str">
        <v>Contract</v>
      </c>
      <c r="K82" s="9" t="str">
        <v>No</v>
      </c>
      <c r="L82" s="9" t="str">
        <v>KXIND/W/YD/SPP/2519</v>
      </c>
      <c r="M82" s="9" t="str">
        <v>17/02/2025</v>
      </c>
      <c r="N82" s="9">
        <v>127200</v>
      </c>
      <c r="O82" s="9" t="str">
        <v>February</v>
      </c>
      <c r="P82" s="9" t="str">
        <v>April</v>
      </c>
      <c r="Q82" s="9">
        <v>0.5</v>
      </c>
      <c r="R82" s="9">
        <v>8000155292</v>
      </c>
      <c r="S82" s="9">
        <v>45768</v>
      </c>
      <c r="T82" s="9">
        <v>127200</v>
      </c>
      <c r="U82" s="9" t="str">
        <v>April</v>
      </c>
      <c r="V82" s="9">
        <v>0</v>
      </c>
      <c r="W82" s="9" t="str">
        <v>Offer including SW contract</v>
      </c>
      <c r="X82" s="9">
        <v>0</v>
      </c>
      <c r="Y82" s="9">
        <v>0</v>
      </c>
    </row>
    <row r="83" spans="1:25">
      <c r="A83" s="9">
        <v>76</v>
      </c>
      <c r="B83" s="9">
        <v>45715</v>
      </c>
      <c r="C83" s="9" t="str">
        <v>Kaeser Compressor (I) Pvt Ltd</v>
      </c>
      <c r="D83" s="9" t="str">
        <v>Pune</v>
      </c>
      <c r="E83" s="9" t="str">
        <v>stores</v>
      </c>
      <c r="F83" s="9" t="str">
        <v>Pravin Ingale</v>
      </c>
      <c r="G83" s="9">
        <v>9881071995</v>
      </c>
      <c r="H83" s="9" t="str">
        <v>pravin.ingle@kaeser.com</v>
      </c>
      <c r="I83" s="9" t="str">
        <v>22004776/001</v>
      </c>
      <c r="J83" s="9" t="str">
        <v>Upgrade kit</v>
      </c>
      <c r="K83" s="9" t="str">
        <v>Yes</v>
      </c>
      <c r="L83" s="9" t="str">
        <v>KXIND/W/YD/SPP/25024</v>
      </c>
      <c r="M83" s="9">
        <v>45714</v>
      </c>
      <c r="N83" s="9">
        <v>0</v>
      </c>
      <c r="O83" s="9" t="str">
        <v>February</v>
      </c>
      <c r="P83" s="9" t="str">
        <v>May</v>
      </c>
      <c r="Q83" s="9">
        <v>0.2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</row>
    <row r="84" spans="1:25">
      <c r="A84" s="9">
        <v>77</v>
      </c>
      <c r="B84" s="9">
        <v>45715</v>
      </c>
      <c r="C84" s="9" t="str">
        <v>Harman International (I) Pvt Ltd</v>
      </c>
      <c r="D84" s="9" t="str">
        <v>Pune</v>
      </c>
      <c r="E84" s="9" t="str">
        <v>stores</v>
      </c>
      <c r="F84" s="9" t="str">
        <v>Santosh Deshmukh</v>
      </c>
      <c r="G84" s="9">
        <v>9552599231</v>
      </c>
      <c r="H84" s="9" t="str">
        <v>santosh.deshmukh@harman.com</v>
      </c>
      <c r="I84" s="9" t="str">
        <v>23002397/001</v>
      </c>
      <c r="J84" s="9" t="str">
        <v>SPP</v>
      </c>
      <c r="K84" s="9" t="str">
        <v>Yes</v>
      </c>
      <c r="L84" s="9" t="str">
        <v>KXIND/W/SPP/YD/25021</v>
      </c>
      <c r="M84" s="9">
        <v>45712</v>
      </c>
      <c r="N84" s="9">
        <v>426306</v>
      </c>
      <c r="O84" s="9" t="str">
        <v>February</v>
      </c>
      <c r="P84" s="9" t="str">
        <v>March</v>
      </c>
      <c r="Q84" s="9">
        <v>0.8</v>
      </c>
      <c r="R84" s="9">
        <v>7700331210</v>
      </c>
      <c r="S84" s="9">
        <v>45717</v>
      </c>
      <c r="T84" s="9">
        <v>426306</v>
      </c>
      <c r="U84" s="9" t="str">
        <v>March</v>
      </c>
      <c r="V84" s="9">
        <v>0</v>
      </c>
      <c r="W84" s="9">
        <v>0</v>
      </c>
      <c r="X84" s="9">
        <v>0</v>
      </c>
      <c r="Y84" s="9">
        <v>0</v>
      </c>
    </row>
    <row r="85" spans="1:25">
      <c r="A85" s="9">
        <v>78</v>
      </c>
      <c r="B85" s="9">
        <v>45715</v>
      </c>
      <c r="C85" s="9" t="str">
        <v>Tetra Pak India Pvt Ltd</v>
      </c>
      <c r="D85" s="9" t="str">
        <v>Pune</v>
      </c>
      <c r="E85" s="9" t="str">
        <v>stors</v>
      </c>
      <c r="F85" s="9" t="str">
        <v>Mohan Kumar</v>
      </c>
      <c r="G85" s="9">
        <v>0</v>
      </c>
      <c r="H85" s="9" t="str">
        <v>mg.mohan@tetrapak.com</v>
      </c>
      <c r="I85" s="9" t="str">
        <v>13004913/001</v>
      </c>
      <c r="J85" s="9" t="str">
        <v>SPP</v>
      </c>
      <c r="K85" s="9" t="str">
        <v>Yes</v>
      </c>
      <c r="L85" s="9" t="str">
        <v>KXIND/W/SPP/YD/25022</v>
      </c>
      <c r="M85" s="9">
        <v>45713</v>
      </c>
      <c r="N85" s="9">
        <v>85320</v>
      </c>
      <c r="O85" s="9" t="str">
        <v>February</v>
      </c>
      <c r="P85" s="9" t="str">
        <v>May</v>
      </c>
      <c r="Q85" s="9">
        <v>0.3</v>
      </c>
      <c r="R85" s="9">
        <v>927602141</v>
      </c>
      <c r="S85" s="9">
        <v>45729</v>
      </c>
      <c r="T85" s="9">
        <v>85320</v>
      </c>
      <c r="U85" s="9" t="str">
        <v>May</v>
      </c>
      <c r="V85" s="9">
        <v>0</v>
      </c>
      <c r="W85" s="9">
        <v>0</v>
      </c>
      <c r="X85" s="9">
        <v>0</v>
      </c>
      <c r="Y85" s="9">
        <v>0</v>
      </c>
    </row>
    <row r="86" spans="1:25">
      <c r="A86" s="9">
        <v>79</v>
      </c>
      <c r="B86" s="9">
        <v>45715</v>
      </c>
      <c r="C86" s="9" t="str">
        <v xml:space="preserve">Kirloskar Oil Engine LTD </v>
      </c>
      <c r="D86" s="9" t="str">
        <v>Pune</v>
      </c>
      <c r="E86" s="9" t="str">
        <v>Stores</v>
      </c>
      <c r="F86" s="9" t="str">
        <v>Sayajirao Mali</v>
      </c>
      <c r="G86" s="9" t="str">
        <v>9881734612 </v>
      </c>
      <c r="H86" s="9" t="str">
        <v>sayajirao.mali@kirloskar.com</v>
      </c>
      <c r="I86" s="9" t="str">
        <v>16000438/001</v>
      </c>
      <c r="J86" s="9" t="str">
        <v>SPP</v>
      </c>
      <c r="K86" s="9" t="str">
        <v>Yes</v>
      </c>
      <c r="L86" s="9" t="str">
        <v>KXIND/W/SPP/YD/25023</v>
      </c>
      <c r="M86" s="9">
        <v>45713</v>
      </c>
      <c r="N86" s="9">
        <v>25200</v>
      </c>
      <c r="O86" s="9" t="str">
        <v>February</v>
      </c>
      <c r="P86" s="9" t="str">
        <v>March</v>
      </c>
      <c r="Q86" s="9">
        <v>0.6</v>
      </c>
      <c r="R86" s="9">
        <v>7025041263</v>
      </c>
      <c r="S86" s="9">
        <v>45717</v>
      </c>
      <c r="T86" s="9">
        <v>25200</v>
      </c>
      <c r="U86" s="9" t="str">
        <v>March</v>
      </c>
      <c r="V86" s="9">
        <v>0</v>
      </c>
      <c r="W86" s="9">
        <v>0</v>
      </c>
      <c r="X86" s="9">
        <v>0</v>
      </c>
      <c r="Y86" s="9">
        <v>0</v>
      </c>
    </row>
    <row r="87" spans="1:25">
      <c r="A87" s="9">
        <v>80</v>
      </c>
      <c r="B87" s="9">
        <v>45726</v>
      </c>
      <c r="C87" s="9" t="str">
        <v>J K Sales</v>
      </c>
      <c r="D87" s="9" t="str">
        <v>Pune</v>
      </c>
      <c r="E87" s="9" t="str">
        <v>stores</v>
      </c>
      <c r="F87" s="9" t="str">
        <v>Nilesh nazare</v>
      </c>
      <c r="G87" s="9">
        <v>9860247575</v>
      </c>
      <c r="H87" s="9" t="str">
        <v>nilesh.nazre@jksales.in</v>
      </c>
      <c r="I87" s="9" t="str">
        <v>19009236/001</v>
      </c>
      <c r="J87" s="9" t="str">
        <v>Contract</v>
      </c>
      <c r="K87" s="9" t="str">
        <v>No</v>
      </c>
      <c r="L87" s="9" t="str">
        <v>KXIND/W/YD/MC/25024</v>
      </c>
      <c r="M87" s="9">
        <v>45718</v>
      </c>
      <c r="N87" s="9">
        <v>83000</v>
      </c>
      <c r="O87" s="9" t="str">
        <v>March</v>
      </c>
      <c r="P87" s="9" t="str">
        <v>April</v>
      </c>
      <c r="Q87" s="9">
        <v>0.6</v>
      </c>
      <c r="R87" s="9" t="str">
        <v>JK/PO/25-26/0041</v>
      </c>
      <c r="S87" s="9">
        <v>45761</v>
      </c>
      <c r="T87" s="9">
        <v>80001</v>
      </c>
      <c r="U87" s="9" t="str">
        <v>April</v>
      </c>
      <c r="V87" s="9">
        <v>-2999</v>
      </c>
      <c r="W87" s="9">
        <v>0</v>
      </c>
      <c r="X87" s="9">
        <v>0</v>
      </c>
      <c r="Y87" s="9">
        <v>0</v>
      </c>
    </row>
    <row r="88" spans="1:25">
      <c r="A88" s="9">
        <v>81</v>
      </c>
      <c r="B88" s="9">
        <v>45740</v>
      </c>
      <c r="C88" s="9" t="str">
        <v>Rieter India Pvt Ltd</v>
      </c>
      <c r="D88" s="9" t="str">
        <v>Pune</v>
      </c>
      <c r="E88" s="9" t="str">
        <v>stores</v>
      </c>
      <c r="F88" s="9" t="str">
        <v>Manoj Rasal</v>
      </c>
      <c r="G88" s="9">
        <v>9822192492</v>
      </c>
      <c r="H88" s="9" t="str">
        <v xml:space="preserve">manoj.rasal@rieter.com </v>
      </c>
      <c r="I88" s="9" t="str">
        <v>21002906/001</v>
      </c>
      <c r="J88" s="9" t="str">
        <v>Contract</v>
      </c>
      <c r="K88" s="9" t="str">
        <v>No</v>
      </c>
      <c r="L88" s="9" t="str">
        <v xml:space="preserve">KXIND/W/MC/YD/25025                                                                          </v>
      </c>
      <c r="M88" s="9">
        <v>45718</v>
      </c>
      <c r="N88" s="9">
        <v>67000</v>
      </c>
      <c r="O88" s="9" t="str">
        <v>March</v>
      </c>
      <c r="P88" s="9" t="str">
        <v>May</v>
      </c>
      <c r="Q88" s="9">
        <v>0.3</v>
      </c>
      <c r="R88" s="9">
        <v>4504578229</v>
      </c>
      <c r="S88" s="9">
        <v>45779</v>
      </c>
      <c r="T88" s="9">
        <v>67000</v>
      </c>
      <c r="U88" s="9" t="str">
        <v>May</v>
      </c>
      <c r="V88" s="9">
        <v>0</v>
      </c>
      <c r="W88" s="9">
        <v>0</v>
      </c>
      <c r="X88" s="9">
        <v>0</v>
      </c>
      <c r="Y88" s="9">
        <v>0</v>
      </c>
    </row>
    <row r="89" spans="1:25">
      <c r="A89" s="9">
        <v>82</v>
      </c>
      <c r="B89" s="9">
        <v>45740</v>
      </c>
      <c r="C89" s="9" t="str">
        <v xml:space="preserve">GIC Instruments Pvt Ltd </v>
      </c>
      <c r="D89" s="9" t="str">
        <v>Pune</v>
      </c>
      <c r="E89" s="9" t="str">
        <v>stores</v>
      </c>
      <c r="F89" s="9" t="str">
        <v>Ajinkya Desale</v>
      </c>
      <c r="G89" s="9">
        <v>9403849891</v>
      </c>
      <c r="H89" s="9" t="str">
        <v>ajinkya.dhekale@gicindia.com</v>
      </c>
      <c r="I89" s="9" t="str">
        <v>08010151/001</v>
      </c>
      <c r="J89" s="9" t="str">
        <v>SPP</v>
      </c>
      <c r="K89" s="9" t="str">
        <v>Yes</v>
      </c>
      <c r="L89" s="9" t="str">
        <v>KXIND/W/YD/SPP/25033</v>
      </c>
      <c r="M89" s="9">
        <v>45740</v>
      </c>
      <c r="N89" s="9">
        <v>509102</v>
      </c>
      <c r="O89" s="9" t="str">
        <v>March</v>
      </c>
      <c r="P89" s="9" t="str">
        <v>May</v>
      </c>
      <c r="Q89" s="9">
        <v>0.3</v>
      </c>
      <c r="R89" s="9">
        <v>26001228</v>
      </c>
      <c r="S89" s="9" t="str">
        <v>23.05.2025</v>
      </c>
      <c r="T89" s="9">
        <v>239244</v>
      </c>
      <c r="U89" s="9" t="str">
        <v>May</v>
      </c>
      <c r="V89" s="9">
        <v>-269858</v>
      </c>
      <c r="W89" s="9">
        <v>0</v>
      </c>
      <c r="X89" s="9">
        <v>0</v>
      </c>
      <c r="Y89" s="9">
        <v>0</v>
      </c>
    </row>
    <row r="90" spans="1:25">
      <c r="A90" s="9">
        <v>83</v>
      </c>
      <c r="B90" s="9">
        <v>45740</v>
      </c>
      <c r="C90" s="9" t="str">
        <v>Jabil Circuit India private Limited</v>
      </c>
      <c r="D90" s="9" t="str">
        <v>Pune</v>
      </c>
      <c r="E90" s="9" t="str">
        <v>Stores</v>
      </c>
      <c r="F90" s="9" t="str">
        <v>Kelly Zhu</v>
      </c>
      <c r="G90" s="9" t="str">
        <v>+86 181-6832-9955</v>
      </c>
      <c r="H90" s="9" t="str">
        <v>Kelly_Zhu33@Jabil.com</v>
      </c>
      <c r="I90" s="9" t="str">
        <v>24005161/001</v>
      </c>
      <c r="J90" s="9" t="str">
        <v>Retrofit kit</v>
      </c>
      <c r="K90" s="9" t="str">
        <v>Yes</v>
      </c>
      <c r="L90" s="9" t="str">
        <v>KXIND/W/YD/SPP/25031</v>
      </c>
      <c r="M90" s="9">
        <v>45736</v>
      </c>
      <c r="N90" s="9">
        <v>25643885</v>
      </c>
      <c r="O90" s="9" t="str">
        <v>March</v>
      </c>
      <c r="P90" s="9" t="str">
        <v>April</v>
      </c>
      <c r="Q90" s="9">
        <v>0.6</v>
      </c>
      <c r="R90" s="9" t="str">
        <v>C-10003127958</v>
      </c>
      <c r="S90" s="9">
        <v>45775</v>
      </c>
      <c r="T90" s="9">
        <v>25643885</v>
      </c>
      <c r="U90" s="9" t="str">
        <v>April</v>
      </c>
      <c r="V90" s="9">
        <v>0</v>
      </c>
      <c r="W90" s="9">
        <v>0</v>
      </c>
      <c r="X90" s="9">
        <v>0</v>
      </c>
      <c r="Y90" s="9">
        <v>0</v>
      </c>
    </row>
    <row r="91" spans="1:25">
      <c r="A91" s="9">
        <v>84</v>
      </c>
      <c r="B91" s="9">
        <v>45740</v>
      </c>
      <c r="C91" s="9" t="str">
        <v xml:space="preserve">Mahindra Vehicals Mf LTD </v>
      </c>
      <c r="D91" s="9" t="str">
        <v>Pune</v>
      </c>
      <c r="E91" s="9" t="str">
        <v>P block stores</v>
      </c>
      <c r="F91" s="9" t="str">
        <v>KiranKapgate</v>
      </c>
      <c r="G91" s="9">
        <v>9552571724</v>
      </c>
      <c r="H91" s="9" t="str">
        <v>KAPGATE.KIRAN@mahindra.com</v>
      </c>
      <c r="I91" s="9" t="str">
        <v>13000097/001</v>
      </c>
      <c r="J91" s="9" t="str">
        <v>BD Spare</v>
      </c>
      <c r="K91" s="9" t="str">
        <v>No</v>
      </c>
      <c r="L91" s="9" t="str">
        <v>KXIND/W/SPP/YD25026</v>
      </c>
      <c r="M91" s="9">
        <v>45723</v>
      </c>
      <c r="N91" s="9">
        <v>22600</v>
      </c>
      <c r="O91" s="9" t="str">
        <v>March</v>
      </c>
      <c r="P91" s="9" t="str">
        <v>March</v>
      </c>
      <c r="Q91" s="9">
        <v>1</v>
      </c>
      <c r="R91" s="9">
        <v>66011802</v>
      </c>
      <c r="S91" s="9">
        <v>45734</v>
      </c>
      <c r="T91" s="9">
        <v>22600</v>
      </c>
      <c r="U91" s="9" t="str">
        <v>March</v>
      </c>
      <c r="V91" s="9">
        <v>0</v>
      </c>
      <c r="W91" s="9">
        <v>0</v>
      </c>
      <c r="X91" s="9">
        <v>0</v>
      </c>
      <c r="Y91" s="9">
        <v>0</v>
      </c>
    </row>
    <row r="92" spans="1:25">
      <c r="A92" s="9">
        <v>85</v>
      </c>
      <c r="B92" s="9">
        <v>45741</v>
      </c>
      <c r="C92" s="9" t="str">
        <v>LMT Tools India Pvt Ltd</v>
      </c>
      <c r="D92" s="9" t="str">
        <v>Pune</v>
      </c>
      <c r="E92" s="9" t="str">
        <v>Stores</v>
      </c>
      <c r="F92" s="9" t="str">
        <v>Ramesh Thorat</v>
      </c>
      <c r="G92" s="9">
        <v>9158883568</v>
      </c>
      <c r="H92" s="9" t="str">
        <v>RKthorat@lmt-tools.com</v>
      </c>
      <c r="I92" s="9" t="str">
        <v>99006602/001</v>
      </c>
      <c r="J92" s="9" t="str">
        <v>Relocation</v>
      </c>
      <c r="K92" s="9" t="str">
        <v>No</v>
      </c>
      <c r="L92" s="9" t="str">
        <v>KRIND/W/RE/25027R</v>
      </c>
      <c r="M92" s="9">
        <v>45726</v>
      </c>
      <c r="N92" s="9">
        <v>325000</v>
      </c>
      <c r="O92" s="9" t="str">
        <v>March</v>
      </c>
      <c r="P92" s="9" t="str">
        <v>March</v>
      </c>
      <c r="Q92" s="9">
        <v>1</v>
      </c>
      <c r="R92" s="9">
        <v>4521002912</v>
      </c>
      <c r="S92" s="9">
        <v>45733</v>
      </c>
      <c r="T92" s="9">
        <v>325000</v>
      </c>
      <c r="U92" s="9" t="str">
        <v>March</v>
      </c>
      <c r="V92" s="9">
        <v>0</v>
      </c>
      <c r="W92" s="9">
        <v>0</v>
      </c>
      <c r="X92" s="9">
        <v>0</v>
      </c>
      <c r="Y92" s="9">
        <v>0</v>
      </c>
    </row>
    <row r="93" spans="1:25">
      <c r="A93" s="9">
        <v>86</v>
      </c>
      <c r="B93" s="9">
        <v>45741</v>
      </c>
      <c r="C93" s="9" t="str">
        <v>LMT Tools India Pvt Ltd</v>
      </c>
      <c r="D93" s="9" t="str">
        <v>Pune</v>
      </c>
      <c r="E93" s="9" t="str">
        <v>Stores</v>
      </c>
      <c r="F93" s="9" t="str">
        <v>Ramesh Thorat</v>
      </c>
      <c r="G93" s="9">
        <v>9158883568</v>
      </c>
      <c r="H93" s="9" t="str">
        <v>RKthorat@lmt-tools.com</v>
      </c>
      <c r="I93" s="9" t="str">
        <v>99006602/001</v>
      </c>
      <c r="J93" s="9" t="str">
        <v>Contract</v>
      </c>
      <c r="K93" s="9" t="str">
        <v>Yes</v>
      </c>
      <c r="L93" s="9" t="str">
        <v>KXIND/W/YD/MC/25027</v>
      </c>
      <c r="M93" s="9">
        <v>45723</v>
      </c>
      <c r="N93" s="9">
        <v>76000</v>
      </c>
      <c r="O93" s="9" t="str">
        <v>March</v>
      </c>
      <c r="P93" s="9" t="str">
        <v>June</v>
      </c>
      <c r="Q93" s="9">
        <v>0.5</v>
      </c>
      <c r="R93" s="9">
        <v>4521013686</v>
      </c>
      <c r="S93" s="9" t="str">
        <v>24.05.2025</v>
      </c>
      <c r="T93" s="9">
        <v>70000</v>
      </c>
      <c r="U93" s="9" t="str">
        <v>June</v>
      </c>
      <c r="V93" s="9">
        <v>-6000</v>
      </c>
      <c r="W93" s="9">
        <v>0</v>
      </c>
      <c r="X93" s="9">
        <v>0</v>
      </c>
      <c r="Y93" s="9">
        <v>0</v>
      </c>
    </row>
    <row r="94" spans="1:25">
      <c r="A94" s="9">
        <v>87</v>
      </c>
      <c r="B94" s="9">
        <v>45799</v>
      </c>
      <c r="C94" s="9" t="str">
        <v xml:space="preserve">GIC Instruments Pvt Ltd </v>
      </c>
      <c r="D94" s="9" t="str">
        <v>Pune</v>
      </c>
      <c r="E94" s="9" t="str">
        <v>stores</v>
      </c>
      <c r="F94" s="9" t="str">
        <v>Ajinkya Desale</v>
      </c>
      <c r="G94" s="9">
        <v>9403849891</v>
      </c>
      <c r="H94" s="9" t="str">
        <v>ajinkya.dhekale@gicindia.com</v>
      </c>
      <c r="I94" s="9" t="str">
        <v>08010151/001</v>
      </c>
      <c r="J94" s="9" t="str">
        <v>Contract</v>
      </c>
      <c r="K94" s="9" t="str">
        <v>No</v>
      </c>
      <c r="L94" s="9" t="str">
        <v>KXIND/W/YD/MC/25010</v>
      </c>
      <c r="M94" s="9">
        <v>45686</v>
      </c>
      <c r="N94" s="9">
        <v>78000</v>
      </c>
      <c r="O94" s="9" t="str">
        <v>January</v>
      </c>
      <c r="P94" s="9" t="str">
        <v>May</v>
      </c>
      <c r="Q94" s="9">
        <v>0.9</v>
      </c>
      <c r="R94" s="9">
        <v>2611160</v>
      </c>
      <c r="S94" s="9">
        <v>45797</v>
      </c>
      <c r="T94" s="9">
        <v>78000</v>
      </c>
      <c r="U94" s="9" t="str">
        <v>May</v>
      </c>
      <c r="V94" s="9">
        <v>0</v>
      </c>
      <c r="W94" s="9">
        <v>0</v>
      </c>
      <c r="X94" s="9">
        <v>0</v>
      </c>
      <c r="Y94" s="9">
        <v>0</v>
      </c>
    </row>
    <row r="95" spans="1:25">
      <c r="A95" s="9">
        <v>88</v>
      </c>
      <c r="B95" s="9">
        <v>0</v>
      </c>
      <c r="C95" s="9" t="str">
        <v>Kaeser Compressor (I) Pvt Ltd</v>
      </c>
      <c r="D95" s="9" t="str">
        <v>Pune</v>
      </c>
      <c r="E95" s="9" t="str">
        <v>stores</v>
      </c>
      <c r="F95" s="9" t="str">
        <v>Pravin Ingale</v>
      </c>
      <c r="G95" s="9">
        <v>9881071995</v>
      </c>
      <c r="H95" s="9" t="str">
        <v>pravin.ingle@kaeser.com</v>
      </c>
      <c r="I95" s="9" t="str">
        <v>22004776/001</v>
      </c>
      <c r="J95" s="9" t="str">
        <v>Contract</v>
      </c>
      <c r="K95" s="9" t="str">
        <v>Yes</v>
      </c>
      <c r="L95" s="9" t="str">
        <v>KXIND/W/YD/MC/25034R</v>
      </c>
      <c r="M95" s="9">
        <v>45791</v>
      </c>
      <c r="N95" s="9">
        <v>85500</v>
      </c>
      <c r="O95" s="9" t="str">
        <v>May</v>
      </c>
      <c r="P95" s="9" t="str">
        <v>May</v>
      </c>
      <c r="Q95" s="9">
        <v>0.9</v>
      </c>
      <c r="R95" s="9">
        <v>4510868028</v>
      </c>
      <c r="S95" s="9">
        <v>45798</v>
      </c>
      <c r="T95" s="9">
        <v>85500</v>
      </c>
      <c r="U95" s="9" t="str">
        <v>May</v>
      </c>
      <c r="V95" s="9">
        <v>0</v>
      </c>
      <c r="W95" s="9" t="str">
        <v>PO for two years with software contract</v>
      </c>
      <c r="X95" s="9">
        <v>0</v>
      </c>
      <c r="Y95" s="9">
        <v>0</v>
      </c>
    </row>
    <row r="96" spans="1:25">
      <c r="A96" s="9">
        <v>89</v>
      </c>
      <c r="B96" s="9">
        <v>0</v>
      </c>
      <c r="C96" s="9" t="str">
        <v>Kaeser Compressor (I) Pvt Ltd</v>
      </c>
      <c r="D96" s="9" t="str">
        <v>Pune</v>
      </c>
      <c r="E96" s="9" t="str">
        <v>stores</v>
      </c>
      <c r="F96" s="9" t="str">
        <v>Pravin Ingale</v>
      </c>
      <c r="G96" s="9">
        <v>9881071995</v>
      </c>
      <c r="H96" s="9" t="str">
        <v>pravin.ingle@kaeser.com</v>
      </c>
      <c r="I96" s="9" t="str">
        <v>22004776/002</v>
      </c>
      <c r="J96" s="9" t="str">
        <v>Contract</v>
      </c>
      <c r="K96" s="9" t="str">
        <v>Yes</v>
      </c>
      <c r="L96" s="9" t="str">
        <v>KXIND/W/YD/MC/25034R</v>
      </c>
      <c r="M96" s="9">
        <v>45791</v>
      </c>
      <c r="N96" s="9">
        <v>85500</v>
      </c>
      <c r="O96" s="9" t="str">
        <v>May</v>
      </c>
      <c r="P96" s="9" t="str">
        <v>May</v>
      </c>
      <c r="Q96" s="9">
        <v>0.9</v>
      </c>
      <c r="R96" s="9">
        <v>4510868028</v>
      </c>
      <c r="S96" s="9">
        <v>45798</v>
      </c>
      <c r="T96" s="9">
        <v>85500</v>
      </c>
      <c r="U96" s="9" t="str">
        <v>May</v>
      </c>
      <c r="V96" s="9">
        <v>0</v>
      </c>
      <c r="W96" s="9" t="str">
        <v>PO for two years with software contract</v>
      </c>
      <c r="X96" s="9">
        <v>0</v>
      </c>
      <c r="Y96" s="9">
        <v>0</v>
      </c>
    </row>
    <row r="97" spans="1:25">
      <c r="A97" s="9">
        <v>90</v>
      </c>
      <c r="B97" s="9">
        <v>0</v>
      </c>
      <c r="C97" s="9" t="str">
        <v>Kaeser Compressor (I) Pvt Ltd</v>
      </c>
      <c r="D97" s="9" t="str">
        <v>Pune</v>
      </c>
      <c r="E97" s="9" t="str">
        <v>stores</v>
      </c>
      <c r="F97" s="9" t="str">
        <v>Pravin Ingale</v>
      </c>
      <c r="G97" s="9">
        <v>9881071995</v>
      </c>
      <c r="H97" s="9" t="str">
        <v>pravin.ingle@kaeser.com</v>
      </c>
      <c r="I97" s="9" t="str">
        <v>22004776/003</v>
      </c>
      <c r="J97" s="9" t="str">
        <v>Contract</v>
      </c>
      <c r="K97" s="9" t="str">
        <v>Yes</v>
      </c>
      <c r="L97" s="9" t="str">
        <v>KXIND/W/YD/MC/25034R</v>
      </c>
      <c r="M97" s="9">
        <v>45791</v>
      </c>
      <c r="N97" s="9">
        <v>85500</v>
      </c>
      <c r="O97" s="9" t="str">
        <v>May</v>
      </c>
      <c r="P97" s="9" t="str">
        <v>May</v>
      </c>
      <c r="Q97" s="9">
        <v>0.9</v>
      </c>
      <c r="R97" s="9">
        <v>4510868028</v>
      </c>
      <c r="S97" s="9">
        <v>45798</v>
      </c>
      <c r="T97" s="9">
        <v>85500</v>
      </c>
      <c r="U97" s="9" t="str">
        <v>May</v>
      </c>
      <c r="V97" s="9">
        <v>0</v>
      </c>
      <c r="W97" s="9" t="str">
        <v>PO for two years with software contract</v>
      </c>
      <c r="X97" s="9">
        <v>0</v>
      </c>
      <c r="Y97" s="9">
        <v>0</v>
      </c>
    </row>
    <row r="98" spans="1:25">
      <c r="A98" s="9">
        <v>91</v>
      </c>
      <c r="B98" s="9">
        <v>0</v>
      </c>
      <c r="C98" s="9" t="str">
        <v>Kaeser Compressor (I) Pvt Ltd</v>
      </c>
      <c r="D98" s="9" t="str">
        <v>Pune</v>
      </c>
      <c r="E98" s="9" t="str">
        <v>stores</v>
      </c>
      <c r="F98" s="9" t="str">
        <v>Pravin Ingale</v>
      </c>
      <c r="G98" s="9">
        <v>9881071995</v>
      </c>
      <c r="H98" s="9" t="str">
        <v>pravin.ingle@kaeser.com</v>
      </c>
      <c r="I98" s="9" t="str">
        <v>22004776/004</v>
      </c>
      <c r="J98" s="9" t="str">
        <v>Contract</v>
      </c>
      <c r="K98" s="9" t="str">
        <v>Yes</v>
      </c>
      <c r="L98" s="9" t="str">
        <v>KXIND/W/YD/MC/25034R</v>
      </c>
      <c r="M98" s="9">
        <v>45791</v>
      </c>
      <c r="N98" s="9">
        <v>85500</v>
      </c>
      <c r="O98" s="9" t="str">
        <v>May</v>
      </c>
      <c r="P98" s="9" t="str">
        <v>May</v>
      </c>
      <c r="Q98" s="9">
        <v>0.9</v>
      </c>
      <c r="R98" s="9">
        <v>4510868028</v>
      </c>
      <c r="S98" s="9">
        <v>45798</v>
      </c>
      <c r="T98" s="9">
        <v>85500</v>
      </c>
      <c r="U98" s="9" t="str">
        <v>May</v>
      </c>
      <c r="V98" s="9">
        <v>0</v>
      </c>
      <c r="W98" s="9" t="str">
        <v>PO for two years with software contract</v>
      </c>
      <c r="X98" s="9">
        <v>0</v>
      </c>
      <c r="Y98" s="9">
        <v>0</v>
      </c>
    </row>
    <row r="99" spans="1:25">
      <c r="A99" s="9">
        <v>92</v>
      </c>
      <c r="B99" s="9">
        <v>45803</v>
      </c>
      <c r="C99" s="9" t="str">
        <v>Sedmac Mechatronics Pvt.Ltd.</v>
      </c>
      <c r="D99" s="9" t="str">
        <v>Pune</v>
      </c>
      <c r="E99" s="9" t="str">
        <v>stores</v>
      </c>
      <c r="F99" s="9" t="str">
        <v>Vinay Shinde</v>
      </c>
      <c r="G99" s="9">
        <v>9967967472</v>
      </c>
      <c r="H99" s="9" t="str">
        <v>vinay.shinde@sedemac.com</v>
      </c>
      <c r="I99" s="9" t="str">
        <v>18008976/001</v>
      </c>
      <c r="J99" s="9" t="str">
        <v>SPP</v>
      </c>
      <c r="K99" s="9" t="str">
        <v>Yes</v>
      </c>
      <c r="L99" s="9" t="str">
        <v>KXIND/W/YD/SPP/25042</v>
      </c>
      <c r="M99" s="9">
        <v>45771</v>
      </c>
      <c r="N99" s="9">
        <v>256276</v>
      </c>
      <c r="O99" s="9" t="str">
        <v>April</v>
      </c>
      <c r="P99" s="9" t="str">
        <v>May</v>
      </c>
      <c r="Q99" s="9">
        <v>0.8</v>
      </c>
      <c r="R99" s="9" t="str">
        <v>CP1/ IP2009681</v>
      </c>
      <c r="S99" s="9">
        <v>45799</v>
      </c>
      <c r="T99" s="9">
        <v>256276</v>
      </c>
      <c r="U99" s="9" t="str">
        <v>May</v>
      </c>
      <c r="V99" s="9">
        <v>0</v>
      </c>
      <c r="W99" s="9">
        <v>0</v>
      </c>
      <c r="X99" s="9">
        <v>0</v>
      </c>
      <c r="Y99" s="9">
        <v>0</v>
      </c>
    </row>
    <row r="100" spans="1:25">
      <c r="A100" s="9">
        <v>93</v>
      </c>
      <c r="B100" s="9">
        <v>45819</v>
      </c>
      <c r="C100" s="9" t="str">
        <v>Bajaj Auto Ltd</v>
      </c>
      <c r="D100" s="9" t="str">
        <v>Pune</v>
      </c>
      <c r="E100" s="9" t="str">
        <v>veh.store</v>
      </c>
      <c r="F100" s="9" t="str">
        <v>Ganesh Navale</v>
      </c>
      <c r="G100" s="9">
        <v>9503050525</v>
      </c>
      <c r="H100" s="9" t="str">
        <v>ganesh.navale@bajaj.co.in</v>
      </c>
      <c r="I100" s="9" t="str">
        <v>18001594/001</v>
      </c>
      <c r="J100" s="9" t="str">
        <v>Contract</v>
      </c>
      <c r="K100" s="9" t="str">
        <v>No</v>
      </c>
      <c r="L100" s="9" t="str">
        <v>KXIND/W/YD/MC/25039</v>
      </c>
      <c r="M100" s="9">
        <v>45782</v>
      </c>
      <c r="N100" s="9">
        <v>60000</v>
      </c>
      <c r="O100" s="9" t="str">
        <v>May</v>
      </c>
      <c r="P100" s="9" t="str">
        <v>June</v>
      </c>
      <c r="Q100" s="9">
        <v>0.5</v>
      </c>
      <c r="R100" s="9">
        <v>3110015090</v>
      </c>
      <c r="S100" s="9">
        <v>45792</v>
      </c>
      <c r="T100" s="9">
        <v>60000</v>
      </c>
      <c r="U100" s="9" t="str">
        <v>June</v>
      </c>
      <c r="V100" s="9">
        <v>0</v>
      </c>
      <c r="W100" s="9">
        <v>0</v>
      </c>
      <c r="X100" s="9">
        <v>0</v>
      </c>
      <c r="Y100" s="9">
        <v>0</v>
      </c>
    </row>
    <row r="101" spans="1:25">
      <c r="A101" s="9">
        <v>94</v>
      </c>
      <c r="B101" s="9">
        <v>0</v>
      </c>
      <c r="C101" s="9" t="str">
        <v>Bajaj Auto Ltd</v>
      </c>
      <c r="D101" s="9" t="str">
        <v>Pune</v>
      </c>
      <c r="E101" s="9" t="str">
        <v>veh.store</v>
      </c>
      <c r="F101" s="9" t="str">
        <v>Ganesh Navale</v>
      </c>
      <c r="G101" s="9">
        <v>9503050526</v>
      </c>
      <c r="H101" s="9" t="str">
        <v>ganesh.navale@bajaj.co.in</v>
      </c>
      <c r="I101" s="9" t="str">
        <v>00011128/002</v>
      </c>
      <c r="J101" s="9" t="str">
        <v>Contract</v>
      </c>
      <c r="K101" s="9" t="str">
        <v>No</v>
      </c>
      <c r="L101" s="9" t="str">
        <v>KXIND/W/YD/MC/25039</v>
      </c>
      <c r="M101" s="9">
        <v>45782</v>
      </c>
      <c r="N101" s="9">
        <v>60000</v>
      </c>
      <c r="O101" s="9" t="str">
        <v>May</v>
      </c>
      <c r="P101" s="9" t="str">
        <v>June</v>
      </c>
      <c r="Q101" s="9">
        <v>0.5</v>
      </c>
      <c r="R101" s="9">
        <v>3110015090</v>
      </c>
      <c r="S101" s="9">
        <v>45792</v>
      </c>
      <c r="T101" s="9">
        <v>60000</v>
      </c>
      <c r="U101" s="9" t="str">
        <v>June</v>
      </c>
      <c r="V101" s="9">
        <v>0</v>
      </c>
      <c r="W101" s="9">
        <v>0</v>
      </c>
      <c r="X101" s="9">
        <v>0</v>
      </c>
      <c r="Y101" s="9">
        <v>0</v>
      </c>
    </row>
    <row r="102" spans="1:25">
      <c r="A102" s="9">
        <v>95</v>
      </c>
      <c r="B102" s="9">
        <v>0</v>
      </c>
      <c r="C102" s="9" t="str">
        <v>Bajaj Auto Ltd</v>
      </c>
      <c r="D102" s="9" t="str">
        <v>Pune</v>
      </c>
      <c r="E102" s="9" t="str">
        <v>veh.store</v>
      </c>
      <c r="F102" s="9" t="str">
        <v>Ganesh Navale</v>
      </c>
      <c r="G102" s="9">
        <v>9503050527</v>
      </c>
      <c r="H102" s="9" t="str">
        <v>ganesh.navale@bajaj.co.in</v>
      </c>
      <c r="I102" s="9" t="str">
        <v>00011128/003</v>
      </c>
      <c r="J102" s="9" t="str">
        <v>Contract</v>
      </c>
      <c r="K102" s="9" t="str">
        <v>No</v>
      </c>
      <c r="L102" s="9" t="str">
        <v>KXIND/W/YD/MC/25039</v>
      </c>
      <c r="M102" s="9">
        <v>45782</v>
      </c>
      <c r="N102" s="9">
        <v>60000</v>
      </c>
      <c r="O102" s="9" t="str">
        <v>May</v>
      </c>
      <c r="P102" s="9" t="str">
        <v>June</v>
      </c>
      <c r="Q102" s="9">
        <v>0.5</v>
      </c>
      <c r="R102" s="9">
        <v>3110015090</v>
      </c>
      <c r="S102" s="9">
        <v>45792</v>
      </c>
      <c r="T102" s="9">
        <v>60000</v>
      </c>
      <c r="U102" s="9" t="str">
        <v>June</v>
      </c>
      <c r="V102" s="9">
        <v>0</v>
      </c>
      <c r="W102" s="9">
        <v>0</v>
      </c>
      <c r="X102" s="9">
        <v>0</v>
      </c>
      <c r="Y102" s="9">
        <v>0</v>
      </c>
    </row>
    <row r="103" spans="1:25">
      <c r="A103" s="9">
        <v>96</v>
      </c>
      <c r="B103" s="9">
        <v>0</v>
      </c>
      <c r="C103" s="9" t="str">
        <v>Bajaj Auto Ltd</v>
      </c>
      <c r="D103" s="9" t="str">
        <v>Pune</v>
      </c>
      <c r="E103" s="9" t="str">
        <v>veh.store</v>
      </c>
      <c r="F103" s="9" t="str">
        <v>Ganesh Navale</v>
      </c>
      <c r="G103" s="9">
        <v>9503050528</v>
      </c>
      <c r="H103" s="9" t="str">
        <v>ganesh.navale@bajaj.co.in</v>
      </c>
      <c r="I103" s="9" t="str">
        <v>14000603/001</v>
      </c>
      <c r="J103" s="9" t="str">
        <v>Contract</v>
      </c>
      <c r="K103" s="9" t="str">
        <v>No</v>
      </c>
      <c r="L103" s="9" t="str">
        <v>KXIND/W/YD/MC/25039</v>
      </c>
      <c r="M103" s="9">
        <v>45782</v>
      </c>
      <c r="N103" s="9">
        <v>60000</v>
      </c>
      <c r="O103" s="9" t="str">
        <v>May</v>
      </c>
      <c r="P103" s="9" t="str">
        <v>June</v>
      </c>
      <c r="Q103" s="9">
        <v>0.5</v>
      </c>
      <c r="R103" s="9">
        <v>3110015090</v>
      </c>
      <c r="S103" s="9">
        <v>45792</v>
      </c>
      <c r="T103" s="9">
        <v>60000</v>
      </c>
      <c r="U103" s="9" t="str">
        <v>June</v>
      </c>
      <c r="V103" s="9">
        <v>0</v>
      </c>
      <c r="W103" s="9">
        <v>0</v>
      </c>
      <c r="X103" s="9">
        <v>0</v>
      </c>
      <c r="Y103" s="9">
        <v>0</v>
      </c>
    </row>
    <row r="104" spans="1:25">
      <c r="A104" s="9">
        <v>97</v>
      </c>
      <c r="B104" s="9">
        <v>0</v>
      </c>
      <c r="C104" s="9" t="str">
        <v>Bajaj Auto Ltd</v>
      </c>
      <c r="D104" s="9" t="str">
        <v>Pune</v>
      </c>
      <c r="E104" s="9" t="str">
        <v>veh.store</v>
      </c>
      <c r="F104" s="9" t="str">
        <v>Ganesh Navale</v>
      </c>
      <c r="G104" s="9">
        <v>9503050529</v>
      </c>
      <c r="H104" s="9" t="str">
        <v>ganesh.navale@bajaj.co.in</v>
      </c>
      <c r="I104" s="9" t="str">
        <v>14000604/001</v>
      </c>
      <c r="J104" s="9" t="str">
        <v>Contract</v>
      </c>
      <c r="K104" s="9" t="str">
        <v>No</v>
      </c>
      <c r="L104" s="9" t="str">
        <v>KXIND/W/YD/MC/25039</v>
      </c>
      <c r="M104" s="9">
        <v>45782</v>
      </c>
      <c r="N104" s="9">
        <v>60000</v>
      </c>
      <c r="O104" s="9" t="str">
        <v>May</v>
      </c>
      <c r="P104" s="9" t="str">
        <v>June</v>
      </c>
      <c r="Q104" s="9">
        <v>0.5</v>
      </c>
      <c r="R104" s="9">
        <v>3110015090</v>
      </c>
      <c r="S104" s="9">
        <v>45792</v>
      </c>
      <c r="T104" s="9">
        <v>60000</v>
      </c>
      <c r="U104" s="9" t="str">
        <v>June</v>
      </c>
      <c r="V104" s="9">
        <v>0</v>
      </c>
      <c r="W104" s="9">
        <v>0</v>
      </c>
      <c r="X104" s="9">
        <v>0</v>
      </c>
      <c r="Y104" s="9">
        <v>0</v>
      </c>
    </row>
    <row r="105" spans="1:25">
      <c r="A105" s="9">
        <v>98</v>
      </c>
      <c r="B105" s="9">
        <v>45819</v>
      </c>
      <c r="C105" s="9" t="str">
        <v>Bajaj Auto Ltd</v>
      </c>
      <c r="D105" s="9" t="str">
        <v>Pune</v>
      </c>
      <c r="E105" s="9" t="str">
        <v>Eng.stores</v>
      </c>
      <c r="F105" s="9" t="str">
        <v>Rajkumar Ajabe</v>
      </c>
      <c r="G105" s="9" t="str">
        <v>+91 9890621626</v>
      </c>
      <c r="H105" s="9" t="str">
        <v>rrajabe@bajajauto.co.in</v>
      </c>
      <c r="I105" s="9" t="str">
        <v>16001321/001</v>
      </c>
      <c r="J105" s="9" t="str">
        <v>Contract</v>
      </c>
      <c r="K105" s="9" t="str">
        <v>No</v>
      </c>
      <c r="L105" s="9" t="str">
        <v>KXIND/W/YD/MC/25040</v>
      </c>
      <c r="M105" s="9">
        <v>45782</v>
      </c>
      <c r="N105" s="9">
        <v>60000</v>
      </c>
      <c r="O105" s="9" t="str">
        <v>May</v>
      </c>
      <c r="P105" s="9" t="str">
        <v>June</v>
      </c>
      <c r="Q105" s="9">
        <v>0.5</v>
      </c>
      <c r="R105" s="9">
        <v>3110015090</v>
      </c>
      <c r="S105" s="9">
        <v>45792</v>
      </c>
      <c r="T105" s="9">
        <v>60000</v>
      </c>
      <c r="U105" s="9" t="str">
        <v>June</v>
      </c>
      <c r="V105" s="9">
        <v>0</v>
      </c>
      <c r="W105" s="9">
        <v>0</v>
      </c>
      <c r="X105" s="9">
        <v>0</v>
      </c>
      <c r="Y105" s="9">
        <v>0</v>
      </c>
    </row>
    <row r="106" spans="1:25">
      <c r="A106" s="9">
        <v>99</v>
      </c>
      <c r="B106" s="9">
        <v>0</v>
      </c>
      <c r="C106" s="9" t="str">
        <v>Bajaj Auto Ltd</v>
      </c>
      <c r="D106" s="9" t="str">
        <v>Pune</v>
      </c>
      <c r="E106" s="9" t="str">
        <v>Eng.stores</v>
      </c>
      <c r="F106" s="9" t="str">
        <v>Rajkumar Ajabe</v>
      </c>
      <c r="G106" s="9" t="str">
        <v>+91 9890621626</v>
      </c>
      <c r="H106" s="9" t="str">
        <v>rrajabe@bajajauto.co.in</v>
      </c>
      <c r="I106" s="9" t="str">
        <v>00011128/001</v>
      </c>
      <c r="J106" s="9" t="str">
        <v>Contract</v>
      </c>
      <c r="K106" s="9" t="str">
        <v>No</v>
      </c>
      <c r="L106" s="9" t="str">
        <v>KXIND/W/YD/MC/25040</v>
      </c>
      <c r="M106" s="9">
        <v>45782</v>
      </c>
      <c r="N106" s="9">
        <v>60000</v>
      </c>
      <c r="O106" s="9" t="str">
        <v>May</v>
      </c>
      <c r="P106" s="9" t="str">
        <v>June</v>
      </c>
      <c r="Q106" s="9">
        <v>0.5</v>
      </c>
      <c r="R106" s="9">
        <v>3110015090</v>
      </c>
      <c r="S106" s="9">
        <v>45792</v>
      </c>
      <c r="T106" s="9">
        <v>60000</v>
      </c>
      <c r="U106" s="9" t="str">
        <v>June</v>
      </c>
      <c r="V106" s="9">
        <v>0</v>
      </c>
      <c r="W106" s="9">
        <v>0</v>
      </c>
      <c r="X106" s="9">
        <v>0</v>
      </c>
      <c r="Y106" s="9">
        <v>0</v>
      </c>
    </row>
    <row r="107" spans="1:25">
      <c r="A107" s="9">
        <v>100</v>
      </c>
      <c r="B107" s="9">
        <v>0</v>
      </c>
      <c r="C107" s="9" t="str">
        <v>Bajaj Auto Ltd</v>
      </c>
      <c r="D107" s="9" t="str">
        <v>Pune</v>
      </c>
      <c r="E107" s="9" t="str">
        <v>Eng.stores</v>
      </c>
      <c r="F107" s="9" t="str">
        <v>Rajkumar Ajabe</v>
      </c>
      <c r="G107" s="9" t="str">
        <v>+91 9890621626</v>
      </c>
      <c r="H107" s="9" t="str">
        <v>rrajabe@bajajauto.co.in</v>
      </c>
      <c r="I107" s="9" t="str">
        <v>00011128/004</v>
      </c>
      <c r="J107" s="9" t="str">
        <v>Contract</v>
      </c>
      <c r="K107" s="9" t="str">
        <v>No</v>
      </c>
      <c r="L107" s="9" t="str">
        <v>KXIND/W/YD/MC/25040</v>
      </c>
      <c r="M107" s="9">
        <v>45782</v>
      </c>
      <c r="N107" s="9">
        <v>60000</v>
      </c>
      <c r="O107" s="9" t="str">
        <v>May</v>
      </c>
      <c r="P107" s="9" t="str">
        <v>June</v>
      </c>
      <c r="Q107" s="9">
        <v>0.5</v>
      </c>
      <c r="R107" s="9">
        <v>3110015090</v>
      </c>
      <c r="S107" s="9">
        <v>45792</v>
      </c>
      <c r="T107" s="9">
        <v>60000</v>
      </c>
      <c r="U107" s="9" t="str">
        <v>June</v>
      </c>
      <c r="V107" s="9">
        <v>0</v>
      </c>
      <c r="W107" s="9">
        <v>0</v>
      </c>
      <c r="X107" s="9">
        <v>0</v>
      </c>
      <c r="Y107" s="9">
        <v>0</v>
      </c>
    </row>
    <row r="108" spans="1:25">
      <c r="A108" s="9">
        <v>101</v>
      </c>
      <c r="B108" s="9">
        <v>0</v>
      </c>
      <c r="C108" s="9" t="str">
        <v>Bajaj Auto Ltd</v>
      </c>
      <c r="D108" s="9" t="str">
        <v>Pune</v>
      </c>
      <c r="E108" s="9" t="str">
        <v>Eng.stores</v>
      </c>
      <c r="F108" s="9" t="str">
        <v>Rajkumar Ajabe</v>
      </c>
      <c r="G108" s="9" t="str">
        <v>+91 9890621626</v>
      </c>
      <c r="H108" s="9" t="str">
        <v>rrajabe@bajajauto.co.in</v>
      </c>
      <c r="I108" s="9" t="str">
        <v>19003778/001</v>
      </c>
      <c r="J108" s="9" t="str">
        <v>Contract</v>
      </c>
      <c r="K108" s="9" t="str">
        <v>No</v>
      </c>
      <c r="L108" s="9" t="str">
        <v>KXIND/W/YD/MC/25040</v>
      </c>
      <c r="M108" s="9">
        <v>45782</v>
      </c>
      <c r="N108" s="9">
        <v>60000</v>
      </c>
      <c r="O108" s="9" t="str">
        <v>May</v>
      </c>
      <c r="P108" s="9" t="str">
        <v>June</v>
      </c>
      <c r="Q108" s="9">
        <v>0.5</v>
      </c>
      <c r="R108" s="9">
        <v>3110015090</v>
      </c>
      <c r="S108" s="9">
        <v>45792</v>
      </c>
      <c r="T108" s="9">
        <v>60000</v>
      </c>
      <c r="U108" s="9" t="str">
        <v>June</v>
      </c>
      <c r="V108" s="9">
        <v>0</v>
      </c>
      <c r="W108" s="9">
        <v>0</v>
      </c>
      <c r="X108" s="9">
        <v>0</v>
      </c>
      <c r="Y108" s="9">
        <v>0</v>
      </c>
    </row>
    <row r="109" spans="1:25">
      <c r="A109" s="9">
        <v>102</v>
      </c>
      <c r="B109" s="9">
        <v>0</v>
      </c>
      <c r="C109" s="9" t="str">
        <v>Bajaj Auto Ltd</v>
      </c>
      <c r="D109" s="9" t="str">
        <v>Pune</v>
      </c>
      <c r="E109" s="9" t="str">
        <v>Eng.stores</v>
      </c>
      <c r="F109" s="9" t="str">
        <v>Rajkumar Ajabe</v>
      </c>
      <c r="G109" s="9" t="str">
        <v>+91 9890621626</v>
      </c>
      <c r="H109" s="9" t="str">
        <v>rrajabe@bajajauto.co.in</v>
      </c>
      <c r="I109" s="9" t="str">
        <v>16001320/001</v>
      </c>
      <c r="J109" s="9" t="str">
        <v>Contract</v>
      </c>
      <c r="K109" s="9" t="str">
        <v>No</v>
      </c>
      <c r="L109" s="9" t="str">
        <v>KXIND/W/YD/MC/25040</v>
      </c>
      <c r="M109" s="9">
        <v>45782</v>
      </c>
      <c r="N109" s="9">
        <v>60000</v>
      </c>
      <c r="O109" s="9" t="str">
        <v>May</v>
      </c>
      <c r="P109" s="9" t="str">
        <v>June</v>
      </c>
      <c r="Q109" s="9">
        <v>0.5</v>
      </c>
      <c r="R109" s="9">
        <v>3110015090</v>
      </c>
      <c r="S109" s="9">
        <v>45792</v>
      </c>
      <c r="T109" s="9">
        <v>60000</v>
      </c>
      <c r="U109" s="9" t="str">
        <v>June</v>
      </c>
      <c r="V109" s="9">
        <v>0</v>
      </c>
      <c r="W109" s="9">
        <v>0</v>
      </c>
      <c r="X109" s="9">
        <v>0</v>
      </c>
      <c r="Y109" s="9">
        <v>0</v>
      </c>
    </row>
    <row r="110" spans="1:25">
      <c r="A110" s="9">
        <v>103</v>
      </c>
      <c r="B110" s="9">
        <v>45819</v>
      </c>
      <c r="C110" s="9" t="str">
        <v>Bajaj Auto Ltd</v>
      </c>
      <c r="D110" s="9" t="str">
        <v>Pune</v>
      </c>
      <c r="E110" s="9" t="str">
        <v>Alu store</v>
      </c>
      <c r="F110" s="9" t="str">
        <v>A Ranjanekar</v>
      </c>
      <c r="G110" s="9" t="str">
        <v>+91 9503050696</v>
      </c>
      <c r="H110" s="9" t="str">
        <v>asranjekar@bajajauto.co.in;</v>
      </c>
      <c r="I110" s="9" t="str">
        <v>99012291/001</v>
      </c>
      <c r="J110" s="9" t="str">
        <v>Contract</v>
      </c>
      <c r="K110" s="9" t="str">
        <v>No</v>
      </c>
      <c r="L110" s="9" t="str">
        <v>KXIND/W/YD/MC/25042</v>
      </c>
      <c r="M110" s="9">
        <v>45782</v>
      </c>
      <c r="N110" s="9">
        <v>76000</v>
      </c>
      <c r="O110" s="9" t="str">
        <v>May</v>
      </c>
      <c r="P110" s="9" t="str">
        <v>June</v>
      </c>
      <c r="Q110" s="9">
        <v>0.6</v>
      </c>
      <c r="R110" s="9">
        <v>3110015195</v>
      </c>
      <c r="S110" s="9">
        <v>45807</v>
      </c>
      <c r="T110" s="9">
        <v>76000</v>
      </c>
      <c r="U110" s="9" t="str">
        <v>June</v>
      </c>
      <c r="V110" s="9">
        <v>0</v>
      </c>
      <c r="W110" s="9" t="str">
        <v>Offer including SW contract</v>
      </c>
      <c r="X110" s="9">
        <v>0</v>
      </c>
      <c r="Y110" s="9">
        <v>0</v>
      </c>
    </row>
    <row r="111" spans="1:25">
      <c r="A111" s="9">
        <v>104</v>
      </c>
      <c r="B111" s="9">
        <v>45819</v>
      </c>
      <c r="C111" s="9" t="str">
        <v xml:space="preserve">GKN Sinter Metals LTD </v>
      </c>
      <c r="D111" s="9" t="str">
        <v>Pune</v>
      </c>
      <c r="E111" s="9" t="str">
        <v>Tool stores</v>
      </c>
      <c r="F111" s="9" t="str">
        <v>Tanaji Shinde</v>
      </c>
      <c r="G111" s="9">
        <v>9923010417</v>
      </c>
      <c r="H111" s="9" t="str">
        <v>tanaji.shinde@gknpm.com</v>
      </c>
      <c r="I111" s="9" t="str">
        <v>07000033/001</v>
      </c>
      <c r="J111" s="9" t="str">
        <v>Contract</v>
      </c>
      <c r="K111" s="9" t="str">
        <v>No</v>
      </c>
      <c r="L111" s="9" t="str">
        <v>KXIND/W/YD/MC/25038</v>
      </c>
      <c r="M111" s="9">
        <v>45756</v>
      </c>
      <c r="N111" s="9">
        <v>124440</v>
      </c>
      <c r="O111" s="9" t="str">
        <v>April</v>
      </c>
      <c r="P111" s="9" t="str">
        <v>June</v>
      </c>
      <c r="Q111" s="9">
        <v>0.6</v>
      </c>
      <c r="R111" s="9">
        <v>307000194</v>
      </c>
      <c r="S111" s="9">
        <v>45807</v>
      </c>
      <c r="T111" s="9">
        <v>124440</v>
      </c>
      <c r="U111" s="9" t="str">
        <v>June</v>
      </c>
      <c r="V111" s="9">
        <v>0</v>
      </c>
      <c r="W111" s="9">
        <v>0</v>
      </c>
      <c r="X111" s="9">
        <v>0</v>
      </c>
      <c r="Y111" s="9">
        <v>0</v>
      </c>
    </row>
    <row r="112" spans="1:25">
      <c r="A112" s="9">
        <v>105</v>
      </c>
      <c r="B112" s="9">
        <v>45841</v>
      </c>
      <c r="C112" s="9" t="str">
        <v>Jabil Circuit India private Limited</v>
      </c>
      <c r="D112" s="9" t="str">
        <v>Pune</v>
      </c>
      <c r="E112" s="9" t="str">
        <v>stockroom</v>
      </c>
      <c r="F112" s="9" t="str">
        <v>Uttam Nichit</v>
      </c>
      <c r="G112" s="9" t="str">
        <v>+91 7709187911</v>
      </c>
      <c r="H112" s="9" t="str">
        <v>Uttam_Nichit@jabil.com </v>
      </c>
      <c r="I112" s="9" t="str">
        <v>22008232/001</v>
      </c>
      <c r="J112" s="9" t="str">
        <v>Contract</v>
      </c>
      <c r="K112" s="9" t="str">
        <v>Yes</v>
      </c>
      <c r="L112" s="9" t="str">
        <v>KXIND/W/YD/MC/25047</v>
      </c>
      <c r="M112" s="9">
        <v>45826</v>
      </c>
      <c r="N112" s="9">
        <v>90500</v>
      </c>
      <c r="O112" s="9" t="str">
        <v>June</v>
      </c>
      <c r="P112" s="9" t="str">
        <v>July</v>
      </c>
      <c r="Q112" s="9">
        <v>0.8</v>
      </c>
      <c r="R112" s="9" t="str">
        <v>C-10003211431</v>
      </c>
      <c r="S112" s="9">
        <v>45841</v>
      </c>
      <c r="T112" s="9">
        <v>85000</v>
      </c>
      <c r="U112" s="9" t="str">
        <v>July</v>
      </c>
      <c r="V112" s="9">
        <v>-5500</v>
      </c>
      <c r="W112" s="9" t="str">
        <v>PO with software contract S/C value 20000</v>
      </c>
      <c r="X112" s="9">
        <v>0</v>
      </c>
      <c r="Y112" s="9">
        <v>0</v>
      </c>
    </row>
    <row r="113" spans="1:25">
      <c r="A113" s="9">
        <v>106</v>
      </c>
      <c r="B113" s="9">
        <v>0</v>
      </c>
      <c r="C113" s="9" t="str">
        <v>Jabil Circuit India private Limited</v>
      </c>
      <c r="D113" s="9" t="str">
        <v>Pune</v>
      </c>
      <c r="E113" s="9" t="str">
        <v>stockroom</v>
      </c>
      <c r="F113" s="9" t="str">
        <v>Uttam Nichit</v>
      </c>
      <c r="G113" s="9" t="str">
        <v>+91 7709187911</v>
      </c>
      <c r="H113" s="9" t="str">
        <v>Uttam_Nichit@jabil.com </v>
      </c>
      <c r="I113" s="9" t="str">
        <v>22008233/001</v>
      </c>
      <c r="J113" s="9" t="str">
        <v>Contract</v>
      </c>
      <c r="K113" s="9" t="str">
        <v>Yes</v>
      </c>
      <c r="L113" s="9" t="str">
        <v>KXIND/W/YD/MC/25047</v>
      </c>
      <c r="M113" s="9">
        <v>45826</v>
      </c>
      <c r="N113" s="9">
        <v>90500</v>
      </c>
      <c r="O113" s="9" t="str">
        <v>June</v>
      </c>
      <c r="P113" s="9" t="str">
        <v>July</v>
      </c>
      <c r="Q113" s="9">
        <v>0.8</v>
      </c>
      <c r="R113" s="9" t="str">
        <v>C-10003211431</v>
      </c>
      <c r="S113" s="9">
        <v>45841</v>
      </c>
      <c r="T113" s="9">
        <v>85000</v>
      </c>
      <c r="U113" s="9" t="str">
        <v>July</v>
      </c>
      <c r="V113" s="9">
        <v>-5500</v>
      </c>
      <c r="W113" s="9" t="str">
        <v>PO with software contract S/C value 20000</v>
      </c>
      <c r="X113" s="9">
        <v>0</v>
      </c>
      <c r="Y113" s="9">
        <v>0</v>
      </c>
    </row>
    <row r="114" spans="1:25">
      <c r="A114" s="9">
        <v>107</v>
      </c>
      <c r="B114" s="9">
        <v>0</v>
      </c>
      <c r="C114" s="9" t="str">
        <v>Jabil Circuit India private Limited</v>
      </c>
      <c r="D114" s="9" t="str">
        <v>Pune</v>
      </c>
      <c r="E114" s="9" t="str">
        <v>stockroom</v>
      </c>
      <c r="F114" s="9" t="str">
        <v>Uttam Nichit</v>
      </c>
      <c r="G114" s="9" t="str">
        <v>+91 7709187911</v>
      </c>
      <c r="H114" s="9" t="str">
        <v>Uttam_Nichit@jabil.com </v>
      </c>
      <c r="I114" s="9" t="str">
        <v>22008233/002</v>
      </c>
      <c r="J114" s="9" t="str">
        <v>Contract</v>
      </c>
      <c r="K114" s="9" t="str">
        <v>Yes</v>
      </c>
      <c r="L114" s="9" t="str">
        <v>KXIND/W/YD/MC/25047</v>
      </c>
      <c r="M114" s="9">
        <v>45826</v>
      </c>
      <c r="N114" s="9">
        <v>90500</v>
      </c>
      <c r="O114" s="9" t="str">
        <v>June</v>
      </c>
      <c r="P114" s="9" t="str">
        <v>July</v>
      </c>
      <c r="Q114" s="9">
        <v>0.8</v>
      </c>
      <c r="R114" s="9" t="str">
        <v>C-10003211431</v>
      </c>
      <c r="S114" s="9">
        <v>45841</v>
      </c>
      <c r="T114" s="9">
        <v>85000</v>
      </c>
      <c r="U114" s="9" t="str">
        <v>July</v>
      </c>
      <c r="V114" s="9">
        <v>-5500</v>
      </c>
      <c r="W114" s="9" t="str">
        <v>PO with software contract S/C value 20000</v>
      </c>
      <c r="X114" s="9">
        <v>0</v>
      </c>
      <c r="Y114" s="9">
        <v>0</v>
      </c>
    </row>
    <row r="115" spans="1:25">
      <c r="A115" s="9">
        <v>108</v>
      </c>
      <c r="B115" s="9">
        <v>0</v>
      </c>
      <c r="C115" s="9" t="str">
        <v>Jabil Circuit India private Limited</v>
      </c>
      <c r="D115" s="9" t="str">
        <v>Pune</v>
      </c>
      <c r="E115" s="9" t="str">
        <v>stockroom</v>
      </c>
      <c r="F115" s="9" t="str">
        <v>Uttam Nichit</v>
      </c>
      <c r="G115" s="9" t="str">
        <v>+91 7709187911</v>
      </c>
      <c r="H115" s="9" t="str">
        <v>Uttam_Nichit@jabil.com </v>
      </c>
      <c r="I115" s="9" t="str">
        <v>22008233/003</v>
      </c>
      <c r="J115" s="9" t="str">
        <v>Contract</v>
      </c>
      <c r="K115" s="9" t="str">
        <v>Yes</v>
      </c>
      <c r="L115" s="9" t="str">
        <v>KXIND/W/YD/MC/25047</v>
      </c>
      <c r="M115" s="9">
        <v>45826</v>
      </c>
      <c r="N115" s="9">
        <v>90500</v>
      </c>
      <c r="O115" s="9" t="str">
        <v>June</v>
      </c>
      <c r="P115" s="9" t="str">
        <v>July</v>
      </c>
      <c r="Q115" s="9">
        <v>0.8</v>
      </c>
      <c r="R115" s="9" t="str">
        <v>C-10003211431</v>
      </c>
      <c r="S115" s="9">
        <v>45841</v>
      </c>
      <c r="T115" s="9">
        <v>85000</v>
      </c>
      <c r="U115" s="9" t="str">
        <v>July</v>
      </c>
      <c r="V115" s="9">
        <v>-5500</v>
      </c>
      <c r="W115" s="9" t="str">
        <v>PO with software contract S/C value 20000</v>
      </c>
      <c r="X115" s="9">
        <v>0</v>
      </c>
      <c r="Y115" s="9">
        <v>0</v>
      </c>
    </row>
    <row r="116" spans="1:25">
      <c r="A116" s="9">
        <v>109</v>
      </c>
      <c r="B116" s="9">
        <v>45840</v>
      </c>
      <c r="C116" s="9" t="str">
        <v xml:space="preserve">Alfa Laval India LTD </v>
      </c>
      <c r="D116" s="9" t="str">
        <v>Pune</v>
      </c>
      <c r="E116" s="9" t="str">
        <v xml:space="preserve">DLC </v>
      </c>
      <c r="F116" s="9" t="str">
        <v>Ranjit Shinde</v>
      </c>
      <c r="G116" s="9">
        <v>7045525011</v>
      </c>
      <c r="H116" s="9" t="str">
        <v>ranjit.shinde@alfalaval.com</v>
      </c>
      <c r="I116" s="9" t="str">
        <v>07010871/001</v>
      </c>
      <c r="J116" s="9" t="str">
        <v>Relocation</v>
      </c>
      <c r="K116" s="9" t="str">
        <v>No</v>
      </c>
      <c r="L116" s="9" t="str">
        <v>KRIND/W/RE/24051</v>
      </c>
      <c r="M116" s="9">
        <v>45682</v>
      </c>
      <c r="N116" s="9">
        <v>365000</v>
      </c>
      <c r="O116" s="9" t="str">
        <v>January</v>
      </c>
      <c r="P116" s="9" t="str">
        <v>January</v>
      </c>
      <c r="Q116" s="9">
        <v>1</v>
      </c>
      <c r="R116" s="9">
        <v>1255370</v>
      </c>
      <c r="S116" s="9">
        <v>45650</v>
      </c>
      <c r="T116" s="9">
        <v>365000</v>
      </c>
      <c r="U116" s="9" t="str">
        <v>February</v>
      </c>
      <c r="V116" s="9">
        <v>0</v>
      </c>
      <c r="W116" s="9" t="str">
        <v>work done and billing in Feb.25</v>
      </c>
      <c r="X116" s="9">
        <v>0</v>
      </c>
      <c r="Y116" s="9">
        <v>0</v>
      </c>
    </row>
    <row r="117" spans="1:25">
      <c r="A117" s="9">
        <v>110</v>
      </c>
      <c r="B117" s="9">
        <v>0</v>
      </c>
      <c r="C117" s="9" t="str">
        <v xml:space="preserve">Alfa Laval India LTD </v>
      </c>
      <c r="D117" s="9" t="str">
        <v>Pune</v>
      </c>
      <c r="E117" s="9" t="str">
        <v xml:space="preserve">DLC </v>
      </c>
      <c r="F117" s="9" t="str">
        <v>Ranjit Shinde</v>
      </c>
      <c r="G117" s="9">
        <v>7045525011</v>
      </c>
      <c r="H117" s="9" t="str">
        <v>ranjit.shinde@alfalaval.com</v>
      </c>
      <c r="I117" s="9" t="str">
        <v>19008264/001</v>
      </c>
      <c r="J117" s="9" t="str">
        <v>Relocation</v>
      </c>
      <c r="K117" s="9" t="str">
        <v>No</v>
      </c>
      <c r="L117" s="9" t="str">
        <v>KRIND/W/RE/24051</v>
      </c>
      <c r="M117" s="9">
        <v>45682</v>
      </c>
      <c r="N117" s="9">
        <v>365000</v>
      </c>
      <c r="O117" s="9" t="str">
        <v>January</v>
      </c>
      <c r="P117" s="9" t="str">
        <v>January</v>
      </c>
      <c r="Q117" s="9">
        <v>1</v>
      </c>
      <c r="R117" s="9">
        <v>1255370</v>
      </c>
      <c r="S117" s="9">
        <v>45650</v>
      </c>
      <c r="T117" s="9">
        <v>365000</v>
      </c>
      <c r="U117" s="9" t="str">
        <v>February</v>
      </c>
      <c r="V117" s="9">
        <v>0</v>
      </c>
      <c r="W117" s="9" t="str">
        <v>work done and billing in Feb.25</v>
      </c>
      <c r="X117" s="9">
        <v>0</v>
      </c>
      <c r="Y117" s="9">
        <v>0</v>
      </c>
    </row>
    <row r="118" spans="1:25">
      <c r="A118" s="9">
        <v>111</v>
      </c>
      <c r="B118" s="9">
        <v>0</v>
      </c>
      <c r="C118" s="9" t="str">
        <v xml:space="preserve">Alfa Laval India LTD </v>
      </c>
      <c r="D118" s="9" t="str">
        <v>Pune</v>
      </c>
      <c r="E118" s="9" t="str">
        <v xml:space="preserve">DLC </v>
      </c>
      <c r="F118" s="9" t="str">
        <v>Ranjit Shinde</v>
      </c>
      <c r="G118" s="9">
        <v>7045525011</v>
      </c>
      <c r="H118" s="9" t="str">
        <v>ranjit.shinde@alfalaval.com</v>
      </c>
      <c r="I118" s="9" t="str">
        <v>22008500/001</v>
      </c>
      <c r="J118" s="9" t="str">
        <v>Relocation</v>
      </c>
      <c r="K118" s="9" t="str">
        <v>No</v>
      </c>
      <c r="L118" s="9" t="str">
        <v>KRIND/W/RE/24051</v>
      </c>
      <c r="M118" s="9">
        <v>45682</v>
      </c>
      <c r="N118" s="9">
        <v>365000</v>
      </c>
      <c r="O118" s="9" t="str">
        <v>January</v>
      </c>
      <c r="P118" s="9" t="str">
        <v>January</v>
      </c>
      <c r="Q118" s="9">
        <v>1</v>
      </c>
      <c r="R118" s="9">
        <v>1255370</v>
      </c>
      <c r="S118" s="9">
        <v>45650</v>
      </c>
      <c r="T118" s="9">
        <v>365000</v>
      </c>
      <c r="U118" s="9" t="str">
        <v>February</v>
      </c>
      <c r="V118" s="9">
        <v>0</v>
      </c>
      <c r="W118" s="9" t="str">
        <v>work done and billing in Feb.25</v>
      </c>
      <c r="X118" s="9">
        <v>0</v>
      </c>
      <c r="Y118" s="9">
        <v>0</v>
      </c>
    </row>
    <row r="119" spans="1:25">
      <c r="A119" s="9">
        <v>112</v>
      </c>
      <c r="B119" s="9">
        <v>45841</v>
      </c>
      <c r="C119" s="9" t="str">
        <v>Schaeffler India Limited</v>
      </c>
      <c r="D119" s="9" t="str">
        <v>Pune</v>
      </c>
      <c r="E119" s="9" t="str">
        <v>Tool Room</v>
      </c>
      <c r="F119" s="9" t="str">
        <v>Sandip Gaikwad</v>
      </c>
      <c r="G119" s="9">
        <v>7507568788</v>
      </c>
      <c r="H119" s="9" t="str">
        <v>gaikwsnd@schaeffler.com;</v>
      </c>
      <c r="I119" s="9" t="str">
        <v>17003031/001</v>
      </c>
      <c r="J119" s="9" t="str">
        <v>Relocation</v>
      </c>
      <c r="K119" s="9" t="str">
        <v>No</v>
      </c>
      <c r="L119" s="9" t="str">
        <v>KRIND/W/RE/25045</v>
      </c>
      <c r="M119" s="9">
        <v>45805</v>
      </c>
      <c r="N119" s="9">
        <v>418000</v>
      </c>
      <c r="O119" s="9" t="str">
        <v>May</v>
      </c>
      <c r="P119" s="9" t="str">
        <v>July</v>
      </c>
      <c r="Q119" s="9">
        <v>0.7</v>
      </c>
      <c r="R119" s="9" t="str">
        <v>0042 / 7000970016</v>
      </c>
      <c r="S119" s="9">
        <v>45839</v>
      </c>
      <c r="T119" s="9">
        <v>402000</v>
      </c>
      <c r="U119" s="9" t="str">
        <v>July</v>
      </c>
      <c r="V119" s="9">
        <v>-16000</v>
      </c>
      <c r="W119" s="9" t="str">
        <v>Relocation plan in this month.</v>
      </c>
      <c r="X119" s="9">
        <v>0</v>
      </c>
      <c r="Y119" s="9">
        <v>0</v>
      </c>
    </row>
    <row r="120" spans="1:25">
      <c r="A120" s="9">
        <v>113</v>
      </c>
      <c r="B120" s="9">
        <v>45841</v>
      </c>
      <c r="C120" s="9" t="str">
        <v>Bajaj Auto Ltd</v>
      </c>
      <c r="D120" s="9" t="str">
        <v>Pune</v>
      </c>
      <c r="E120" s="9" t="str">
        <v>Ele.veh</v>
      </c>
      <c r="F120" s="9" t="str">
        <v>Gopal Adhao</v>
      </c>
      <c r="G120" s="9">
        <v>9860955055</v>
      </c>
      <c r="H120" s="9" t="str">
        <v>gsadhao@bajajauto.co.in</v>
      </c>
      <c r="I120" s="9" t="str">
        <v>18001595/001</v>
      </c>
      <c r="J120" s="9" t="str">
        <v>Relocation</v>
      </c>
      <c r="K120" s="9" t="str">
        <v>No</v>
      </c>
      <c r="L120" s="9" t="str">
        <v>KRIND/W/YD/RE/25052</v>
      </c>
      <c r="M120" s="9">
        <v>45834</v>
      </c>
      <c r="N120" s="9">
        <v>350000</v>
      </c>
      <c r="O120" s="9" t="str">
        <v>June</v>
      </c>
      <c r="P120" s="9" t="str">
        <v>August</v>
      </c>
      <c r="Q120" s="9">
        <v>0.5</v>
      </c>
      <c r="R120" s="9">
        <v>3110015532</v>
      </c>
      <c r="S120" s="9" t="str">
        <v>26.07.2025</v>
      </c>
      <c r="T120" s="9">
        <v>350000</v>
      </c>
      <c r="U120" s="9" t="str">
        <v>September</v>
      </c>
      <c r="V120" s="9">
        <v>0</v>
      </c>
      <c r="W120" s="9">
        <v>0</v>
      </c>
      <c r="X120" s="9">
        <v>0</v>
      </c>
      <c r="Y120" s="9">
        <v>0</v>
      </c>
    </row>
    <row r="121" spans="1:25">
      <c r="A121" s="9">
        <v>114</v>
      </c>
      <c r="B121" s="9">
        <v>45863</v>
      </c>
      <c r="C121" s="9" t="str">
        <v xml:space="preserve">Kirloskar Oil Engine LTD </v>
      </c>
      <c r="D121" s="9" t="str">
        <v>Kirloskarwadi</v>
      </c>
      <c r="E121" s="9" t="str">
        <v>Stores</v>
      </c>
      <c r="F121" s="9" t="str">
        <v>Sayajirao Mali</v>
      </c>
      <c r="G121" s="9" t="str">
        <v>9881734612 </v>
      </c>
      <c r="H121" s="9" t="str">
        <v>sayajirao.mali@kirloskar.com</v>
      </c>
      <c r="I121" s="9" t="str">
        <v>07010686/001</v>
      </c>
      <c r="J121" s="9" t="str">
        <v>BD Spare</v>
      </c>
      <c r="K121" s="9" t="str">
        <v>No</v>
      </c>
      <c r="L121" s="9" t="str">
        <v>KXIND/W/YD/SPP/25053</v>
      </c>
      <c r="M121" s="9">
        <v>45856</v>
      </c>
      <c r="N121" s="9">
        <v>216000</v>
      </c>
      <c r="O121" s="9" t="str">
        <v>July</v>
      </c>
      <c r="P121" s="9" t="str">
        <v>July</v>
      </c>
      <c r="Q121" s="9">
        <v>1</v>
      </c>
      <c r="R121" s="9">
        <v>7026016369</v>
      </c>
      <c r="S121" s="9">
        <v>45861</v>
      </c>
      <c r="T121" s="9">
        <v>207360</v>
      </c>
      <c r="U121" s="9" t="str">
        <v>July</v>
      </c>
      <c r="V121" s="9">
        <v>-8640</v>
      </c>
      <c r="W121" s="9">
        <v>0</v>
      </c>
      <c r="X121" s="9">
        <v>0</v>
      </c>
      <c r="Y121" s="9">
        <v>0</v>
      </c>
    </row>
    <row r="122" spans="1:25">
      <c r="A122" s="9">
        <v>115</v>
      </c>
      <c r="B122" s="9">
        <v>45863</v>
      </c>
      <c r="C122" s="9" t="str">
        <v>Tetra Pak India Pvt Ltd</v>
      </c>
      <c r="D122" s="9" t="str">
        <v>Pune</v>
      </c>
      <c r="E122" s="9" t="str">
        <v>renovation store</v>
      </c>
      <c r="F122" s="9" t="str">
        <v>Vikas Patil</v>
      </c>
      <c r="G122" s="9" t="str">
        <v>88888 78142</v>
      </c>
      <c r="H122" s="9" t="str">
        <v>vikas.patil@tetrapak.com</v>
      </c>
      <c r="I122" s="9" t="str">
        <v>20004190/003</v>
      </c>
      <c r="J122" s="9" t="str">
        <v>BD Spare</v>
      </c>
      <c r="K122" s="9" t="str">
        <v>No</v>
      </c>
      <c r="L122" s="9" t="str">
        <v>KXIND/W/YD/SPP/2552</v>
      </c>
      <c r="M122" s="9">
        <v>45839</v>
      </c>
      <c r="N122" s="9">
        <v>294032</v>
      </c>
      <c r="O122" s="9" t="str">
        <v>July</v>
      </c>
      <c r="P122" s="9" t="str">
        <v>July</v>
      </c>
      <c r="Q122" s="9">
        <v>1</v>
      </c>
      <c r="R122" s="9">
        <v>700645622</v>
      </c>
      <c r="S122" s="9">
        <v>45846</v>
      </c>
      <c r="T122" s="9">
        <v>294032</v>
      </c>
      <c r="U122" s="9" t="str">
        <v>July</v>
      </c>
      <c r="V122" s="9">
        <v>0</v>
      </c>
      <c r="W122" s="9">
        <v>0</v>
      </c>
      <c r="X122" s="9">
        <v>0</v>
      </c>
      <c r="Y122" s="9">
        <v>0</v>
      </c>
    </row>
    <row r="123" spans="1:25">
      <c r="A123" s="9">
        <v>116</v>
      </c>
      <c r="B123" s="9">
        <v>45867</v>
      </c>
      <c r="C123" s="9" t="str">
        <v>SKF India Ltd.</v>
      </c>
      <c r="D123" s="9" t="str">
        <v>Pune</v>
      </c>
      <c r="E123" s="9" t="str">
        <v>Tool stores</v>
      </c>
      <c r="F123" s="9" t="str">
        <v>santoshMhaske</v>
      </c>
      <c r="G123" s="9">
        <v>9561745799</v>
      </c>
      <c r="H123" s="9" t="str">
        <v>Santosh.Mhaske@skf.com</v>
      </c>
      <c r="I123" s="9" t="str">
        <v>17003414/001</v>
      </c>
      <c r="J123" s="9" t="str">
        <v>Contract</v>
      </c>
      <c r="K123" s="9" t="str">
        <v>No</v>
      </c>
      <c r="L123" s="9" t="str">
        <v>KXIND/W/YD/MC/25041</v>
      </c>
      <c r="M123" s="9">
        <v>45782</v>
      </c>
      <c r="N123" s="9">
        <v>74000</v>
      </c>
      <c r="O123" s="9" t="str">
        <v>May</v>
      </c>
      <c r="P123" s="9" t="str">
        <v>July</v>
      </c>
      <c r="Q123" s="9">
        <v>1</v>
      </c>
      <c r="R123" s="9">
        <v>4300495205</v>
      </c>
      <c r="S123" s="9">
        <v>45848</v>
      </c>
      <c r="T123" s="9">
        <v>74000</v>
      </c>
      <c r="U123" s="9" t="str">
        <v>July</v>
      </c>
      <c r="V123" s="9">
        <v>0</v>
      </c>
      <c r="W123" s="9">
        <v>0</v>
      </c>
      <c r="X123" s="9">
        <v>0</v>
      </c>
      <c r="Y123" s="9">
        <v>0</v>
      </c>
    </row>
    <row r="124" spans="1:25">
      <c r="A124" s="9">
        <v>117</v>
      </c>
      <c r="B124" s="9">
        <v>0</v>
      </c>
      <c r="C124" s="9" t="str">
        <v>SKF India Ltd.</v>
      </c>
      <c r="D124" s="9" t="str">
        <v>Pune</v>
      </c>
      <c r="E124" s="9" t="str">
        <v>Tool stores</v>
      </c>
      <c r="F124" s="9" t="str">
        <v>santoshMhaske</v>
      </c>
      <c r="G124" s="9">
        <v>9561745799</v>
      </c>
      <c r="H124" s="9" t="str">
        <v>Santosh.Mhaske@skf.com</v>
      </c>
      <c r="I124" s="9" t="str">
        <v>19007107/001</v>
      </c>
      <c r="J124" s="9" t="str">
        <v>Contract</v>
      </c>
      <c r="K124" s="9" t="str">
        <v>No</v>
      </c>
      <c r="L124" s="9" t="str">
        <v>KXIND/W/YD/MC/25041</v>
      </c>
      <c r="M124" s="9">
        <v>45782</v>
      </c>
      <c r="N124" s="9">
        <v>74000</v>
      </c>
      <c r="O124" s="9" t="str">
        <v>May</v>
      </c>
      <c r="P124" s="9" t="str">
        <v>July</v>
      </c>
      <c r="Q124" s="9">
        <v>1</v>
      </c>
      <c r="R124" s="9">
        <v>4300495205</v>
      </c>
      <c r="S124" s="9">
        <v>45848</v>
      </c>
      <c r="T124" s="9">
        <v>74000</v>
      </c>
      <c r="U124" s="9" t="str">
        <v>July</v>
      </c>
      <c r="V124" s="9">
        <v>0</v>
      </c>
      <c r="W124" s="9">
        <v>0</v>
      </c>
      <c r="X124" s="9">
        <v>0</v>
      </c>
      <c r="Y124" s="9">
        <v>0</v>
      </c>
    </row>
    <row r="125" spans="1:25">
      <c r="A125" s="9">
        <v>118</v>
      </c>
      <c r="B125" s="9">
        <v>0</v>
      </c>
      <c r="C125" s="9" t="str">
        <v>SKF India Ltd.</v>
      </c>
      <c r="D125" s="9" t="str">
        <v>Pune</v>
      </c>
      <c r="E125" s="9" t="str">
        <v>Tool stores</v>
      </c>
      <c r="F125" s="9" t="str">
        <v>santoshMhaske</v>
      </c>
      <c r="G125" s="9">
        <v>9561745800</v>
      </c>
      <c r="H125" s="9" t="str">
        <v>Santosh.Mhaske@skf.com</v>
      </c>
      <c r="I125" s="9" t="str">
        <v>19007106/001</v>
      </c>
      <c r="J125" s="9" t="str">
        <v>Contract</v>
      </c>
      <c r="K125" s="9" t="str">
        <v>No</v>
      </c>
      <c r="L125" s="9" t="str">
        <v>KXIND/W/YD/MC/25041</v>
      </c>
      <c r="M125" s="9">
        <v>45782</v>
      </c>
      <c r="N125" s="9">
        <v>74000</v>
      </c>
      <c r="O125" s="9" t="str">
        <v>May</v>
      </c>
      <c r="P125" s="9" t="str">
        <v>July</v>
      </c>
      <c r="Q125" s="9">
        <v>1</v>
      </c>
      <c r="R125" s="9">
        <v>4300495205</v>
      </c>
      <c r="S125" s="9">
        <v>45848</v>
      </c>
      <c r="T125" s="9">
        <v>74000</v>
      </c>
      <c r="U125" s="9" t="str">
        <v>July</v>
      </c>
      <c r="V125" s="9">
        <v>0</v>
      </c>
      <c r="W125" s="9">
        <v>0</v>
      </c>
      <c r="X125" s="9">
        <v>0</v>
      </c>
      <c r="Y125" s="9">
        <v>0</v>
      </c>
    </row>
    <row r="126" spans="1:25">
      <c r="A126" s="9">
        <v>119</v>
      </c>
      <c r="B126" s="9">
        <v>0</v>
      </c>
      <c r="C126" s="9" t="str">
        <v>SKF India Ltd.</v>
      </c>
      <c r="D126" s="9" t="str">
        <v>Pune</v>
      </c>
      <c r="E126" s="9" t="str">
        <v>Tool stores</v>
      </c>
      <c r="F126" s="9" t="str">
        <v>santoshMhaske</v>
      </c>
      <c r="G126" s="9">
        <v>9561745799</v>
      </c>
      <c r="H126" s="9" t="str">
        <v>Santosh.Mhaske@skf.com</v>
      </c>
      <c r="I126" s="9" t="str">
        <v>23004356/001</v>
      </c>
      <c r="J126" s="9" t="str">
        <v>Contract</v>
      </c>
      <c r="K126" s="9" t="str">
        <v>Yes</v>
      </c>
      <c r="L126" s="9" t="str">
        <v>KXIND/W/YD/MC/25041</v>
      </c>
      <c r="M126" s="9">
        <v>45782</v>
      </c>
      <c r="N126" s="9">
        <v>74000</v>
      </c>
      <c r="O126" s="9" t="str">
        <v>May</v>
      </c>
      <c r="P126" s="9" t="str">
        <v>July</v>
      </c>
      <c r="Q126" s="9">
        <v>1</v>
      </c>
      <c r="R126" s="9">
        <v>4300495205</v>
      </c>
      <c r="S126" s="9">
        <v>45848</v>
      </c>
      <c r="T126" s="9">
        <v>74000</v>
      </c>
      <c r="U126" s="9" t="str">
        <v>July</v>
      </c>
      <c r="V126" s="9">
        <v>0</v>
      </c>
      <c r="W126" s="9">
        <v>0</v>
      </c>
      <c r="X126" s="9">
        <v>0</v>
      </c>
      <c r="Y126" s="9">
        <v>0</v>
      </c>
    </row>
    <row r="127" spans="1:25">
      <c r="A127" s="9">
        <v>120</v>
      </c>
      <c r="B127" s="9">
        <v>45873</v>
      </c>
      <c r="C127" s="9" t="str">
        <v xml:space="preserve">Tata Motors LTD </v>
      </c>
      <c r="D127" s="9" t="str">
        <v>Pune</v>
      </c>
      <c r="E127" s="9" t="str">
        <v>Cblk Maint</v>
      </c>
      <c r="F127" s="9" t="str">
        <v>Rohan shinde</v>
      </c>
      <c r="G127" s="9">
        <v>8237008408</v>
      </c>
      <c r="H127" s="9" t="str">
        <v>rohan.shinde@tatamotors.com</v>
      </c>
      <c r="I127" s="9" t="str">
        <v>06009440/001</v>
      </c>
      <c r="J127" s="9" t="str">
        <v>Upgrade kit</v>
      </c>
      <c r="K127" s="9" t="str">
        <v>Yes</v>
      </c>
      <c r="L127" s="9" t="str">
        <v>KXIND/W/MLU/YD24-011</v>
      </c>
      <c r="M127" s="9">
        <v>45836</v>
      </c>
      <c r="N127" s="9">
        <v>112959</v>
      </c>
      <c r="O127" s="9" t="str">
        <v>June</v>
      </c>
      <c r="P127" s="9" t="str">
        <v>August</v>
      </c>
      <c r="Q127" s="9">
        <v>1</v>
      </c>
      <c r="R127" s="9">
        <v>2410295264</v>
      </c>
      <c r="S127" s="9">
        <v>45870</v>
      </c>
      <c r="T127" s="9">
        <v>112959</v>
      </c>
      <c r="U127" s="9" t="str">
        <v>August</v>
      </c>
      <c r="V127" s="9">
        <v>0</v>
      </c>
      <c r="W127" s="9">
        <v>0</v>
      </c>
      <c r="X127" s="9">
        <v>0</v>
      </c>
      <c r="Y127" s="9">
        <v>0</v>
      </c>
    </row>
    <row r="128" spans="1:25">
      <c r="A128" s="9">
        <v>121</v>
      </c>
      <c r="B128" s="9">
        <v>45873</v>
      </c>
      <c r="C128" s="9" t="str">
        <v>Tetra Pak India Pvt Ltd</v>
      </c>
      <c r="D128" s="9" t="str">
        <v>Pune</v>
      </c>
      <c r="E128" s="9" t="str">
        <v>renovation store</v>
      </c>
      <c r="F128" s="9" t="str">
        <v>Avinash Singh</v>
      </c>
      <c r="G128" s="9" t="str">
        <v>88888 78141</v>
      </c>
      <c r="H128" s="9" t="str">
        <v>vikas.patil@tetrapak.com</v>
      </c>
      <c r="I128" s="9" t="str">
        <v>20004190/001</v>
      </c>
      <c r="J128" s="9" t="str">
        <v>Contract</v>
      </c>
      <c r="K128" s="9" t="str">
        <v>No</v>
      </c>
      <c r="L128" s="9" t="str">
        <v>KXIND/W/YD/MC/25057</v>
      </c>
      <c r="M128" s="9">
        <v>45867</v>
      </c>
      <c r="N128" s="9">
        <v>96000</v>
      </c>
      <c r="O128" s="9" t="str">
        <v>July</v>
      </c>
      <c r="P128" s="9" t="str">
        <v>November</v>
      </c>
      <c r="Q128" s="9">
        <v>1</v>
      </c>
      <c r="R128" s="9">
        <v>700672062</v>
      </c>
      <c r="S128" s="9">
        <v>45957</v>
      </c>
      <c r="T128" s="9">
        <v>96000</v>
      </c>
      <c r="U128" s="9" t="str">
        <v>October</v>
      </c>
      <c r="V128" s="9">
        <v>0</v>
      </c>
      <c r="W128" s="9">
        <v>0</v>
      </c>
      <c r="X128" s="9">
        <v>0</v>
      </c>
      <c r="Y128" s="9">
        <v>0</v>
      </c>
    </row>
    <row r="129" spans="1:25">
      <c r="A129" s="9">
        <v>122</v>
      </c>
      <c r="B129" s="9">
        <v>0</v>
      </c>
      <c r="C129" s="9" t="str">
        <v>Tetra Pak India Pvt Ltd</v>
      </c>
      <c r="D129" s="9" t="str">
        <v>Pune</v>
      </c>
      <c r="E129" s="9" t="str">
        <v>renovation store</v>
      </c>
      <c r="F129" s="9" t="str">
        <v>Avinash Singh</v>
      </c>
      <c r="G129" s="9" t="str">
        <v>88888 78141</v>
      </c>
      <c r="H129" s="9" t="str">
        <v>vikas.patil@tetrapak.com</v>
      </c>
      <c r="I129" s="9" t="str">
        <v>20004190/002</v>
      </c>
      <c r="J129" s="9" t="str">
        <v>Contract</v>
      </c>
      <c r="K129" s="9" t="str">
        <v>No</v>
      </c>
      <c r="L129" s="9" t="str">
        <v>KXIND/W/YD/MC/25057</v>
      </c>
      <c r="M129" s="9">
        <v>45867</v>
      </c>
      <c r="N129" s="9">
        <v>96000</v>
      </c>
      <c r="O129" s="9" t="str">
        <v>July</v>
      </c>
      <c r="P129" s="9" t="str">
        <v>November</v>
      </c>
      <c r="Q129" s="9">
        <v>1</v>
      </c>
      <c r="R129" s="9">
        <v>700672062</v>
      </c>
      <c r="S129" s="9">
        <v>45957</v>
      </c>
      <c r="T129" s="9">
        <v>96000</v>
      </c>
      <c r="U129" s="9" t="str">
        <v>October</v>
      </c>
      <c r="V129" s="9">
        <v>0</v>
      </c>
      <c r="W129" s="9">
        <v>0</v>
      </c>
      <c r="X129" s="9">
        <v>0</v>
      </c>
      <c r="Y129" s="9">
        <v>0</v>
      </c>
    </row>
    <row r="130" spans="1:25">
      <c r="A130" s="9">
        <v>123</v>
      </c>
      <c r="B130" s="9">
        <v>0</v>
      </c>
      <c r="C130" s="9" t="str">
        <v>Tetra Pak India Pvt Ltd</v>
      </c>
      <c r="D130" s="9" t="str">
        <v>Pune</v>
      </c>
      <c r="E130" s="9" t="str">
        <v>renovation store</v>
      </c>
      <c r="F130" s="9" t="str">
        <v>Avinash Singh</v>
      </c>
      <c r="G130" s="9" t="str">
        <v>88888 78142</v>
      </c>
      <c r="H130" s="9" t="str">
        <v>vikas.patil@tetrapak.com</v>
      </c>
      <c r="I130" s="9" t="str">
        <v>20004190/003</v>
      </c>
      <c r="J130" s="9" t="str">
        <v>Contract</v>
      </c>
      <c r="K130" s="9" t="str">
        <v>No</v>
      </c>
      <c r="L130" s="9" t="str">
        <v>KXIND/W/YD/MC/25057</v>
      </c>
      <c r="M130" s="9">
        <v>45867</v>
      </c>
      <c r="N130" s="9">
        <v>96000</v>
      </c>
      <c r="O130" s="9" t="str">
        <v>July</v>
      </c>
      <c r="P130" s="9" t="str">
        <v>November</v>
      </c>
      <c r="Q130" s="9">
        <v>1</v>
      </c>
      <c r="R130" s="9">
        <v>700672062</v>
      </c>
      <c r="S130" s="9" t="str">
        <v>27-10-205</v>
      </c>
      <c r="T130" s="9">
        <v>96000</v>
      </c>
      <c r="U130" s="9" t="str">
        <v>October</v>
      </c>
      <c r="V130" s="9">
        <v>0</v>
      </c>
      <c r="W130" s="9">
        <v>0</v>
      </c>
      <c r="X130" s="9">
        <v>0</v>
      </c>
      <c r="Y130" s="9">
        <v>0</v>
      </c>
    </row>
    <row r="131" spans="1:25">
      <c r="A131" s="9">
        <v>124</v>
      </c>
      <c r="B131" s="9">
        <v>45873</v>
      </c>
      <c r="C131" s="9" t="str">
        <v xml:space="preserve">Kirloskar Ebara Pumps LTD </v>
      </c>
      <c r="D131" s="9" t="str">
        <v>Kirloskarwadi</v>
      </c>
      <c r="E131" s="9" t="str">
        <v>stores</v>
      </c>
      <c r="F131" s="9" t="str">
        <v>sachin mali</v>
      </c>
      <c r="G131" s="9" t="str">
        <v>7796670030    </v>
      </c>
      <c r="H131" s="9" t="str">
        <v>SACHIN.MALI@kepl.in.net</v>
      </c>
      <c r="I131" s="9" t="str">
        <v>05007988/001</v>
      </c>
      <c r="J131" s="9" t="str">
        <v>Contract</v>
      </c>
      <c r="K131" s="9" t="str">
        <v>No</v>
      </c>
      <c r="L131" s="9" t="str">
        <v>KXIND/W/YD/MC/25056</v>
      </c>
      <c r="M131" s="9" t="str">
        <v>29.07.2025</v>
      </c>
      <c r="N131" s="9">
        <v>59746</v>
      </c>
      <c r="O131" s="9" t="str">
        <v>July</v>
      </c>
      <c r="P131" s="9" t="str">
        <v>August</v>
      </c>
      <c r="Q131" s="9">
        <v>1</v>
      </c>
      <c r="R131" s="9">
        <v>3300005366</v>
      </c>
      <c r="S131" s="9">
        <v>45881</v>
      </c>
      <c r="T131" s="9">
        <v>59746</v>
      </c>
      <c r="U131" s="9" t="str">
        <v>August</v>
      </c>
      <c r="V131" s="9">
        <v>0</v>
      </c>
      <c r="W131" s="9">
        <v>0</v>
      </c>
      <c r="X131" s="9">
        <v>0</v>
      </c>
      <c r="Y131" s="9">
        <v>0</v>
      </c>
    </row>
    <row r="132" spans="1:25">
      <c r="A132" s="9">
        <v>125</v>
      </c>
      <c r="B132" s="9">
        <v>0</v>
      </c>
      <c r="C132" s="9" t="str">
        <v xml:space="preserve">Kirloskar Ebara Pumps LTD </v>
      </c>
      <c r="D132" s="9" t="str">
        <v>Kirloskarwadi</v>
      </c>
      <c r="E132" s="9" t="str">
        <v>stores</v>
      </c>
      <c r="F132" s="9" t="str">
        <v>sachin mali</v>
      </c>
      <c r="G132" s="9" t="str">
        <v>7796670030    </v>
      </c>
      <c r="H132" s="9" t="str">
        <v>SACHIN.MALI@kepl.in.net</v>
      </c>
      <c r="I132" s="9" t="str">
        <v>05007988/002</v>
      </c>
      <c r="J132" s="9" t="str">
        <v>Contract</v>
      </c>
      <c r="K132" s="9" t="str">
        <v>No</v>
      </c>
      <c r="L132" s="9" t="str">
        <v>KXIND/W/YD/MC/25056</v>
      </c>
      <c r="M132" s="9">
        <v>45867</v>
      </c>
      <c r="N132" s="9">
        <v>59746</v>
      </c>
      <c r="O132" s="9" t="str">
        <v>July</v>
      </c>
      <c r="P132" s="9" t="str">
        <v>August</v>
      </c>
      <c r="Q132" s="9">
        <v>1</v>
      </c>
      <c r="R132" s="9">
        <v>3300005366</v>
      </c>
      <c r="S132" s="9">
        <v>45881</v>
      </c>
      <c r="T132" s="9">
        <v>59746</v>
      </c>
      <c r="U132" s="9" t="str">
        <v>August</v>
      </c>
      <c r="V132" s="9">
        <v>0</v>
      </c>
      <c r="W132" s="9">
        <v>0</v>
      </c>
      <c r="X132" s="9">
        <v>0</v>
      </c>
      <c r="Y132" s="9">
        <v>0</v>
      </c>
    </row>
    <row r="133" spans="1:25">
      <c r="A133" s="9">
        <v>126</v>
      </c>
      <c r="B133" s="9">
        <v>0</v>
      </c>
      <c r="C133" s="9" t="str">
        <v xml:space="preserve">Kirloskar Ebara Pumps LTD </v>
      </c>
      <c r="D133" s="9" t="str">
        <v>Kirloskarwadi</v>
      </c>
      <c r="E133" s="9" t="str">
        <v>stores</v>
      </c>
      <c r="F133" s="9" t="str">
        <v>sachin mali</v>
      </c>
      <c r="G133" s="9" t="str">
        <v>7796670030    </v>
      </c>
      <c r="H133" s="9" t="str">
        <v>SACHIN.MALI@kepl.in.net</v>
      </c>
      <c r="I133" s="9" t="str">
        <v>05007988/003</v>
      </c>
      <c r="J133" s="9" t="str">
        <v>Contract</v>
      </c>
      <c r="K133" s="9" t="str">
        <v>No</v>
      </c>
      <c r="L133" s="9" t="str">
        <v>KXIND/W/YD/MC/25056</v>
      </c>
      <c r="M133" s="9">
        <v>45867</v>
      </c>
      <c r="N133" s="9">
        <v>59746</v>
      </c>
      <c r="O133" s="9" t="str">
        <v>July</v>
      </c>
      <c r="P133" s="9" t="str">
        <v>August</v>
      </c>
      <c r="Q133" s="9">
        <v>1</v>
      </c>
      <c r="R133" s="9">
        <v>3300005366</v>
      </c>
      <c r="S133" s="9">
        <v>45881</v>
      </c>
      <c r="T133" s="9">
        <v>59746</v>
      </c>
      <c r="U133" s="9" t="str">
        <v>August</v>
      </c>
      <c r="V133" s="9">
        <v>0</v>
      </c>
      <c r="W133" s="9">
        <v>0</v>
      </c>
      <c r="X133" s="9">
        <v>0</v>
      </c>
      <c r="Y133" s="9">
        <v>0</v>
      </c>
    </row>
    <row r="134" spans="1:25">
      <c r="A134" s="9">
        <v>127</v>
      </c>
      <c r="B134" s="9">
        <v>0</v>
      </c>
      <c r="C134" s="9" t="str">
        <v xml:space="preserve">Kirloskar Ebara Pumps LTD </v>
      </c>
      <c r="D134" s="9" t="str">
        <v>Kirloskarwadi</v>
      </c>
      <c r="E134" s="9" t="str">
        <v>stores</v>
      </c>
      <c r="F134" s="9" t="str">
        <v>sachin mali</v>
      </c>
      <c r="G134" s="9" t="str">
        <v>7796670030    </v>
      </c>
      <c r="H134" s="9" t="str">
        <v>SACHIN.MALI@kepl.in.net</v>
      </c>
      <c r="I134" s="9" t="str">
        <v>05007988/004</v>
      </c>
      <c r="J134" s="9" t="str">
        <v>Contract</v>
      </c>
      <c r="K134" s="9" t="str">
        <v>No</v>
      </c>
      <c r="L134" s="9" t="str">
        <v>KXIND/W/YD/MC/25056</v>
      </c>
      <c r="M134" s="9">
        <v>45867</v>
      </c>
      <c r="N134" s="9">
        <v>59746</v>
      </c>
      <c r="O134" s="9" t="str">
        <v>July</v>
      </c>
      <c r="P134" s="9" t="str">
        <v>August</v>
      </c>
      <c r="Q134" s="9">
        <v>1</v>
      </c>
      <c r="R134" s="9">
        <v>3300005366</v>
      </c>
      <c r="S134" s="9">
        <v>45881</v>
      </c>
      <c r="T134" s="9">
        <v>59746</v>
      </c>
      <c r="U134" s="9" t="str">
        <v>August</v>
      </c>
      <c r="V134" s="9">
        <v>0</v>
      </c>
      <c r="W134" s="9">
        <v>0</v>
      </c>
      <c r="X134" s="9">
        <v>0</v>
      </c>
      <c r="Y134" s="9">
        <v>0</v>
      </c>
    </row>
    <row r="135" spans="1:25">
      <c r="A135" s="9">
        <v>128</v>
      </c>
      <c r="B135" s="9">
        <v>0</v>
      </c>
      <c r="C135" s="9" t="str">
        <v xml:space="preserve">Kirloskar Ebara Pumps LTD </v>
      </c>
      <c r="D135" s="9" t="str">
        <v>Kirloskarwadi</v>
      </c>
      <c r="E135" s="9" t="str">
        <v>stores</v>
      </c>
      <c r="F135" s="9" t="str">
        <v>sachin mali</v>
      </c>
      <c r="G135" s="9" t="str">
        <v>7796670030    </v>
      </c>
      <c r="H135" s="9" t="str">
        <v>SACHIN.MALI@kepl.in.net</v>
      </c>
      <c r="I135" s="9" t="str">
        <v>05007988/005</v>
      </c>
      <c r="J135" s="9" t="str">
        <v>Contract</v>
      </c>
      <c r="K135" s="9" t="str">
        <v>No</v>
      </c>
      <c r="L135" s="9" t="str">
        <v>KXIND/W/YD/MC/25056</v>
      </c>
      <c r="M135" s="9" t="str">
        <v>29.07.2026</v>
      </c>
      <c r="N135" s="9">
        <v>59746</v>
      </c>
      <c r="O135" s="9" t="str">
        <v>July</v>
      </c>
      <c r="P135" s="9" t="str">
        <v>August</v>
      </c>
      <c r="Q135" s="9">
        <v>1</v>
      </c>
      <c r="R135" s="9">
        <v>3300005366</v>
      </c>
      <c r="S135" s="9">
        <v>45881</v>
      </c>
      <c r="T135" s="9">
        <v>59746</v>
      </c>
      <c r="U135" s="9" t="str">
        <v>August</v>
      </c>
      <c r="V135" s="9">
        <v>0</v>
      </c>
      <c r="W135" s="9">
        <v>0</v>
      </c>
      <c r="X135" s="9">
        <v>0</v>
      </c>
      <c r="Y135" s="9">
        <v>0</v>
      </c>
    </row>
    <row r="136" spans="1:25">
      <c r="A136" s="9">
        <v>129</v>
      </c>
      <c r="B136" s="9">
        <v>0</v>
      </c>
      <c r="C136" s="9" t="str">
        <v xml:space="preserve">Kirloskar Ebara Pumps LTD </v>
      </c>
      <c r="D136" s="9" t="str">
        <v>Kirloskarwadi</v>
      </c>
      <c r="E136" s="9" t="str">
        <v>stores</v>
      </c>
      <c r="F136" s="9" t="str">
        <v>sachin mali</v>
      </c>
      <c r="G136" s="9" t="str">
        <v>7796670030    </v>
      </c>
      <c r="H136" s="9" t="str">
        <v>SACHIN.MALI@kepl.in.net</v>
      </c>
      <c r="I136" s="9" t="str">
        <v>05007988/006</v>
      </c>
      <c r="J136" s="9" t="str">
        <v>Contract</v>
      </c>
      <c r="K136" s="9" t="str">
        <v>No</v>
      </c>
      <c r="L136" s="9" t="str">
        <v>KXIND/W/YD/MC/25056</v>
      </c>
      <c r="M136" s="9">
        <v>45867</v>
      </c>
      <c r="N136" s="9">
        <v>59746</v>
      </c>
      <c r="O136" s="9" t="str">
        <v>July</v>
      </c>
      <c r="P136" s="9" t="str">
        <v>August</v>
      </c>
      <c r="Q136" s="9">
        <v>1</v>
      </c>
      <c r="R136" s="9">
        <v>3300005366</v>
      </c>
      <c r="S136" s="9">
        <v>45881</v>
      </c>
      <c r="T136" s="9">
        <v>59746</v>
      </c>
      <c r="U136" s="9" t="str">
        <v>August</v>
      </c>
      <c r="V136" s="9">
        <v>0</v>
      </c>
      <c r="W136" s="9">
        <v>0</v>
      </c>
      <c r="X136" s="9">
        <v>0</v>
      </c>
      <c r="Y136" s="9">
        <v>0</v>
      </c>
    </row>
    <row r="137" spans="1:25">
      <c r="A137" s="9">
        <v>130</v>
      </c>
      <c r="B137" s="9">
        <v>0</v>
      </c>
      <c r="C137" s="9" t="str">
        <v xml:space="preserve">Kirloskar Ebara Pumps LTD </v>
      </c>
      <c r="D137" s="9" t="str">
        <v>Kirloskarwadi</v>
      </c>
      <c r="E137" s="9" t="str">
        <v>stores</v>
      </c>
      <c r="F137" s="9" t="str">
        <v>sachin mali</v>
      </c>
      <c r="G137" s="9" t="str">
        <v>7796670030    </v>
      </c>
      <c r="H137" s="9" t="str">
        <v>SACHIN.MALI@kepl.in.net</v>
      </c>
      <c r="I137" s="9" t="str">
        <v>11000436/001</v>
      </c>
      <c r="J137" s="9" t="str">
        <v>Contract</v>
      </c>
      <c r="K137" s="9" t="str">
        <v>No</v>
      </c>
      <c r="L137" s="9" t="str">
        <v>KXIND/W/YD/MC/25056</v>
      </c>
      <c r="M137" s="9">
        <v>45867</v>
      </c>
      <c r="N137" s="9">
        <v>59746</v>
      </c>
      <c r="O137" s="9" t="str">
        <v>July</v>
      </c>
      <c r="P137" s="9" t="str">
        <v>August</v>
      </c>
      <c r="Q137" s="9">
        <v>1</v>
      </c>
      <c r="R137" s="9">
        <v>3300005366</v>
      </c>
      <c r="S137" s="9">
        <v>45881</v>
      </c>
      <c r="T137" s="9">
        <v>59746</v>
      </c>
      <c r="U137" s="9" t="str">
        <v>August</v>
      </c>
      <c r="V137" s="9">
        <v>0</v>
      </c>
      <c r="W137" s="9">
        <v>0</v>
      </c>
      <c r="X137" s="9">
        <v>0</v>
      </c>
      <c r="Y137" s="9">
        <v>0</v>
      </c>
    </row>
    <row r="138" spans="1:25">
      <c r="A138" s="9">
        <v>131</v>
      </c>
      <c r="B138" s="9">
        <v>45873</v>
      </c>
      <c r="C138" s="9" t="str">
        <v xml:space="preserve">GIC Instruments Pvt Ltd </v>
      </c>
      <c r="D138" s="9" t="str">
        <v>Pune</v>
      </c>
      <c r="E138" s="9" t="str">
        <v>stores</v>
      </c>
      <c r="F138" s="9" t="str">
        <v>Ajinkya Dekale</v>
      </c>
      <c r="G138" s="9">
        <v>9403849891</v>
      </c>
      <c r="H138" s="9" t="str">
        <v>ajinkya.dhekale@gicindia.com</v>
      </c>
      <c r="I138" s="9" t="str">
        <v>08010151/001</v>
      </c>
      <c r="J138" s="9" t="str">
        <v>Upgrade kit</v>
      </c>
      <c r="K138" s="9" t="str">
        <v>Yes</v>
      </c>
      <c r="L138" s="9" t="str">
        <v>KXIND/W/YD/SPP/25058</v>
      </c>
      <c r="M138" s="9">
        <v>45869</v>
      </c>
      <c r="N138" s="9">
        <v>699300</v>
      </c>
      <c r="O138" s="9" t="str">
        <v>July</v>
      </c>
      <c r="P138" s="9" t="str">
        <v>August</v>
      </c>
      <c r="Q138" s="9">
        <v>0.8</v>
      </c>
      <c r="R138" s="9">
        <v>3791</v>
      </c>
      <c r="S138" s="9">
        <v>45887</v>
      </c>
      <c r="T138" s="9">
        <v>699300</v>
      </c>
      <c r="U138" s="9" t="str">
        <v>August</v>
      </c>
      <c r="V138" s="9">
        <v>0</v>
      </c>
      <c r="W138" s="9">
        <v>0</v>
      </c>
      <c r="X138" s="9">
        <v>0</v>
      </c>
      <c r="Y138" s="9">
        <v>0</v>
      </c>
    </row>
    <row r="139" spans="1:25">
      <c r="A139" s="9">
        <v>132</v>
      </c>
      <c r="B139" s="9">
        <v>45875</v>
      </c>
      <c r="C139" s="9" t="str">
        <v>Schaeffler India Limited</v>
      </c>
      <c r="D139" s="9" t="str">
        <v>Pune</v>
      </c>
      <c r="E139" s="9" t="str">
        <v>Tool Room</v>
      </c>
      <c r="F139" s="9" t="str">
        <v>Sandip Gaikwad</v>
      </c>
      <c r="G139" s="9">
        <v>7507568788</v>
      </c>
      <c r="H139" s="9" t="str">
        <v>gaikwsnd@schaeffler.com;</v>
      </c>
      <c r="I139" s="9" t="str">
        <v>17003031/001</v>
      </c>
      <c r="J139" s="9" t="str">
        <v>SPP</v>
      </c>
      <c r="K139" s="9" t="str">
        <v>Yes</v>
      </c>
      <c r="L139" s="9" t="str">
        <v>KXIND/W/YD/SPP/25034</v>
      </c>
      <c r="M139" s="9">
        <v>45741</v>
      </c>
      <c r="N139" s="9">
        <v>458451</v>
      </c>
      <c r="O139" s="9" t="str">
        <v>March</v>
      </c>
      <c r="P139" s="9" t="str">
        <v>August</v>
      </c>
      <c r="Q139" s="9">
        <v>0.7</v>
      </c>
      <c r="R139" s="9">
        <v>39860580</v>
      </c>
      <c r="S139" s="9">
        <v>45876</v>
      </c>
      <c r="T139" s="9">
        <v>458451</v>
      </c>
      <c r="U139" s="9" t="str">
        <v>August</v>
      </c>
      <c r="V139" s="9">
        <v>0</v>
      </c>
      <c r="W139" s="9">
        <v>0</v>
      </c>
      <c r="X139" s="9">
        <v>0</v>
      </c>
      <c r="Y139" s="9">
        <v>0</v>
      </c>
    </row>
    <row r="140" spans="1:25">
      <c r="A140" s="9">
        <v>144</v>
      </c>
      <c r="B140" s="9">
        <v>45922</v>
      </c>
      <c r="C140" s="9" t="str">
        <v>SKF India Ltd.</v>
      </c>
      <c r="D140" s="9" t="str">
        <v>Pune</v>
      </c>
      <c r="E140" s="9" t="str">
        <v>stores</v>
      </c>
      <c r="F140" s="9" t="str">
        <v>Yogesh Khandare</v>
      </c>
      <c r="G140" s="9">
        <v>9823022367</v>
      </c>
      <c r="H140" s="9" t="str">
        <v>yogesh.khandare@skf.com</v>
      </c>
      <c r="I140" s="9" t="str">
        <v>23006882/001</v>
      </c>
      <c r="J140" s="9" t="str">
        <v>Software</v>
      </c>
      <c r="K140" s="9" t="str">
        <v>Yes</v>
      </c>
      <c r="L140" s="9" t="str">
        <v>KRIND/SA/OTH/25000008</v>
      </c>
      <c r="M140" s="9">
        <v>45922</v>
      </c>
      <c r="N140" s="9">
        <v>897000</v>
      </c>
      <c r="O140" s="9" t="str">
        <v>September</v>
      </c>
      <c r="P140" s="9" t="str">
        <v>December</v>
      </c>
      <c r="Q140" s="9">
        <v>0.5</v>
      </c>
      <c r="R140" s="9">
        <v>0</v>
      </c>
      <c r="S140" s="9">
        <v>0</v>
      </c>
      <c r="T140" s="9">
        <v>0</v>
      </c>
      <c r="U140" s="9">
        <v>0</v>
      </c>
      <c r="V140" s="9">
        <v>897000</v>
      </c>
      <c r="W140" s="9">
        <v>0</v>
      </c>
      <c r="X140" s="9">
        <v>0</v>
      </c>
      <c r="Y140" s="9">
        <v>0</v>
      </c>
    </row>
    <row r="141" spans="1:25">
      <c r="A141" s="9">
        <v>135</v>
      </c>
      <c r="B141" s="9">
        <v>45922</v>
      </c>
      <c r="C141" s="9" t="str">
        <v>Bajaj Auto Ltd</v>
      </c>
      <c r="D141" s="9" t="str">
        <v>Pune</v>
      </c>
      <c r="E141" s="9" t="str">
        <v>Engine Assembly</v>
      </c>
      <c r="F141" s="9" t="str">
        <v>Rakesh Kirange</v>
      </c>
      <c r="G141" s="9">
        <v>9850043641</v>
      </c>
      <c r="H141" s="9" t="str">
        <v>rnkirange@bajajauto.co.in</v>
      </c>
      <c r="I141" s="9" t="str">
        <v>19003778/001</v>
      </c>
      <c r="J141" s="9" t="str">
        <v>Software</v>
      </c>
      <c r="K141" s="9" t="str">
        <v>Yes</v>
      </c>
      <c r="L141" s="9" t="str">
        <v>KRIND/SR/OTH/25015</v>
      </c>
      <c r="M141" s="9">
        <v>45911</v>
      </c>
      <c r="N141" s="9">
        <v>850000</v>
      </c>
      <c r="O141" s="9" t="str">
        <v>September</v>
      </c>
      <c r="P141" s="9" t="str">
        <v>October</v>
      </c>
      <c r="Q141" s="9">
        <v>0.5</v>
      </c>
      <c r="R141" s="9">
        <v>0</v>
      </c>
      <c r="S141" s="9">
        <v>0</v>
      </c>
      <c r="T141" s="9">
        <v>0</v>
      </c>
      <c r="U141" s="9">
        <v>0</v>
      </c>
      <c r="V141" s="9">
        <v>850000</v>
      </c>
      <c r="W141" s="9">
        <v>0</v>
      </c>
      <c r="X141" s="9">
        <v>0</v>
      </c>
      <c r="Y141" s="9">
        <v>0</v>
      </c>
    </row>
    <row r="142" spans="1:25">
      <c r="A142" s="9">
        <v>142</v>
      </c>
      <c r="B142" s="9">
        <v>45922</v>
      </c>
      <c r="C142" s="9" t="str">
        <v xml:space="preserve">Kirloskar Ebara Pumps LTD </v>
      </c>
      <c r="D142" s="9" t="str">
        <v>Kirloskarwadi</v>
      </c>
      <c r="E142" s="9" t="str">
        <v>stores</v>
      </c>
      <c r="F142" s="9" t="str">
        <v>sachin mali</v>
      </c>
      <c r="G142" s="9" t="str">
        <v>7796670030    </v>
      </c>
      <c r="H142" s="9" t="str">
        <v>SACHIN.MALI@kepl.in.net</v>
      </c>
      <c r="I142" s="9" t="str">
        <v>05007988/001</v>
      </c>
      <c r="J142" s="9" t="str">
        <v>SPP</v>
      </c>
      <c r="K142" s="9" t="str">
        <v>Yes</v>
      </c>
      <c r="L142" s="9" t="str">
        <v>KXIND/W/YD/SPP/25064</v>
      </c>
      <c r="M142" s="9">
        <v>45922</v>
      </c>
      <c r="N142" s="9">
        <v>795668</v>
      </c>
      <c r="O142" s="9" t="str">
        <v>September</v>
      </c>
      <c r="P142" s="9" t="str">
        <v>December</v>
      </c>
      <c r="Q142" s="9">
        <v>0.5</v>
      </c>
      <c r="R142" s="9">
        <v>0</v>
      </c>
      <c r="S142" s="9">
        <v>0</v>
      </c>
      <c r="T142" s="9">
        <v>0</v>
      </c>
      <c r="U142" s="9">
        <v>0</v>
      </c>
      <c r="V142" s="9">
        <v>795668</v>
      </c>
      <c r="W142" s="9">
        <v>0</v>
      </c>
      <c r="X142" s="9">
        <v>0</v>
      </c>
      <c r="Y142" s="9">
        <v>0</v>
      </c>
    </row>
    <row r="143" spans="1:25">
      <c r="A143" s="9">
        <v>134</v>
      </c>
      <c r="B143" s="9">
        <v>45888</v>
      </c>
      <c r="C143" s="9" t="str">
        <v>Bajaj Auto Ltd</v>
      </c>
      <c r="D143" s="9" t="str">
        <v>Pune</v>
      </c>
      <c r="E143" s="9" t="str">
        <v>Engine Assembly</v>
      </c>
      <c r="F143" s="9" t="str">
        <v>Rakesh Kirange</v>
      </c>
      <c r="G143" s="9">
        <v>9850043641</v>
      </c>
      <c r="H143" s="9" t="str">
        <v>rnkirange@bajajauto.co.in</v>
      </c>
      <c r="I143" s="9" t="str">
        <v>19003778/001</v>
      </c>
      <c r="J143" s="9" t="str">
        <v>Retrofit kit</v>
      </c>
      <c r="K143" s="9" t="str">
        <v>Yes</v>
      </c>
      <c r="L143" s="9" t="str">
        <v>KXIND/W/YD/SPP/25063</v>
      </c>
      <c r="M143" s="9">
        <v>45883</v>
      </c>
      <c r="N143" s="9">
        <v>633000</v>
      </c>
      <c r="O143" s="9" t="str">
        <v>August</v>
      </c>
      <c r="P143" s="9" t="str">
        <v>September</v>
      </c>
      <c r="Q143" s="9">
        <v>0.3</v>
      </c>
      <c r="R143" s="9">
        <v>7210033472</v>
      </c>
      <c r="S143" s="9">
        <v>45943</v>
      </c>
      <c r="T143" s="9">
        <v>633000</v>
      </c>
      <c r="U143" s="9" t="str">
        <v>November</v>
      </c>
      <c r="V143" s="9">
        <v>0</v>
      </c>
      <c r="W143" s="9">
        <v>0</v>
      </c>
      <c r="X143" s="9">
        <v>0</v>
      </c>
      <c r="Y143" s="9">
        <v>0</v>
      </c>
    </row>
    <row r="144" spans="1:25">
      <c r="A144" s="9">
        <v>136</v>
      </c>
      <c r="B144" s="9">
        <v>45922</v>
      </c>
      <c r="C144" s="9" t="str">
        <v>Bajaj Auto Ltd</v>
      </c>
      <c r="D144" s="9" t="str">
        <v>Pune</v>
      </c>
      <c r="E144" s="9" t="str">
        <v>Alu store</v>
      </c>
      <c r="F144" s="9" t="str">
        <v>Tushar Bandgar</v>
      </c>
      <c r="G144" s="9">
        <v>9823022367</v>
      </c>
      <c r="H144" s="9" t="str">
        <v>tsbandgar@bajajauto.co.in</v>
      </c>
      <c r="I144" s="9" t="str">
        <v>99012291/001</v>
      </c>
      <c r="J144" s="9" t="str">
        <v>Software</v>
      </c>
      <c r="K144" s="9" t="str">
        <v>Yes</v>
      </c>
      <c r="L144" s="9" t="str">
        <v>KRIND/SR/OTH/2508</v>
      </c>
      <c r="M144" s="9">
        <v>45817</v>
      </c>
      <c r="N144" s="9">
        <v>166000</v>
      </c>
      <c r="O144" s="9" t="str">
        <v>July</v>
      </c>
      <c r="P144" s="9" t="str">
        <v>July</v>
      </c>
      <c r="Q144" s="9">
        <v>0.7</v>
      </c>
      <c r="R144" s="9">
        <v>7710027962</v>
      </c>
      <c r="S144" s="9">
        <v>45846</v>
      </c>
      <c r="T144" s="9">
        <v>150000</v>
      </c>
      <c r="U144" s="9" t="str">
        <v>July</v>
      </c>
      <c r="V144" s="9">
        <v>16000</v>
      </c>
      <c r="W144" s="9">
        <v>0</v>
      </c>
      <c r="X144" s="9">
        <v>0</v>
      </c>
      <c r="Y144" s="9">
        <v>0</v>
      </c>
    </row>
    <row r="145" spans="1:25">
      <c r="A145" s="9">
        <v>68</v>
      </c>
      <c r="B145" s="9">
        <v>45705</v>
      </c>
      <c r="C145" s="9" t="str">
        <v>Bajaj Auto Ltd</v>
      </c>
      <c r="D145" s="9" t="str">
        <v>Pune</v>
      </c>
      <c r="E145" s="9" t="str">
        <v>Eng.stores</v>
      </c>
      <c r="F145" s="9" t="str">
        <v>Rajkumar Ajabe</v>
      </c>
      <c r="G145" s="9">
        <v>9503050525</v>
      </c>
      <c r="H145" s="9" t="str">
        <v>rrajabe@bajajauto.co.in</v>
      </c>
      <c r="I145" s="9" t="str">
        <v>00011128/004</v>
      </c>
      <c r="J145" s="9" t="str">
        <v>Upgrade kit</v>
      </c>
      <c r="K145" s="9" t="str">
        <v>Yes</v>
      </c>
      <c r="L145" s="9" t="str">
        <v>KXIND/W/YD/MLU/25011</v>
      </c>
      <c r="M145" s="9">
        <v>45687</v>
      </c>
      <c r="N145" s="9">
        <v>558580</v>
      </c>
      <c r="O145" s="9" t="str">
        <v>February</v>
      </c>
      <c r="P145" s="9" t="str">
        <v>August</v>
      </c>
      <c r="Q145" s="9">
        <v>0.5</v>
      </c>
      <c r="R145" s="9">
        <v>0</v>
      </c>
      <c r="S145" s="9">
        <v>0</v>
      </c>
      <c r="T145" s="9">
        <v>0</v>
      </c>
      <c r="U145" s="9">
        <v>0</v>
      </c>
      <c r="V145" s="9">
        <v>-558580</v>
      </c>
      <c r="W145" s="9">
        <v>0</v>
      </c>
      <c r="X145" s="9">
        <v>0</v>
      </c>
      <c r="Y145" s="9">
        <v>0</v>
      </c>
    </row>
    <row r="146" spans="1:25">
      <c r="A146" s="9">
        <v>143</v>
      </c>
      <c r="B146" s="9">
        <v>45922</v>
      </c>
      <c r="C146" s="9" t="str">
        <v>Arrav fragnance &amp; Flavers</v>
      </c>
      <c r="D146" s="9" t="str">
        <v>Mumbai</v>
      </c>
      <c r="E146" s="9" t="str">
        <v>stores</v>
      </c>
      <c r="F146" s="9" t="str">
        <v>Shirish pansae</v>
      </c>
      <c r="G146" s="9">
        <v>2241130200</v>
      </c>
      <c r="H146" s="9" t="str">
        <v>shirish.phanse@aarav.co</v>
      </c>
      <c r="I146" s="9" t="str">
        <v>13004374/001</v>
      </c>
      <c r="J146" s="9" t="str">
        <v>Software</v>
      </c>
      <c r="K146" s="9" t="str">
        <v>Yes</v>
      </c>
      <c r="L146" s="9" t="str">
        <v>KRIND/SA/OTH/25000051</v>
      </c>
      <c r="M146" s="9">
        <v>45910</v>
      </c>
      <c r="N146" s="9">
        <v>472800</v>
      </c>
      <c r="O146" s="9" t="str">
        <v>September</v>
      </c>
      <c r="P146" s="9" t="str">
        <v>December</v>
      </c>
      <c r="Q146" s="9">
        <v>0.5</v>
      </c>
      <c r="R146" s="9">
        <v>0</v>
      </c>
      <c r="S146" s="9">
        <v>0</v>
      </c>
      <c r="T146" s="9">
        <v>0</v>
      </c>
      <c r="U146" s="9">
        <v>0</v>
      </c>
      <c r="V146" s="9">
        <v>472800</v>
      </c>
      <c r="W146" s="9">
        <v>0</v>
      </c>
      <c r="X146" s="9">
        <v>0</v>
      </c>
      <c r="Y146" s="9">
        <v>0</v>
      </c>
    </row>
    <row r="147" spans="1:25">
      <c r="A147" s="9">
        <v>139</v>
      </c>
      <c r="B147" s="9">
        <v>45922</v>
      </c>
      <c r="C147" s="9" t="str">
        <v xml:space="preserve">Tata Motors LTD </v>
      </c>
      <c r="D147" s="9" t="str">
        <v>Pune</v>
      </c>
      <c r="E147" s="9" t="str">
        <v>Cblk Maint</v>
      </c>
      <c r="F147" s="9" t="str">
        <v>Amit sharma</v>
      </c>
      <c r="G147" s="9">
        <v>9011018387</v>
      </c>
      <c r="H147" s="9" t="str">
        <v>s.amit1@tatamotors.com</v>
      </c>
      <c r="I147" s="9" t="str">
        <v>06008006/001</v>
      </c>
      <c r="J147" s="9" t="str">
        <v>Upgrade kit</v>
      </c>
      <c r="K147" s="9" t="str">
        <v>Yes</v>
      </c>
      <c r="L147" s="9" t="str">
        <v>KXIND/W/YD/MLU/25068</v>
      </c>
      <c r="M147" s="9">
        <v>45915</v>
      </c>
      <c r="N147" s="9">
        <v>584000</v>
      </c>
      <c r="O147" s="9" t="str">
        <v>September</v>
      </c>
      <c r="P147" s="9" t="str">
        <v>December</v>
      </c>
      <c r="Q147" s="9">
        <v>0.3</v>
      </c>
      <c r="R147" s="9">
        <v>2410296857</v>
      </c>
      <c r="S147" s="9">
        <v>45945</v>
      </c>
      <c r="T147" s="9">
        <v>258960</v>
      </c>
      <c r="U147" s="9" t="str">
        <v>October</v>
      </c>
      <c r="V147" s="9">
        <v>325040</v>
      </c>
      <c r="W147" s="9">
        <v>0</v>
      </c>
      <c r="X147" s="9">
        <v>0</v>
      </c>
      <c r="Y147" s="9">
        <v>0</v>
      </c>
    </row>
    <row r="148" spans="1:25">
      <c r="A148" s="9">
        <v>140</v>
      </c>
      <c r="B148" s="9">
        <v>45922</v>
      </c>
      <c r="C148" s="9" t="str">
        <v>Jabil Circuit India private Limited</v>
      </c>
      <c r="D148" s="9" t="str">
        <v>Pune</v>
      </c>
      <c r="E148" s="9" t="str">
        <v xml:space="preserve">Invidia </v>
      </c>
      <c r="F148" s="9" t="str">
        <v xml:space="preserve">Kelly Zhu </v>
      </c>
      <c r="G148" s="9">
        <v>0</v>
      </c>
      <c r="H148" s="9" t="str">
        <v>Kelly_Zhu33@Jabil.com&gt;</v>
      </c>
      <c r="I148" s="9" t="str">
        <v>24005162/004</v>
      </c>
      <c r="J148" s="9" t="str">
        <v>Upgrade kit</v>
      </c>
      <c r="K148" s="9" t="str">
        <v>Yes</v>
      </c>
      <c r="L148" s="9" t="str">
        <v xml:space="preserve">KXIND/W/SER/25071                                                                                       </v>
      </c>
      <c r="M148" s="9">
        <v>45915</v>
      </c>
      <c r="N148" s="9">
        <v>105000</v>
      </c>
      <c r="O148" s="9" t="str">
        <v>September</v>
      </c>
      <c r="P148" s="9" t="str">
        <v>September</v>
      </c>
      <c r="Q148" s="9">
        <v>0.5</v>
      </c>
      <c r="R148" s="9" t="str">
        <v>C-10003325512</v>
      </c>
      <c r="S148" s="9">
        <v>45930</v>
      </c>
      <c r="T148" s="9">
        <v>95000</v>
      </c>
      <c r="U148" s="9" t="str">
        <v>September</v>
      </c>
      <c r="V148" s="9">
        <v>10000</v>
      </c>
      <c r="W148" s="9">
        <v>0</v>
      </c>
      <c r="X148" s="9">
        <v>0</v>
      </c>
      <c r="Y148" s="9">
        <v>0</v>
      </c>
    </row>
    <row r="149" spans="1:25">
      <c r="A149" s="9">
        <v>141</v>
      </c>
      <c r="B149" s="9">
        <v>45922</v>
      </c>
      <c r="C149" s="9" t="str">
        <v>Coesia India Pvt.Ltd.</v>
      </c>
      <c r="D149" s="9" t="str">
        <v>Pune</v>
      </c>
      <c r="E149" s="9" t="str">
        <v>stores</v>
      </c>
      <c r="F149" s="9" t="str">
        <v>Dnyaneshwar Kadam</v>
      </c>
      <c r="G149" s="9">
        <v>7875554612</v>
      </c>
      <c r="H149" s="9" t="str">
        <v>dnyaneshwar.kadam@coesia.com</v>
      </c>
      <c r="I149" s="9" t="str">
        <v>16000669/001</v>
      </c>
      <c r="J149" s="9" t="str">
        <v>SPP</v>
      </c>
      <c r="K149" s="9" t="str">
        <v>Yes</v>
      </c>
      <c r="L149" s="9" t="str">
        <v>KXIND/W/YD/SPP/25074</v>
      </c>
      <c r="M149" s="9">
        <v>45922</v>
      </c>
      <c r="N149" s="9">
        <v>108875</v>
      </c>
      <c r="O149" s="9" t="str">
        <v>September</v>
      </c>
      <c r="P149" s="9" t="str">
        <v>September</v>
      </c>
      <c r="Q149" s="9">
        <v>0.5</v>
      </c>
      <c r="R149" s="9" t="str">
        <v>CGT250058</v>
      </c>
      <c r="S149" s="9">
        <v>45936</v>
      </c>
      <c r="T149" s="9">
        <v>108528</v>
      </c>
      <c r="U149" s="9" t="str">
        <v>October</v>
      </c>
      <c r="V149" s="9">
        <v>347</v>
      </c>
      <c r="W149" s="9">
        <v>0</v>
      </c>
      <c r="X149" s="9">
        <v>0</v>
      </c>
      <c r="Y149" s="9">
        <v>0</v>
      </c>
    </row>
    <row r="150" spans="1:25">
      <c r="A150" s="9">
        <v>132</v>
      </c>
      <c r="B150" s="9">
        <v>45875</v>
      </c>
      <c r="C150" s="9" t="str">
        <v xml:space="preserve">Mahindra Vehicals Mf LTD </v>
      </c>
      <c r="D150" s="9" t="str">
        <v>Pune</v>
      </c>
      <c r="E150" s="9" t="str">
        <v>J3 block</v>
      </c>
      <c r="F150" s="9" t="str">
        <v>Sushant ogale</v>
      </c>
      <c r="G150" s="9">
        <v>9890664173</v>
      </c>
      <c r="H150" s="9" t="str">
        <v>23157712@MAHINDRA.COM</v>
      </c>
      <c r="I150" s="9" t="str">
        <v>18006730/001</v>
      </c>
      <c r="J150" s="9" t="str">
        <v>SPP</v>
      </c>
      <c r="K150" s="9" t="str">
        <v>Yes</v>
      </c>
      <c r="L150" s="9" t="str">
        <v>KXIND/W/YD/SPP/25061</v>
      </c>
      <c r="M150" s="9">
        <v>45875</v>
      </c>
      <c r="N150" s="9">
        <v>256276</v>
      </c>
      <c r="O150" s="9" t="str">
        <v>August</v>
      </c>
      <c r="P150" s="9" t="str">
        <v>September</v>
      </c>
      <c r="Q150" s="9">
        <v>0.3</v>
      </c>
      <c r="R150" s="9">
        <v>0</v>
      </c>
      <c r="S150" s="9">
        <v>0</v>
      </c>
      <c r="T150" s="9">
        <v>0</v>
      </c>
      <c r="U150" s="9">
        <v>0</v>
      </c>
      <c r="V150" s="9">
        <v>256276</v>
      </c>
      <c r="W150" s="9">
        <v>0</v>
      </c>
      <c r="X150" s="9">
        <v>0</v>
      </c>
      <c r="Y150" s="9">
        <v>0</v>
      </c>
    </row>
    <row r="151" spans="1:25">
      <c r="A151" s="9">
        <v>155</v>
      </c>
      <c r="B151" s="9">
        <v>45961</v>
      </c>
      <c r="C151" s="9" t="str">
        <v>Carraro India Pvt Limited</v>
      </c>
      <c r="D151" s="9" t="str">
        <v>Pune</v>
      </c>
      <c r="E151" s="9" t="str">
        <v>stores</v>
      </c>
      <c r="F151" s="9" t="str">
        <v>Ravindra khambayat</v>
      </c>
      <c r="G151" s="9">
        <v>9822840261</v>
      </c>
      <c r="H151" s="9" t="str">
        <v>Ravindra_Khambayat@carraro.com</v>
      </c>
      <c r="I151" s="9" t="str">
        <v>08001856/001</v>
      </c>
      <c r="J151" s="9" t="str">
        <v>SPP</v>
      </c>
      <c r="K151" s="9" t="str">
        <v>Yes</v>
      </c>
      <c r="L151" s="9" t="str">
        <v>KXIND/W/YD/SPP/25073</v>
      </c>
      <c r="M151" s="9">
        <v>45945</v>
      </c>
      <c r="N151" s="9">
        <v>222379</v>
      </c>
      <c r="O151" s="9" t="str">
        <v>October</v>
      </c>
      <c r="P151" s="9" t="str">
        <v>November</v>
      </c>
      <c r="Q151" s="9">
        <v>0.5</v>
      </c>
      <c r="R151" s="9" t="str">
        <v>4500565834 4500570108</v>
      </c>
      <c r="S151" s="9">
        <v>46000</v>
      </c>
      <c r="T151" s="9">
        <v>216507</v>
      </c>
      <c r="U151" s="9" t="str">
        <v>December</v>
      </c>
      <c r="V151" s="9">
        <v>5872</v>
      </c>
      <c r="W151" s="9">
        <v>0</v>
      </c>
      <c r="X151" s="9">
        <v>0</v>
      </c>
      <c r="Y151" s="9">
        <v>0</v>
      </c>
    </row>
    <row r="152" spans="1:25">
      <c r="A152" s="9">
        <v>57</v>
      </c>
      <c r="B152" s="9">
        <v>45668</v>
      </c>
      <c r="C152" s="9" t="str">
        <v xml:space="preserve">Minda Industries LTD </v>
      </c>
      <c r="D152" s="9" t="str">
        <v>Pune</v>
      </c>
      <c r="E152" s="9" t="str">
        <v>Tool Room</v>
      </c>
      <c r="F152" s="9" t="str">
        <v>D T Narawade</v>
      </c>
      <c r="G152" s="9">
        <v>7276413858</v>
      </c>
      <c r="H152" s="9" t="str">
        <v>dtnarawade@unominda.com</v>
      </c>
      <c r="I152" s="9" t="str">
        <v>03007276/001</v>
      </c>
      <c r="J152" s="9" t="str">
        <v>SPP</v>
      </c>
      <c r="K152" s="9" t="str">
        <v>Yes</v>
      </c>
      <c r="L152" s="9" t="str">
        <v>KXIND/W/YD/SPP/2503</v>
      </c>
      <c r="M152" s="9">
        <v>45666</v>
      </c>
      <c r="N152" s="9">
        <v>139968</v>
      </c>
      <c r="O152" s="9" t="str">
        <v>January</v>
      </c>
      <c r="P152" s="9" t="str">
        <v>September</v>
      </c>
      <c r="Q152" s="9">
        <v>0.5</v>
      </c>
      <c r="R152" s="9">
        <v>0</v>
      </c>
      <c r="S152" s="9">
        <v>0</v>
      </c>
      <c r="T152" s="9">
        <v>0</v>
      </c>
      <c r="U152" s="9">
        <v>0</v>
      </c>
      <c r="V152" s="9">
        <v>-139968</v>
      </c>
      <c r="W152" s="9" t="str">
        <v>Purchase will be plan after 31st.march</v>
      </c>
      <c r="X152" s="9">
        <v>0</v>
      </c>
      <c r="Y152" s="9">
        <v>0</v>
      </c>
    </row>
    <row r="153" spans="1:25">
      <c r="A153" s="9">
        <v>145</v>
      </c>
      <c r="B153" s="9">
        <v>45922</v>
      </c>
      <c r="C153" s="9" t="str">
        <v>Tetra Pak India Pvt Ltd</v>
      </c>
      <c r="D153" s="9" t="str">
        <v>Pune</v>
      </c>
      <c r="E153" s="9" t="str">
        <v>WH store</v>
      </c>
      <c r="F153" s="9" t="str">
        <v>Vivek Kamya</v>
      </c>
      <c r="G153" s="9">
        <v>9850806974</v>
      </c>
      <c r="H153" s="9" t="str">
        <v>Vivek.Kyama@tetrapak.com</v>
      </c>
      <c r="I153" s="9" t="str">
        <v>07009761/001</v>
      </c>
      <c r="J153" s="9" t="str">
        <v>SPP</v>
      </c>
      <c r="K153" s="9" t="str">
        <v>Yes</v>
      </c>
      <c r="L153" s="9" t="str">
        <v>KXIND/W/YD/SPP/25070</v>
      </c>
      <c r="M153" s="9">
        <v>45917</v>
      </c>
      <c r="N153" s="9">
        <v>120761</v>
      </c>
      <c r="O153" s="9" t="str">
        <v>September</v>
      </c>
      <c r="P153" s="9" t="str">
        <v>September</v>
      </c>
      <c r="Q153" s="9">
        <v>0.5</v>
      </c>
      <c r="R153" s="9">
        <v>700663698</v>
      </c>
      <c r="S153" s="9">
        <v>45925</v>
      </c>
      <c r="T153" s="9">
        <v>115930</v>
      </c>
      <c r="U153" s="9" t="str">
        <v>September</v>
      </c>
      <c r="V153" s="9">
        <v>4831</v>
      </c>
      <c r="W153" s="9">
        <v>0</v>
      </c>
      <c r="X153" s="9">
        <v>0</v>
      </c>
      <c r="Y153" s="9">
        <v>0</v>
      </c>
    </row>
    <row r="154" spans="1:25">
      <c r="A154" s="9">
        <v>146</v>
      </c>
      <c r="B154" s="9">
        <v>45922</v>
      </c>
      <c r="C154" s="9" t="str">
        <v>Eagle Burgmann India Pvt Ltd</v>
      </c>
      <c r="D154" s="9" t="str">
        <v>Pune</v>
      </c>
      <c r="E154" s="9" t="str">
        <v>stores</v>
      </c>
      <c r="F154" s="9" t="str">
        <v>Mahesh Hole</v>
      </c>
      <c r="G154" s="9">
        <v>9373850080</v>
      </c>
      <c r="H154" s="9" t="str">
        <v>Mahesh.Hole@in.eagleburgmann.com</v>
      </c>
      <c r="I154" s="9" t="str">
        <v>08004851/001</v>
      </c>
      <c r="J154" s="9" t="str">
        <v>SPP</v>
      </c>
      <c r="K154" s="9" t="str">
        <v>Yes</v>
      </c>
      <c r="L154" s="9" t="str">
        <v>KXIND/W/YD/SPP/25072</v>
      </c>
      <c r="M154" s="9">
        <v>45922</v>
      </c>
      <c r="N154" s="9">
        <v>379000</v>
      </c>
      <c r="O154" s="9" t="str">
        <v>September</v>
      </c>
      <c r="P154" s="9" t="str">
        <v>November</v>
      </c>
      <c r="Q154" s="9">
        <v>0.5</v>
      </c>
      <c r="R154" s="9">
        <v>2581005</v>
      </c>
      <c r="S154" s="9">
        <v>45955</v>
      </c>
      <c r="T154" s="9">
        <v>363840</v>
      </c>
      <c r="U154" s="9" t="str">
        <v>October</v>
      </c>
      <c r="V154" s="9">
        <v>15160</v>
      </c>
      <c r="W154" s="9">
        <v>0</v>
      </c>
      <c r="X154" s="9">
        <v>0</v>
      </c>
      <c r="Y154" s="9">
        <v>0</v>
      </c>
    </row>
    <row r="155" spans="1:25">
      <c r="A155" s="9">
        <v>147</v>
      </c>
      <c r="B155" s="9">
        <v>45923</v>
      </c>
      <c r="C155" s="9" t="str">
        <v xml:space="preserve">Tata Motors LTD </v>
      </c>
      <c r="D155" s="9" t="str">
        <v>Pune</v>
      </c>
      <c r="E155" s="9" t="str">
        <v>Cblk Maint</v>
      </c>
      <c r="F155" s="9" t="str">
        <v>Sanjay Dhake</v>
      </c>
      <c r="G155" s="9">
        <v>7276097454</v>
      </c>
      <c r="H155" s="9" t="str">
        <v>sanjay.dhake@tatamotors.com</v>
      </c>
      <c r="I155" s="9" t="str">
        <v>12003563/001</v>
      </c>
      <c r="J155" s="9" t="str">
        <v>SPP</v>
      </c>
      <c r="K155" s="9" t="str">
        <v>Yes</v>
      </c>
      <c r="L155" s="9" t="str">
        <v>KXIND/W/SPP/YD/25070</v>
      </c>
      <c r="M155" s="9">
        <v>45898</v>
      </c>
      <c r="N155" s="9">
        <v>275490</v>
      </c>
      <c r="O155" s="9" t="str">
        <v>August</v>
      </c>
      <c r="P155" s="9" t="str">
        <v>November</v>
      </c>
      <c r="Q155" s="9">
        <v>0.5</v>
      </c>
      <c r="R155" s="9">
        <v>2410296857</v>
      </c>
      <c r="S155" s="9" t="str">
        <v>16.10.2025</v>
      </c>
      <c r="T155" s="9">
        <v>285960</v>
      </c>
      <c r="U155" s="9" t="str">
        <v>October</v>
      </c>
      <c r="V155" s="9">
        <v>-10470</v>
      </c>
      <c r="W155" s="9">
        <v>0</v>
      </c>
      <c r="X155" s="9">
        <v>0</v>
      </c>
      <c r="Y155" s="9">
        <v>0</v>
      </c>
    </row>
    <row r="156" spans="1:25">
      <c r="A156" s="9">
        <v>148</v>
      </c>
      <c r="B156" s="9">
        <v>45923</v>
      </c>
      <c r="C156" s="9" t="str">
        <v>Tata motors passenger vehicles Limted (Tata Motors Ltd)</v>
      </c>
      <c r="D156" s="9" t="str">
        <v>Pune</v>
      </c>
      <c r="E156" s="9" t="str">
        <v>toolcrib</v>
      </c>
      <c r="F156" s="9" t="str">
        <v>Mangesh Joshi</v>
      </c>
      <c r="G156" s="9">
        <v>9511742041</v>
      </c>
      <c r="H156" s="9" t="str">
        <v>Mangesh.j@tatamotors.com</v>
      </c>
      <c r="I156" s="9" t="str">
        <v>04006517/002</v>
      </c>
      <c r="J156" s="9" t="str">
        <v>SPP</v>
      </c>
      <c r="K156" s="9" t="str">
        <v>Yes</v>
      </c>
      <c r="L156" s="9" t="str">
        <v>KXIND/W/YD/SPP/24054</v>
      </c>
      <c r="M156" s="9">
        <v>45615</v>
      </c>
      <c r="N156" s="9">
        <v>470180</v>
      </c>
      <c r="O156" s="9" t="str">
        <v>August</v>
      </c>
      <c r="P156" s="9" t="str">
        <v>October</v>
      </c>
      <c r="Q156" s="9">
        <v>0.5</v>
      </c>
      <c r="R156" s="9" t="str">
        <v>1515078460 59</v>
      </c>
      <c r="S156" s="9">
        <v>45923</v>
      </c>
      <c r="T156" s="9">
        <v>349492</v>
      </c>
      <c r="U156" s="9" t="str">
        <v>September</v>
      </c>
      <c r="V156" s="9">
        <v>120688</v>
      </c>
      <c r="W156" s="9">
        <v>0</v>
      </c>
      <c r="X156" s="9">
        <v>0</v>
      </c>
      <c r="Y156" s="9">
        <v>0</v>
      </c>
    </row>
    <row r="157" spans="1:25">
      <c r="A157" s="9">
        <v>153</v>
      </c>
      <c r="B157" s="9">
        <v>45961</v>
      </c>
      <c r="C157" s="9" t="str">
        <v>Bridgestone India Pvt.Ltd.</v>
      </c>
      <c r="D157" s="9" t="str">
        <v>Pune</v>
      </c>
      <c r="E157" s="9" t="str">
        <v>HR store</v>
      </c>
      <c r="F157" s="9" t="str">
        <v>Mangesh Engale</v>
      </c>
      <c r="G157" s="9">
        <v>9607328084</v>
      </c>
      <c r="H157" s="9" t="str">
        <v>mangesh-ingle@bridgestone.co.in</v>
      </c>
      <c r="I157" s="9" t="str">
        <v>18005925/001</v>
      </c>
      <c r="J157" s="9" t="str">
        <v>Contract</v>
      </c>
      <c r="K157" s="9" t="str">
        <v>No</v>
      </c>
      <c r="L157" s="9" t="str">
        <v>KXIND/W/YD/MC/25077</v>
      </c>
      <c r="M157" s="9">
        <v>45957</v>
      </c>
      <c r="N157" s="9">
        <v>118009</v>
      </c>
      <c r="O157" s="9" t="str">
        <v>October</v>
      </c>
      <c r="P157" s="9" t="str">
        <v>November</v>
      </c>
      <c r="Q157" s="9">
        <v>0.7</v>
      </c>
      <c r="R157" s="9">
        <v>4500089503</v>
      </c>
      <c r="S157" s="9">
        <v>45980</v>
      </c>
      <c r="T157" s="9">
        <v>118009</v>
      </c>
      <c r="U157" s="9" t="str">
        <v>November</v>
      </c>
      <c r="V157" s="9">
        <v>0</v>
      </c>
      <c r="W157" s="9">
        <v>0</v>
      </c>
      <c r="X157" s="9">
        <v>0</v>
      </c>
      <c r="Y157" s="9">
        <v>0</v>
      </c>
    </row>
    <row r="158" spans="1:25">
      <c r="A158" s="9">
        <v>149</v>
      </c>
      <c r="B158" s="9">
        <v>45930</v>
      </c>
      <c r="C158" s="9" t="str">
        <v xml:space="preserve">Tata Motors LTD </v>
      </c>
      <c r="D158" s="9" t="str">
        <v>Pune</v>
      </c>
      <c r="E158" s="9" t="str">
        <v>D blockstore</v>
      </c>
      <c r="F158" s="9" t="str">
        <v>Jyoti Avhad</v>
      </c>
      <c r="G158" s="9">
        <v>8237003520</v>
      </c>
      <c r="H158" s="9" t="str">
        <v>jyoti.avhad@tatamotors.com</v>
      </c>
      <c r="I158" s="9" t="str">
        <v>16002093/001</v>
      </c>
      <c r="J158" s="9" t="str">
        <v>Contract</v>
      </c>
      <c r="K158" s="9" t="str">
        <v>No</v>
      </c>
      <c r="L158" s="9" t="str">
        <v>KXIND/W/YD/MC/25077</v>
      </c>
      <c r="M158" s="9">
        <v>45929</v>
      </c>
      <c r="N158" s="9">
        <v>90000</v>
      </c>
      <c r="O158" s="9" t="str">
        <v>September</v>
      </c>
      <c r="P158" s="9" t="str">
        <v>October</v>
      </c>
      <c r="Q158" s="9">
        <v>0.5</v>
      </c>
      <c r="R158" s="9">
        <v>0</v>
      </c>
      <c r="S158" s="9">
        <v>0</v>
      </c>
      <c r="T158" s="9">
        <v>0</v>
      </c>
      <c r="U158" s="9">
        <v>0</v>
      </c>
      <c r="V158" s="9">
        <v>90000</v>
      </c>
      <c r="W158" s="9">
        <v>0</v>
      </c>
      <c r="X158" s="9">
        <v>0</v>
      </c>
      <c r="Y158" s="9">
        <v>0</v>
      </c>
    </row>
    <row r="159" spans="1:25">
      <c r="A159" s="9">
        <v>151</v>
      </c>
      <c r="B159" s="9">
        <v>45947</v>
      </c>
      <c r="C159" s="9" t="str">
        <v>Tata motors passenger vehicles Limted (Tata Motors Ltd)</v>
      </c>
      <c r="D159" s="9" t="str">
        <v>Pune</v>
      </c>
      <c r="E159" s="9" t="str">
        <v>Maintenanace</v>
      </c>
      <c r="F159" s="9" t="str">
        <v>Samyak Annadate</v>
      </c>
      <c r="G159" s="9">
        <v>8237003521</v>
      </c>
      <c r="H159" s="9" t="str">
        <v>SSA820360@tatamotors.com</v>
      </c>
      <c r="I159" s="9" t="str">
        <v>06009180/001</v>
      </c>
      <c r="J159" s="9" t="str">
        <v>SPP</v>
      </c>
      <c r="K159" s="9" t="str">
        <v>Yes</v>
      </c>
      <c r="L159" s="9" t="str">
        <v>KXIND/W/YD/SPP/25067</v>
      </c>
      <c r="M159" s="9">
        <v>45915</v>
      </c>
      <c r="N159" s="9">
        <v>42750</v>
      </c>
      <c r="O159" s="9" t="str">
        <v>September</v>
      </c>
      <c r="P159" s="9" t="str">
        <v>October</v>
      </c>
      <c r="Q159" s="9">
        <v>0.7</v>
      </c>
      <c r="R159" s="9">
        <v>1515079462</v>
      </c>
      <c r="S159" s="9">
        <v>45947</v>
      </c>
      <c r="T159" s="9">
        <v>40185</v>
      </c>
      <c r="U159" s="9" t="str">
        <v>October</v>
      </c>
      <c r="V159" s="9">
        <v>2565</v>
      </c>
      <c r="W159" s="9">
        <v>0</v>
      </c>
      <c r="X159" s="9">
        <v>0</v>
      </c>
      <c r="Y159" s="9">
        <v>0</v>
      </c>
    </row>
    <row r="160" spans="1:25">
      <c r="A160" s="9">
        <v>150</v>
      </c>
      <c r="B160" s="9">
        <v>45930</v>
      </c>
      <c r="C160" s="9" t="str">
        <v xml:space="preserve">Tata Motors LTD </v>
      </c>
      <c r="D160" s="9" t="str">
        <v>Pune</v>
      </c>
      <c r="E160" s="9" t="str">
        <v>D blockstore</v>
      </c>
      <c r="F160" s="9" t="str">
        <v>Jyoti Avhad</v>
      </c>
      <c r="G160" s="9">
        <v>8237003521</v>
      </c>
      <c r="H160" s="9" t="str">
        <v>jyoti.avhad@tatamotors.com</v>
      </c>
      <c r="I160" s="9" t="str">
        <v>16002093/002</v>
      </c>
      <c r="J160" s="9" t="str">
        <v>Contract</v>
      </c>
      <c r="K160" s="9" t="str">
        <v>No</v>
      </c>
      <c r="L160" s="9" t="str">
        <v>KXIND/W/YD/MC/25077</v>
      </c>
      <c r="M160" s="9">
        <v>45929</v>
      </c>
      <c r="N160" s="9">
        <v>90000</v>
      </c>
      <c r="O160" s="9" t="str">
        <v>September</v>
      </c>
      <c r="P160" s="9" t="str">
        <v>October</v>
      </c>
      <c r="Q160" s="9">
        <v>0.5</v>
      </c>
      <c r="R160" s="9">
        <v>0</v>
      </c>
      <c r="S160" s="9">
        <v>0</v>
      </c>
      <c r="T160" s="9">
        <v>0</v>
      </c>
      <c r="U160" s="9">
        <v>0</v>
      </c>
      <c r="V160" s="9">
        <v>90000</v>
      </c>
      <c r="W160" s="9">
        <v>0</v>
      </c>
      <c r="X160" s="9">
        <v>0</v>
      </c>
      <c r="Y160" s="9">
        <v>0</v>
      </c>
    </row>
    <row r="161" spans="1:25">
      <c r="A161" s="9">
        <v>156</v>
      </c>
      <c r="B161" s="9">
        <v>45961</v>
      </c>
      <c r="C161" s="9" t="str">
        <v>ITC Ltd</v>
      </c>
      <c r="D161" s="9" t="str">
        <v>Pune</v>
      </c>
      <c r="E161" s="9" t="str">
        <v>Engineering stores</v>
      </c>
      <c r="F161" s="9" t="str">
        <v>Navanath Ekatpure</v>
      </c>
      <c r="G161" s="9">
        <v>9730478741</v>
      </c>
      <c r="H161" s="9" t="str">
        <v>navanath.ekatpure@itc.in</v>
      </c>
      <c r="I161" s="9" t="str">
        <v>09006715/001</v>
      </c>
      <c r="J161" s="9" t="str">
        <v>SPP</v>
      </c>
      <c r="K161" s="9" t="str">
        <v>Yes</v>
      </c>
      <c r="L161" s="9" t="str">
        <v>KXIND/W/YD/SPP/25075</v>
      </c>
      <c r="M161" s="9">
        <v>45926</v>
      </c>
      <c r="N161" s="9">
        <v>79812</v>
      </c>
      <c r="O161" s="9" t="str">
        <v>September</v>
      </c>
      <c r="P161" s="9" t="str">
        <v>December</v>
      </c>
      <c r="Q161" s="9">
        <v>0.5</v>
      </c>
      <c r="R161" s="9">
        <v>0</v>
      </c>
      <c r="S161" s="9">
        <v>0</v>
      </c>
      <c r="T161" s="9">
        <v>0</v>
      </c>
      <c r="U161" s="9">
        <v>0</v>
      </c>
      <c r="V161" s="9">
        <v>79812</v>
      </c>
      <c r="W161" s="9">
        <v>0</v>
      </c>
      <c r="X161" s="9">
        <v>0</v>
      </c>
      <c r="Y161" s="9">
        <v>0</v>
      </c>
    </row>
    <row r="162" spans="1:25">
      <c r="A162" s="9">
        <v>154</v>
      </c>
      <c r="B162" s="9">
        <v>45961</v>
      </c>
      <c r="C162" s="9" t="str">
        <v xml:space="preserve">Kirloskar Oil Engine LTD </v>
      </c>
      <c r="D162" s="9" t="str">
        <v>kolhapur</v>
      </c>
      <c r="E162" s="9" t="str">
        <v>Genset store</v>
      </c>
      <c r="F162" s="9" t="str">
        <v>Sagar Kamatnure</v>
      </c>
      <c r="G162" s="9">
        <v>0</v>
      </c>
      <c r="H162" s="9" t="str">
        <v>sagar.kamatnure@kirloskar.com</v>
      </c>
      <c r="I162" s="9" t="str">
        <v>07000530/001</v>
      </c>
      <c r="J162" s="9" t="str">
        <v>SPP</v>
      </c>
      <c r="K162" s="9" t="str">
        <v>Yes</v>
      </c>
      <c r="L162" s="9" t="str">
        <v>KXIND/W/YD/SPP/25072</v>
      </c>
      <c r="M162" s="9">
        <v>45945</v>
      </c>
      <c r="N162" s="9">
        <v>42760</v>
      </c>
      <c r="O162" s="9" t="str">
        <v>October</v>
      </c>
      <c r="P162" s="9" t="str">
        <v>November</v>
      </c>
      <c r="Q162" s="9">
        <v>0.5</v>
      </c>
      <c r="R162" s="9">
        <v>7026029376</v>
      </c>
      <c r="S162" s="9">
        <v>45961</v>
      </c>
      <c r="T162" s="9">
        <v>41500</v>
      </c>
      <c r="U162" s="9" t="str">
        <v>October</v>
      </c>
      <c r="V162" s="9">
        <v>1260</v>
      </c>
      <c r="W162" s="9">
        <v>0</v>
      </c>
      <c r="X162" s="9">
        <v>0</v>
      </c>
      <c r="Y162" s="9">
        <v>0</v>
      </c>
    </row>
    <row r="163" spans="1:25">
      <c r="A163" s="9">
        <v>134</v>
      </c>
      <c r="B163" s="9">
        <v>45888</v>
      </c>
      <c r="C163" s="9" t="str">
        <v>Schaeffler India Limited</v>
      </c>
      <c r="D163" s="9" t="str">
        <v>Pune</v>
      </c>
      <c r="E163" s="9" t="str">
        <v>tool stores</v>
      </c>
      <c r="F163" s="9" t="str">
        <v>Anil Naikade</v>
      </c>
      <c r="G163" s="9">
        <v>8554995559</v>
      </c>
      <c r="H163" s="9" t="str">
        <v>Anil.naikade@schaeffler.com</v>
      </c>
      <c r="I163" s="9" t="str">
        <v>17003031/001</v>
      </c>
      <c r="J163" s="9" t="str">
        <v>Upgrade kit</v>
      </c>
      <c r="K163" s="9" t="str">
        <v>Yes</v>
      </c>
      <c r="L163" s="9" t="str">
        <v>KXIND/W/YD/SPP/25062</v>
      </c>
      <c r="M163" s="9">
        <v>45875</v>
      </c>
      <c r="N163" s="9">
        <v>66800</v>
      </c>
      <c r="O163" s="9" t="str">
        <v>August</v>
      </c>
      <c r="P163" s="9" t="str">
        <v>September</v>
      </c>
      <c r="Q163" s="9">
        <v>0.5</v>
      </c>
      <c r="R163" s="9">
        <v>0</v>
      </c>
      <c r="S163" s="9">
        <v>0</v>
      </c>
      <c r="T163" s="9">
        <v>0</v>
      </c>
      <c r="U163" s="9">
        <v>0</v>
      </c>
      <c r="V163" s="9">
        <v>66800</v>
      </c>
      <c r="W163" s="9">
        <v>0</v>
      </c>
      <c r="X163" s="9">
        <v>0</v>
      </c>
      <c r="Y163" s="9">
        <v>0</v>
      </c>
    </row>
    <row r="164" spans="1:25">
      <c r="A164" s="9">
        <v>152</v>
      </c>
      <c r="B164" s="9">
        <v>45961</v>
      </c>
      <c r="C164" s="9" t="str">
        <v>Bajaj Auto Ltd</v>
      </c>
      <c r="D164" s="9" t="str">
        <v>Pune</v>
      </c>
      <c r="E164" s="9" t="str">
        <v>MTD store</v>
      </c>
      <c r="F164" s="9" t="str">
        <v>KIRAN S MAKHAMALE</v>
      </c>
      <c r="G164" s="9" t="str">
        <v>(020)66106409</v>
      </c>
      <c r="H164" s="9" t="str">
        <v>ksmakhamale@bajajauto.co.in</v>
      </c>
      <c r="I164" s="9" t="str">
        <v>14006953/001</v>
      </c>
      <c r="J164" s="9" t="str">
        <v>SPP</v>
      </c>
      <c r="K164" s="9" t="str">
        <v>Yes</v>
      </c>
      <c r="L164" s="9" t="str">
        <v>KXIND/W/SPP/YD/25074</v>
      </c>
      <c r="M164" s="9">
        <v>45945</v>
      </c>
      <c r="N164" s="9">
        <v>60625</v>
      </c>
      <c r="O164" s="9" t="str">
        <v>October</v>
      </c>
      <c r="P164" s="9" t="str">
        <v>October</v>
      </c>
      <c r="Q164" s="9">
        <v>0.8</v>
      </c>
      <c r="R164" s="9">
        <v>5210062592</v>
      </c>
      <c r="S164" s="9">
        <v>45958</v>
      </c>
      <c r="T164" s="9">
        <v>58272</v>
      </c>
      <c r="U164" s="9" t="str">
        <v>October</v>
      </c>
      <c r="V164" s="9">
        <v>2353</v>
      </c>
      <c r="W164" s="9">
        <v>0</v>
      </c>
      <c r="X164" s="9">
        <v>0</v>
      </c>
      <c r="Y164" s="9">
        <v>0</v>
      </c>
    </row>
    <row r="165" spans="1:25">
      <c r="A165" s="9">
        <v>153</v>
      </c>
      <c r="B165" s="9">
        <v>45978</v>
      </c>
      <c r="C165" s="9" t="str">
        <v>Bajaj Auto Ltd</v>
      </c>
      <c r="D165" s="9" t="str">
        <v>Pune</v>
      </c>
      <c r="E165" s="9" t="str">
        <v>Eng.stores</v>
      </c>
      <c r="F165" s="9" t="str">
        <v>Rajkumar Ajabe</v>
      </c>
      <c r="G165" s="9">
        <v>9503050525</v>
      </c>
      <c r="H165" s="9" t="str">
        <v>rrajabe@bajajauto.co.in</v>
      </c>
      <c r="I165" s="9" t="str">
        <v>18001595/001</v>
      </c>
      <c r="J165" s="9" t="str">
        <v>SPP</v>
      </c>
      <c r="K165" s="9" t="str">
        <v>Yes</v>
      </c>
      <c r="L165" s="9" t="str">
        <v>KXIND/W/YD/SPP/25079</v>
      </c>
      <c r="M165" s="9">
        <v>45971</v>
      </c>
      <c r="N165" s="9">
        <v>347571</v>
      </c>
      <c r="O165" s="9" t="str">
        <v>November</v>
      </c>
      <c r="P165" s="9" t="str">
        <v>November</v>
      </c>
      <c r="Q165" s="9">
        <v>0.5</v>
      </c>
      <c r="R165" s="9" t="str">
        <v>5210062798 5210062794</v>
      </c>
      <c r="S165" s="9">
        <v>45969</v>
      </c>
      <c r="T165" s="9">
        <v>336071</v>
      </c>
      <c r="U165" s="9" t="str">
        <v>November</v>
      </c>
      <c r="V165" s="9">
        <v>11500</v>
      </c>
      <c r="W165" s="9">
        <v>0</v>
      </c>
      <c r="X165" s="9">
        <v>0</v>
      </c>
      <c r="Y165" s="9">
        <v>0</v>
      </c>
    </row>
    <row r="166" spans="1:25">
      <c r="A166" s="9">
        <v>154</v>
      </c>
      <c r="B166" s="9">
        <v>45981</v>
      </c>
      <c r="C166" s="9" t="str">
        <v xml:space="preserve">Kirloskar Oil Engine LTD </v>
      </c>
      <c r="D166" s="9" t="str">
        <v>kagal</v>
      </c>
      <c r="E166" s="9" t="str">
        <v>Stores</v>
      </c>
      <c r="F166" s="9" t="str">
        <v>Ganesh Jagtap</v>
      </c>
      <c r="G166" s="9" t="str">
        <v>9881734612 </v>
      </c>
      <c r="H166" s="9" t="str">
        <v>ganesh.jagtap@kirloskar.com</v>
      </c>
      <c r="I166" s="9" t="str">
        <v>07010686/001</v>
      </c>
      <c r="J166" s="9" t="str">
        <v>SPP</v>
      </c>
      <c r="K166" s="9" t="str">
        <v>Yes</v>
      </c>
      <c r="L166" s="9" t="str">
        <v>KXIND/W/YD/SPP/25080</v>
      </c>
      <c r="M166" s="9">
        <v>45979</v>
      </c>
      <c r="N166" s="9">
        <v>2064784</v>
      </c>
      <c r="O166" s="9" t="str">
        <v>November</v>
      </c>
      <c r="P166" s="9" t="str">
        <v>December</v>
      </c>
      <c r="Q166" s="9">
        <v>0.3</v>
      </c>
      <c r="R166" s="9">
        <v>0</v>
      </c>
      <c r="S166" s="9">
        <v>0</v>
      </c>
      <c r="T166" s="9">
        <v>0</v>
      </c>
      <c r="U166" s="9">
        <v>0</v>
      </c>
      <c r="V166" s="9">
        <v>2064784</v>
      </c>
      <c r="W166" s="9">
        <v>0</v>
      </c>
      <c r="X166" s="9">
        <v>0</v>
      </c>
      <c r="Y166" s="9">
        <v>0</v>
      </c>
    </row>
    <row r="167" spans="1:25">
      <c r="A167" s="9">
        <v>155</v>
      </c>
      <c r="B167" s="9">
        <v>45985</v>
      </c>
      <c r="C167" s="9" t="str">
        <v>Tata motors passenger vehicles Limted (Tata Motors Ltd)</v>
      </c>
      <c r="D167" s="9" t="str">
        <v>Pune</v>
      </c>
      <c r="E167" s="9" t="str">
        <v>Logistics</v>
      </c>
      <c r="F167" s="9" t="str">
        <v>Sujit Kadam</v>
      </c>
      <c r="G167" s="9">
        <v>7276004071</v>
      </c>
      <c r="H167" s="9" t="str">
        <v>sujit.kadam@tatamotors.com</v>
      </c>
      <c r="I167" s="9" t="str">
        <v>06009440/004</v>
      </c>
      <c r="J167" s="9" t="str">
        <v>Midlife Upgrade</v>
      </c>
      <c r="K167" s="9" t="str">
        <v>Yes</v>
      </c>
      <c r="L167" s="9" t="str">
        <v>KXIND/W/YD/SPP/25082</v>
      </c>
      <c r="M167" s="9">
        <v>45982</v>
      </c>
      <c r="N167" s="9">
        <v>3402210</v>
      </c>
      <c r="O167" s="9" t="str">
        <v>November</v>
      </c>
      <c r="P167" s="9" t="str">
        <v>December</v>
      </c>
      <c r="Q167" s="9">
        <v>0.2</v>
      </c>
      <c r="R167" s="9">
        <v>0</v>
      </c>
      <c r="S167" s="9">
        <v>0</v>
      </c>
      <c r="T167" s="9">
        <v>0</v>
      </c>
      <c r="U167" s="9">
        <v>0</v>
      </c>
      <c r="V167" s="9">
        <v>3402210</v>
      </c>
      <c r="W167" s="9">
        <v>0</v>
      </c>
      <c r="X167" s="9">
        <v>0</v>
      </c>
      <c r="Y167" s="9">
        <v>0</v>
      </c>
    </row>
    <row r="168" spans="1:25">
      <c r="A168" s="9">
        <v>156</v>
      </c>
      <c r="B168" s="9">
        <v>45985</v>
      </c>
      <c r="C168" s="9" t="str">
        <v>Tata motors passenger vehicles Limted (Tata Motors Ltd)</v>
      </c>
      <c r="D168" s="9" t="str">
        <v>Pune</v>
      </c>
      <c r="E168" s="9" t="str">
        <v>Logistics</v>
      </c>
      <c r="F168" s="9" t="str">
        <v>Sujit kadam</v>
      </c>
      <c r="G168" s="9">
        <v>7276004071</v>
      </c>
      <c r="H168" s="9" t="str">
        <v>sujit.kadam@tatamotors.com</v>
      </c>
      <c r="I168" s="9" t="str">
        <v>06009440/004</v>
      </c>
      <c r="J168" s="9" t="str">
        <v>Retrofit kit</v>
      </c>
      <c r="K168" s="9" t="str">
        <v>Yes</v>
      </c>
      <c r="L168" s="9" t="str">
        <v>KXIND/W/YD/SPP/25083</v>
      </c>
      <c r="M168" s="9">
        <v>45982</v>
      </c>
      <c r="N168" s="9">
        <v>1248375</v>
      </c>
      <c r="O168" s="9" t="str">
        <v>November</v>
      </c>
      <c r="P168" s="9" t="str">
        <v>December</v>
      </c>
      <c r="Q168" s="9">
        <v>0.2</v>
      </c>
      <c r="R168" s="9">
        <v>0</v>
      </c>
      <c r="S168" s="9">
        <v>0</v>
      </c>
      <c r="T168" s="9">
        <v>0</v>
      </c>
      <c r="U168" s="9">
        <v>0</v>
      </c>
      <c r="V168" s="9">
        <v>1248375</v>
      </c>
      <c r="W168" s="9">
        <v>0</v>
      </c>
      <c r="X168" s="9">
        <v>0</v>
      </c>
      <c r="Y168" s="9">
        <v>0</v>
      </c>
    </row>
    <row r="169" spans="1:25">
      <c r="A169" s="9">
        <v>157</v>
      </c>
      <c r="B169" s="9">
        <v>45999</v>
      </c>
      <c r="C169" s="9" t="str">
        <v>Tetra Pak India Pvt Ltd</v>
      </c>
      <c r="D169" s="9" t="str">
        <v>Pune</v>
      </c>
      <c r="E169" s="9" t="str">
        <v>Stores</v>
      </c>
      <c r="F169" s="9" t="str">
        <v>Pranjal Dhok</v>
      </c>
      <c r="G169" s="9" t="str">
        <v xml:space="preserve"> 88888 13957</v>
      </c>
      <c r="H169" s="9" t="str">
        <v>Pranjal.Dhok@tetrapak.com</v>
      </c>
      <c r="I169" s="9" t="str">
        <v>07009761/001</v>
      </c>
      <c r="J169" s="9" t="str">
        <v>Relocation</v>
      </c>
      <c r="K169" s="9" t="str">
        <v>No</v>
      </c>
      <c r="L169" s="9" t="str">
        <v>KRIND/W/RE/25090</v>
      </c>
      <c r="M169" s="9">
        <v>45995</v>
      </c>
      <c r="N169" s="9">
        <v>320000</v>
      </c>
      <c r="O169" s="9" t="str">
        <v>December</v>
      </c>
      <c r="P169" s="9" t="str">
        <v>December</v>
      </c>
      <c r="Q169" s="9">
        <v>0.9</v>
      </c>
      <c r="R169" s="9">
        <v>700683864</v>
      </c>
      <c r="S169" s="9" t="str">
        <v>9-12-12025</v>
      </c>
      <c r="T169" s="9">
        <v>320000</v>
      </c>
      <c r="U169" s="9" t="str">
        <v>December</v>
      </c>
      <c r="V169" s="9">
        <v>0</v>
      </c>
      <c r="W169" s="9">
        <v>0</v>
      </c>
      <c r="X169" s="9">
        <v>0</v>
      </c>
      <c r="Y169" s="9">
        <v>0</v>
      </c>
    </row>
    <row r="170" spans="1:25">
      <c r="A170" s="9">
        <v>158</v>
      </c>
      <c r="B170" s="9">
        <v>45999</v>
      </c>
      <c r="C170" s="9" t="str">
        <v>Tata motors passenger vehicles Limted (Tata Motors Ltd)</v>
      </c>
      <c r="D170" s="9" t="str">
        <v>Pune</v>
      </c>
      <c r="E170" s="9" t="str">
        <v>weldshop</v>
      </c>
      <c r="F170" s="9" t="str">
        <v>Raj birajdar</v>
      </c>
      <c r="G170" s="9">
        <v>7276004071</v>
      </c>
      <c r="H170" s="9" t="str">
        <v>sujit.kadam@tatamotors.com</v>
      </c>
      <c r="I170" s="9" t="str">
        <v>13004092/001</v>
      </c>
      <c r="J170" s="9" t="str">
        <v>SPP</v>
      </c>
      <c r="K170" s="9" t="str">
        <v>Yes</v>
      </c>
      <c r="L170" s="9" t="str">
        <v>KXIND/W/SPP/YD/25087</v>
      </c>
      <c r="M170" s="9">
        <v>45989</v>
      </c>
      <c r="N170" s="9">
        <v>147224</v>
      </c>
      <c r="O170" s="9" t="str">
        <v>November</v>
      </c>
      <c r="P170" s="9" t="str">
        <v>December</v>
      </c>
      <c r="Q170" s="9">
        <v>0.9</v>
      </c>
      <c r="R170" s="9" t="str">
        <v>1515080977,76,75</v>
      </c>
      <c r="S170" s="9">
        <v>46000</v>
      </c>
      <c r="T170" s="9">
        <v>139625</v>
      </c>
      <c r="U170" s="9" t="str">
        <v>December</v>
      </c>
      <c r="V170" s="9">
        <v>7599</v>
      </c>
      <c r="W170" s="9">
        <v>0</v>
      </c>
      <c r="X170" s="9">
        <v>0</v>
      </c>
      <c r="Y170" s="9">
        <v>0</v>
      </c>
    </row>
    <row r="171" spans="1:25">
      <c r="A171" s="9">
        <v>159</v>
      </c>
      <c r="B171" s="9">
        <v>45999</v>
      </c>
      <c r="C171" s="9" t="str">
        <v xml:space="preserve">Fiat india Automobiles Pvt. LTD </v>
      </c>
      <c r="D171" s="9" t="str">
        <v>Pune</v>
      </c>
      <c r="E171" s="9" t="str">
        <v>stores</v>
      </c>
      <c r="F171" s="9" t="str">
        <v>Ajinkya Suryavanshi</v>
      </c>
      <c r="G171" s="9">
        <v>7875555910</v>
      </c>
      <c r="H171" s="9" t="str">
        <v>Ajinkya.Suryavanshi@fiapl.com</v>
      </c>
      <c r="I171" s="9" t="str">
        <v>10005770/001</v>
      </c>
      <c r="J171" s="9" t="str">
        <v>SPP</v>
      </c>
      <c r="K171" s="9" t="str">
        <v>Yes</v>
      </c>
      <c r="L171" s="9" t="str">
        <v>KXIND/W/SPP/YD/25086</v>
      </c>
      <c r="M171" s="9">
        <v>45999</v>
      </c>
      <c r="N171" s="9">
        <v>1144969</v>
      </c>
      <c r="O171" s="9" t="str">
        <v>December</v>
      </c>
      <c r="P171" s="9" t="str">
        <v>December</v>
      </c>
      <c r="Q171" s="9">
        <v>0.2</v>
      </c>
      <c r="R171" s="9">
        <v>0</v>
      </c>
      <c r="S171" s="9">
        <v>0</v>
      </c>
      <c r="T171" s="9">
        <v>0</v>
      </c>
      <c r="U171" s="9">
        <v>0</v>
      </c>
      <c r="V171" s="9">
        <v>1144969</v>
      </c>
      <c r="W171" s="9">
        <v>0</v>
      </c>
      <c r="X171" s="9">
        <v>0</v>
      </c>
      <c r="Y171" s="9">
        <v>0</v>
      </c>
    </row>
    <row r="172" spans="1:25">
      <c r="A172" s="9">
        <v>160</v>
      </c>
      <c r="B172" s="9">
        <v>45999</v>
      </c>
      <c r="C172" s="9" t="str">
        <v xml:space="preserve">Tata Motors LTD </v>
      </c>
      <c r="D172" s="9" t="str">
        <v>Pune</v>
      </c>
      <c r="E172" s="9" t="str">
        <v>ERC div</v>
      </c>
      <c r="F172" s="9" t="str">
        <v>Gaurav Bajpai</v>
      </c>
      <c r="G172" s="9">
        <v>9604125704</v>
      </c>
      <c r="H172" s="9" t="str">
        <v>gaurav.bajpai@tatamotors.com</v>
      </c>
      <c r="I172" s="9" t="str">
        <v>12001954/001</v>
      </c>
      <c r="J172" s="9" t="str">
        <v>SPP</v>
      </c>
      <c r="K172" s="9" t="str">
        <v>Yes</v>
      </c>
      <c r="L172" s="9" t="str">
        <v>KXIND/W/SPP/YD/25088</v>
      </c>
      <c r="M172" s="9">
        <v>45999</v>
      </c>
      <c r="N172" s="9">
        <v>128350</v>
      </c>
      <c r="O172" s="9" t="str">
        <v>December</v>
      </c>
      <c r="P172" s="9" t="str">
        <v>December</v>
      </c>
      <c r="Q172" s="9">
        <v>0.2</v>
      </c>
      <c r="R172" s="9">
        <v>0</v>
      </c>
      <c r="S172" s="9">
        <v>0</v>
      </c>
      <c r="T172" s="9">
        <v>0</v>
      </c>
      <c r="U172" s="9">
        <v>0</v>
      </c>
      <c r="V172" s="9">
        <v>128350</v>
      </c>
      <c r="W172" s="9">
        <v>0</v>
      </c>
      <c r="X172" s="9">
        <v>0</v>
      </c>
      <c r="Y172" s="9">
        <v>0</v>
      </c>
    </row>
    <row r="173" spans="1:25">
      <c r="A173" s="9">
        <v>161</v>
      </c>
      <c r="B173" s="9">
        <v>46010</v>
      </c>
      <c r="C173" s="9" t="str">
        <v>Eagle Burgmann India Pvt Ltd</v>
      </c>
      <c r="D173" s="9" t="str">
        <v>Pune</v>
      </c>
      <c r="E173" s="9" t="str">
        <v>stores</v>
      </c>
      <c r="F173" s="9" t="str">
        <v>Mahesh Hole</v>
      </c>
      <c r="G173" s="9">
        <v>9373850080</v>
      </c>
      <c r="H173" s="9" t="str">
        <v>Mahesh.Hole@in.eagleburgmann.com</v>
      </c>
      <c r="I173" s="9" t="str">
        <v>08004851/001</v>
      </c>
      <c r="J173" s="9" t="str">
        <v>SPP</v>
      </c>
      <c r="K173" s="9" t="str">
        <v>Yes</v>
      </c>
      <c r="L173" s="9" t="str">
        <v>KXIND/W/SPP/YD/25089</v>
      </c>
      <c r="M173" s="9">
        <v>45999</v>
      </c>
      <c r="N173" s="9">
        <v>640000</v>
      </c>
      <c r="O173" s="9" t="str">
        <v>December</v>
      </c>
      <c r="P173" s="9" t="str">
        <v>December</v>
      </c>
      <c r="Q173" s="9">
        <v>0.9</v>
      </c>
      <c r="R173" s="9">
        <v>2560209</v>
      </c>
      <c r="S173" s="9">
        <v>46008</v>
      </c>
      <c r="T173" s="9">
        <v>615210</v>
      </c>
      <c r="U173" s="9" t="str">
        <v>December</v>
      </c>
      <c r="V173" s="9">
        <v>24790</v>
      </c>
      <c r="W173" s="9">
        <v>0</v>
      </c>
      <c r="X173" s="9">
        <v>0</v>
      </c>
      <c r="Y173" s="9">
        <v>0</v>
      </c>
    </row>
    <row r="174" spans="1: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  <row r="402" spans="1:25">
      <c r="A402" s="9">
        <v>0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</row>
    <row r="403" spans="1:25">
      <c r="A403" s="9">
        <v>0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</row>
    <row r="404" spans="1:25">
      <c r="A404" s="9">
        <v>0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</row>
    <row r="405" spans="1:25">
      <c r="A405" s="9">
        <v>0</v>
      </c>
      <c r="B405" s="9">
        <v>0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</row>
    <row r="406" spans="1:25">
      <c r="A406" s="9">
        <v>0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</row>
    <row r="407" spans="1:25">
      <c r="A407" s="9">
        <v>0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</row>
    <row r="408" spans="1:25">
      <c r="A408" s="9">
        <v>0</v>
      </c>
      <c r="B408" s="9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</row>
    <row r="409" spans="1:25">
      <c r="A409" s="9">
        <v>0</v>
      </c>
      <c r="B409" s="9">
        <v>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</row>
    <row r="410" spans="1:25">
      <c r="A410" s="9">
        <v>0</v>
      </c>
      <c r="B410" s="9">
        <v>0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</row>
  </sheetData>
  <sheetProtection algorithmName="SHA-512" hashValue="MKtqNcDLsyjAPIEq/2MvsgNLBUpH5OZ6PwurSIP77UrHiUS322PleWHWL8qrfVxYjOoURQ8AQ2uP9qovJLieXg==" saltValue="Qw4B2y47TwcJirzH6v0xC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AEBB-29DA-4B81-A2E9-95A17B8B5E45}">
  <dimension ref="A1:AB427"/>
  <sheetViews>
    <sheetView topLeftCell="B1" zoomScaleNormal="100" zoomScalePageLayoutView="80" workbookViewId="0">
      <selection activeCell="F31" sqref="F31:I31"/>
    </sheetView>
  </sheetViews>
  <sheetFormatPr defaultColWidth="9.44140625" defaultRowHeight="13.8"/>
  <cols>
    <col min="1" max="1" width="10.44140625" style="9" customWidth="1"/>
    <col min="2" max="16384" width="9.44140625" style="9"/>
  </cols>
  <sheetData>
    <row r="1" spans="1:28">
      <c r="A1" s="9" t="str">
        <f>Ashraf!A3</f>
        <v>KARDEX INDIA - LIVE OFFER FUNEL - ASHRAF - WEST</v>
      </c>
    </row>
    <row r="3" spans="1:28">
      <c r="A3" s="9" t="str" cm="1">
        <f t="array" ref="A3:B3">Ashraf!A5:B5</f>
        <v>Total Offers</v>
      </c>
      <c r="B3" s="9">
        <v>112</v>
      </c>
      <c r="T3" s="9" t="str" cm="1">
        <f t="array" ref="T3:U5">Ashraf!U4:V6</f>
        <v>Total Offered Value</v>
      </c>
      <c r="U3" s="9">
        <v>50584483</v>
      </c>
    </row>
    <row r="4" spans="1:28">
      <c r="T4" s="9" t="str">
        <v>Order Received</v>
      </c>
      <c r="U4" s="9">
        <v>35560386</v>
      </c>
    </row>
    <row r="5" spans="1:28">
      <c r="T5" s="9" t="str">
        <v>Open Funnel</v>
      </c>
      <c r="U5" s="9">
        <v>13539398</v>
      </c>
    </row>
    <row r="7" spans="1:28">
      <c r="A7" s="9" t="str" cm="1">
        <f t="array" ref="A7:Y427">Ashraf!A7:Y427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18">Ashraf!AB2:AD13</f>
        <v>Month</v>
      </c>
      <c r="AA7" s="9" t="str">
        <v>Offers Total</v>
      </c>
      <c r="AB7" s="9" t="str">
        <v>Order received</v>
      </c>
    </row>
    <row r="8" spans="1:28">
      <c r="A8" s="9">
        <v>1</v>
      </c>
      <c r="B8" s="9">
        <v>45666</v>
      </c>
      <c r="C8" s="9" t="str">
        <v>Cummins Technologis India Pvt Ltd</v>
      </c>
      <c r="D8" s="9" t="str">
        <v>phaltan</v>
      </c>
      <c r="E8" s="9" t="str">
        <v>PCP1</v>
      </c>
      <c r="F8" s="9" t="str">
        <v>Sagar Jagatap</v>
      </c>
      <c r="G8" s="9">
        <v>9373155620</v>
      </c>
      <c r="H8" s="9" t="str">
        <v>sagar.jagatap@cummins.com</v>
      </c>
      <c r="I8" s="9" t="str">
        <v>18007324/001</v>
      </c>
      <c r="J8" s="9" t="str">
        <v>Upgrade kit</v>
      </c>
      <c r="K8" s="9" t="str">
        <v>Yes</v>
      </c>
      <c r="L8" s="9" t="str">
        <v>KRIND/W/SPP/AB/24005</v>
      </c>
      <c r="M8" s="9">
        <v>45341</v>
      </c>
      <c r="N8" s="9">
        <v>1246800</v>
      </c>
      <c r="O8" s="9" t="str">
        <v>January</v>
      </c>
      <c r="P8" s="9" t="str">
        <v>August</v>
      </c>
      <c r="Q8" s="9">
        <v>1</v>
      </c>
      <c r="R8" s="9" t="str">
        <v>IND8202828</v>
      </c>
      <c r="S8" s="9">
        <v>45751</v>
      </c>
      <c r="T8" s="9">
        <v>1029360</v>
      </c>
      <c r="U8" s="9" t="str">
        <v>August</v>
      </c>
      <c r="V8" s="9">
        <v>0</v>
      </c>
      <c r="W8" s="9">
        <v>0</v>
      </c>
      <c r="X8" s="9">
        <v>0</v>
      </c>
      <c r="Y8" s="9">
        <v>0</v>
      </c>
      <c r="Z8" s="9" t="str">
        <v>January</v>
      </c>
      <c r="AA8" s="9">
        <v>9757532</v>
      </c>
      <c r="AB8" s="9">
        <v>2531948</v>
      </c>
    </row>
    <row r="9" spans="1:28">
      <c r="A9" s="9">
        <v>2</v>
      </c>
      <c r="B9" s="9">
        <v>45666</v>
      </c>
      <c r="C9" s="9" t="str">
        <v>Hiteco TMS India Pvt Ltd</v>
      </c>
      <c r="D9" s="9" t="str">
        <v>Pune</v>
      </c>
      <c r="E9" s="9" t="str">
        <v>Stores tool</v>
      </c>
      <c r="F9" s="9" t="str">
        <v>Wasim Sheikh</v>
      </c>
      <c r="G9" s="9">
        <v>9881275059</v>
      </c>
      <c r="H9" s="9" t="str">
        <v>XPNCN24@hmil.net</v>
      </c>
      <c r="I9" s="9" t="str">
        <v>09008827/001</v>
      </c>
      <c r="J9" s="9" t="str">
        <v>SPP</v>
      </c>
      <c r="K9" s="9" t="str">
        <v>Yes</v>
      </c>
      <c r="L9" s="9" t="str">
        <v>KRIND/W/SPP/AB24018</v>
      </c>
      <c r="M9" s="9">
        <v>45412</v>
      </c>
      <c r="N9" s="9">
        <v>604356</v>
      </c>
      <c r="O9" s="9" t="str">
        <v>January</v>
      </c>
      <c r="P9" s="9" t="str">
        <v>August</v>
      </c>
      <c r="Q9" s="9">
        <v>1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 t="str">
        <v>February</v>
      </c>
      <c r="AA9" s="9">
        <v>4840185</v>
      </c>
      <c r="AB9" s="9">
        <v>1652533</v>
      </c>
    </row>
    <row r="10" spans="1:28">
      <c r="A10" s="9">
        <v>3</v>
      </c>
      <c r="B10" s="9">
        <v>45666</v>
      </c>
      <c r="C10" s="9" t="str">
        <v>Bharat Electronics Ltd</v>
      </c>
      <c r="D10" s="9" t="str">
        <v>Pune</v>
      </c>
      <c r="E10" s="9" t="str">
        <v>Stores</v>
      </c>
      <c r="F10" s="9" t="str">
        <v>Vilas Khade</v>
      </c>
      <c r="G10" s="9">
        <v>2022903115</v>
      </c>
      <c r="H10" s="9" t="str">
        <v>vilaskhade@bel.co.in</v>
      </c>
      <c r="I10" s="9" t="str">
        <v>04002775/002</v>
      </c>
      <c r="J10" s="9" t="str">
        <v>SPP</v>
      </c>
      <c r="K10" s="9" t="str">
        <v>Yes</v>
      </c>
      <c r="L10" s="9" t="str">
        <v>KRIND/W/SPP/AB240026</v>
      </c>
      <c r="M10" s="9">
        <v>45329</v>
      </c>
      <c r="N10" s="9">
        <v>1197980</v>
      </c>
      <c r="O10" s="9" t="str">
        <v>January</v>
      </c>
      <c r="P10" s="9" t="str">
        <v>July</v>
      </c>
      <c r="Q10" s="9">
        <v>1</v>
      </c>
      <c r="R10" s="9">
        <v>4000513646</v>
      </c>
      <c r="S10" s="9">
        <v>45832</v>
      </c>
      <c r="T10" s="9">
        <v>1406141</v>
      </c>
      <c r="U10" s="9" t="str">
        <v>June</v>
      </c>
      <c r="V10" s="9">
        <v>0</v>
      </c>
      <c r="W10" s="9">
        <v>0</v>
      </c>
      <c r="X10" s="9">
        <v>0</v>
      </c>
      <c r="Y10" s="9">
        <v>0</v>
      </c>
      <c r="Z10" s="9" t="str">
        <v>March</v>
      </c>
      <c r="AA10" s="9">
        <v>2602772</v>
      </c>
      <c r="AB10" s="9">
        <v>3651314</v>
      </c>
    </row>
    <row r="11" spans="1:28">
      <c r="A11" s="9">
        <v>4</v>
      </c>
      <c r="B11" s="9">
        <v>45666</v>
      </c>
      <c r="C11" s="9" t="str">
        <v>Sulzer Pumps India Pvt Ltd</v>
      </c>
      <c r="D11" s="9" t="str">
        <v>Mumbai</v>
      </c>
      <c r="E11" s="9" t="str">
        <v>store</v>
      </c>
      <c r="F11" s="9" t="str">
        <v>Anant Tarniker</v>
      </c>
      <c r="G11" s="9">
        <v>9833345459</v>
      </c>
      <c r="H11" s="9" t="str">
        <v>anant.ternikar@sulzer.com</v>
      </c>
      <c r="I11" s="9">
        <v>102006834</v>
      </c>
      <c r="J11" s="9" t="str">
        <v>SPP</v>
      </c>
      <c r="K11" s="9" t="str">
        <v>Yes</v>
      </c>
      <c r="L11" s="9" t="str">
        <v>KRIND/W/SPP/AB24032</v>
      </c>
      <c r="M11" s="9">
        <v>45516</v>
      </c>
      <c r="N11" s="9">
        <v>643950</v>
      </c>
      <c r="O11" s="9" t="str">
        <v>January</v>
      </c>
      <c r="P11" s="9" t="str">
        <v>December</v>
      </c>
      <c r="Q11" s="9">
        <v>0.4</v>
      </c>
      <c r="R11" s="9">
        <v>0</v>
      </c>
      <c r="S11" s="9">
        <v>0</v>
      </c>
      <c r="T11" s="9">
        <v>0</v>
      </c>
      <c r="U11" s="9">
        <v>0</v>
      </c>
      <c r="V11" s="9">
        <v>643950</v>
      </c>
      <c r="W11" s="9">
        <v>0</v>
      </c>
      <c r="X11" s="9" t="str">
        <v xml:space="preserve">discussion happened </v>
      </c>
      <c r="Y11" s="9">
        <v>0</v>
      </c>
      <c r="Z11" s="9" t="str">
        <v>April</v>
      </c>
      <c r="AA11" s="9">
        <v>3583731</v>
      </c>
      <c r="AB11" s="9">
        <v>1776550</v>
      </c>
    </row>
    <row r="12" spans="1:28">
      <c r="A12" s="9">
        <v>5</v>
      </c>
      <c r="B12" s="9">
        <v>45666</v>
      </c>
      <c r="C12" s="9" t="str">
        <v>Seco Tools India PVT LTD</v>
      </c>
      <c r="D12" s="9" t="str">
        <v>Pune</v>
      </c>
      <c r="E12" s="9" t="str">
        <v>Document Store</v>
      </c>
      <c r="F12" s="9" t="str">
        <v>Prasanna Godbole</v>
      </c>
      <c r="G12" s="9">
        <v>7774083585</v>
      </c>
      <c r="H12" s="9" t="str">
        <v>prasanna.godbole@secotools.com</v>
      </c>
      <c r="I12" s="9" t="str">
        <v>16008208/001</v>
      </c>
      <c r="J12" s="9" t="str">
        <v>Contract</v>
      </c>
      <c r="K12" s="9" t="str">
        <v>No</v>
      </c>
      <c r="L12" s="9" t="str">
        <v>KXIND/W/MC/AB24030</v>
      </c>
      <c r="M12" s="9">
        <v>45511</v>
      </c>
      <c r="N12" s="9">
        <v>62000</v>
      </c>
      <c r="O12" s="9" t="str">
        <v>January</v>
      </c>
      <c r="P12" s="9" t="str">
        <v>February</v>
      </c>
      <c r="Q12" s="9">
        <v>1</v>
      </c>
      <c r="R12" s="9">
        <v>10082197</v>
      </c>
      <c r="S12" s="9">
        <v>45636</v>
      </c>
      <c r="T12" s="9">
        <v>55000</v>
      </c>
      <c r="U12" s="9" t="str">
        <v>January</v>
      </c>
      <c r="V12" s="9">
        <v>7000</v>
      </c>
      <c r="W12" s="9">
        <v>0</v>
      </c>
      <c r="X12" s="9">
        <v>0</v>
      </c>
      <c r="Y12" s="9">
        <v>0</v>
      </c>
      <c r="Z12" s="9" t="str">
        <v>May</v>
      </c>
      <c r="AA12" s="9">
        <v>5141304</v>
      </c>
      <c r="AB12" s="9">
        <v>4694500</v>
      </c>
    </row>
    <row r="13" spans="1:28">
      <c r="A13" s="9">
        <v>5</v>
      </c>
      <c r="B13" s="9">
        <v>0</v>
      </c>
      <c r="C13" s="9" t="str">
        <v>Seco Tools India PVT LTD</v>
      </c>
      <c r="D13" s="9" t="str">
        <v>Pune</v>
      </c>
      <c r="E13" s="9" t="str">
        <v>DTA</v>
      </c>
      <c r="F13" s="9" t="str">
        <v>Prasanna Godbole</v>
      </c>
      <c r="G13" s="9">
        <v>7774083585</v>
      </c>
      <c r="H13" s="9" t="str">
        <v>prasanna.godbole@secotools.com</v>
      </c>
      <c r="I13" s="9" t="str">
        <v>16007507/001</v>
      </c>
      <c r="J13" s="9" t="str">
        <v>Contract</v>
      </c>
      <c r="K13" s="9" t="str">
        <v>No</v>
      </c>
      <c r="L13" s="9" t="str">
        <v>KXIND/W/MC/AB24030</v>
      </c>
      <c r="M13" s="9">
        <v>45511</v>
      </c>
      <c r="N13" s="9">
        <v>62000</v>
      </c>
      <c r="O13" s="9" t="str">
        <v>January</v>
      </c>
      <c r="P13" s="9" t="str">
        <v>February</v>
      </c>
      <c r="Q13" s="9">
        <v>1</v>
      </c>
      <c r="R13" s="9">
        <v>10082196</v>
      </c>
      <c r="S13" s="9">
        <v>45636</v>
      </c>
      <c r="T13" s="9">
        <v>55000</v>
      </c>
      <c r="U13" s="9" t="str">
        <v>January</v>
      </c>
      <c r="V13" s="9">
        <v>7000</v>
      </c>
      <c r="W13" s="9">
        <v>0</v>
      </c>
      <c r="X13" s="9">
        <v>0</v>
      </c>
      <c r="Y13" s="9">
        <v>0</v>
      </c>
      <c r="Z13" s="9" t="str">
        <v>June</v>
      </c>
      <c r="AA13" s="9">
        <v>5050287</v>
      </c>
      <c r="AB13" s="9">
        <v>6037535</v>
      </c>
    </row>
    <row r="14" spans="1:28">
      <c r="A14" s="9">
        <v>5</v>
      </c>
      <c r="B14" s="9">
        <v>0</v>
      </c>
      <c r="C14" s="9" t="str">
        <v>Seco Tools India PVT LTD</v>
      </c>
      <c r="D14" s="9" t="str">
        <v>Pune</v>
      </c>
      <c r="E14" s="9" t="str">
        <v>Tool Room</v>
      </c>
      <c r="F14" s="9" t="str">
        <v>Prasanna Godbole</v>
      </c>
      <c r="G14" s="9">
        <v>7774083585</v>
      </c>
      <c r="H14" s="9" t="str">
        <v>prasanna.godbole@secotools.com</v>
      </c>
      <c r="I14" s="9" t="str">
        <v>11010676/001</v>
      </c>
      <c r="J14" s="9" t="str">
        <v>Contract</v>
      </c>
      <c r="K14" s="9" t="str">
        <v>No</v>
      </c>
      <c r="L14" s="9" t="str">
        <v>KXIND/W/MC/AB24030</v>
      </c>
      <c r="M14" s="9">
        <v>45511</v>
      </c>
      <c r="N14" s="9">
        <v>62000</v>
      </c>
      <c r="O14" s="9" t="str">
        <v>January</v>
      </c>
      <c r="P14" s="9" t="str">
        <v>February</v>
      </c>
      <c r="Q14" s="9">
        <v>1</v>
      </c>
      <c r="R14" s="9">
        <v>10082196</v>
      </c>
      <c r="S14" s="9">
        <v>45636</v>
      </c>
      <c r="T14" s="9">
        <v>55000</v>
      </c>
      <c r="U14" s="9" t="str">
        <v>January</v>
      </c>
      <c r="V14" s="9">
        <v>7000</v>
      </c>
      <c r="W14" s="9">
        <v>0</v>
      </c>
      <c r="X14" s="9">
        <v>0</v>
      </c>
      <c r="Y14" s="9">
        <v>0</v>
      </c>
      <c r="Z14" s="9" t="str">
        <v>July</v>
      </c>
      <c r="AA14" s="9">
        <v>3175477</v>
      </c>
      <c r="AB14" s="9">
        <v>3214688</v>
      </c>
    </row>
    <row r="15" spans="1:28">
      <c r="A15" s="9">
        <v>6</v>
      </c>
      <c r="B15" s="9">
        <v>45666</v>
      </c>
      <c r="C15" s="9" t="str">
        <v>Sandvik Coromant India Pvt Ltd</v>
      </c>
      <c r="D15" s="9" t="str">
        <v>Pune</v>
      </c>
      <c r="E15" s="9" t="str">
        <v>Soft Tools</v>
      </c>
      <c r="F15" s="9" t="str">
        <v>Vivek Khodade</v>
      </c>
      <c r="G15" s="9">
        <v>9823332725</v>
      </c>
      <c r="H15" s="9" t="str">
        <v>vivek.khodade@sandvik.com</v>
      </c>
      <c r="I15" s="9" t="str">
        <v>21003645/001</v>
      </c>
      <c r="J15" s="9" t="str">
        <v>Relocation</v>
      </c>
      <c r="K15" s="9" t="str">
        <v>NO</v>
      </c>
      <c r="L15" s="9" t="str">
        <v>KRIND/W/RF/AB24048</v>
      </c>
      <c r="M15" s="9">
        <v>45610</v>
      </c>
      <c r="N15" s="9">
        <v>560000</v>
      </c>
      <c r="O15" s="9" t="str">
        <v>January</v>
      </c>
      <c r="P15" s="9" t="str">
        <v>June</v>
      </c>
      <c r="Q15" s="9">
        <v>1</v>
      </c>
      <c r="R15" s="9">
        <v>4512705805</v>
      </c>
      <c r="S15" s="9">
        <v>45814</v>
      </c>
      <c r="T15" s="9">
        <v>520000</v>
      </c>
      <c r="U15" s="9" t="str">
        <v>June</v>
      </c>
      <c r="V15" s="9">
        <v>0</v>
      </c>
      <c r="W15" s="9">
        <v>0</v>
      </c>
      <c r="X15" s="9">
        <v>0</v>
      </c>
      <c r="Y15" s="9">
        <v>0</v>
      </c>
      <c r="Z15" s="9" t="str">
        <v>August</v>
      </c>
      <c r="AA15" s="9">
        <v>5170000</v>
      </c>
      <c r="AB15" s="9">
        <v>2953103</v>
      </c>
    </row>
    <row r="16" spans="1:28">
      <c r="A16" s="9">
        <v>7</v>
      </c>
      <c r="B16" s="9">
        <v>45666</v>
      </c>
      <c r="C16" s="9" t="str">
        <v>Seco Tools India PVT LTD</v>
      </c>
      <c r="D16" s="9" t="str">
        <v>Pune</v>
      </c>
      <c r="E16" s="9" t="str">
        <v>IGS</v>
      </c>
      <c r="F16" s="9" t="str">
        <v>Arun kadam</v>
      </c>
      <c r="G16" s="9">
        <v>9552579436</v>
      </c>
      <c r="H16" s="9" t="str">
        <v>Arun.Kadam@secotools.com</v>
      </c>
      <c r="I16" s="9" t="str">
        <v>13005433/001</v>
      </c>
      <c r="J16" s="9" t="str">
        <v>Contract</v>
      </c>
      <c r="K16" s="9" t="str">
        <v>No</v>
      </c>
      <c r="L16" s="9" t="str">
        <v>KXIND/W/MC/AB24036</v>
      </c>
      <c r="M16" s="9">
        <v>45609</v>
      </c>
      <c r="N16" s="9">
        <v>62000</v>
      </c>
      <c r="O16" s="9" t="str">
        <v>January</v>
      </c>
      <c r="P16" s="9" t="str">
        <v>May</v>
      </c>
      <c r="Q16" s="9">
        <v>1</v>
      </c>
      <c r="R16" s="9">
        <v>10083149</v>
      </c>
      <c r="S16" s="9">
        <v>45650</v>
      </c>
      <c r="T16" s="9">
        <v>55000</v>
      </c>
      <c r="U16" s="9" t="str">
        <v>January</v>
      </c>
      <c r="V16" s="9">
        <v>0</v>
      </c>
      <c r="W16" s="9">
        <v>0</v>
      </c>
      <c r="X16" s="9">
        <v>0</v>
      </c>
      <c r="Y16" s="9">
        <v>0</v>
      </c>
      <c r="Z16" s="9" t="str">
        <v>September</v>
      </c>
      <c r="AA16" s="9">
        <v>4142775</v>
      </c>
      <c r="AB16" s="9">
        <v>1750522</v>
      </c>
    </row>
    <row r="17" spans="1:28">
      <c r="A17" s="9">
        <v>7</v>
      </c>
      <c r="B17" s="9">
        <v>0</v>
      </c>
      <c r="C17" s="9" t="str">
        <v>Seco Tools India PVT LTD</v>
      </c>
      <c r="D17" s="9" t="str">
        <v>Pune</v>
      </c>
      <c r="E17" s="9" t="str">
        <v xml:space="preserve">Press shop </v>
      </c>
      <c r="F17" s="9" t="str">
        <v>Arun kadam</v>
      </c>
      <c r="G17" s="9">
        <v>9552579436</v>
      </c>
      <c r="H17" s="9" t="str">
        <v>Arun.Kadam@secotools.com</v>
      </c>
      <c r="I17" s="9" t="str">
        <v>11010646/001</v>
      </c>
      <c r="J17" s="9" t="str">
        <v>Contract</v>
      </c>
      <c r="K17" s="9" t="str">
        <v>No</v>
      </c>
      <c r="L17" s="9" t="str">
        <v>KXIND/W/MC/AB24036</v>
      </c>
      <c r="M17" s="9">
        <v>45609</v>
      </c>
      <c r="N17" s="9">
        <v>62000</v>
      </c>
      <c r="O17" s="9" t="str">
        <v>January</v>
      </c>
      <c r="P17" s="9" t="str">
        <v>January</v>
      </c>
      <c r="Q17" s="9">
        <v>1</v>
      </c>
      <c r="R17" s="9">
        <v>10083157</v>
      </c>
      <c r="S17" s="9">
        <v>45650</v>
      </c>
      <c r="T17" s="9">
        <v>55000</v>
      </c>
      <c r="U17" s="9" t="str">
        <v>January</v>
      </c>
      <c r="V17" s="9">
        <v>0</v>
      </c>
      <c r="W17" s="9">
        <v>0</v>
      </c>
      <c r="X17" s="9">
        <v>0</v>
      </c>
      <c r="Y17" s="9">
        <v>0</v>
      </c>
      <c r="Z17" s="9" t="str">
        <v>October</v>
      </c>
      <c r="AA17" s="9">
        <v>4747151</v>
      </c>
      <c r="AB17" s="9">
        <v>2616357</v>
      </c>
    </row>
    <row r="18" spans="1:28">
      <c r="A18" s="9">
        <v>7</v>
      </c>
      <c r="B18" s="9">
        <v>0</v>
      </c>
      <c r="C18" s="9" t="str">
        <v>Seco Tools India PVT LTD</v>
      </c>
      <c r="D18" s="9" t="str">
        <v>Pune</v>
      </c>
      <c r="E18" s="9" t="str">
        <v>Sinter</v>
      </c>
      <c r="F18" s="9" t="str">
        <v>Arun kadam</v>
      </c>
      <c r="G18" s="9">
        <v>9552579436</v>
      </c>
      <c r="H18" s="9" t="str">
        <v>Arun.Kadam@secotools.com</v>
      </c>
      <c r="I18" s="9" t="str">
        <v>13001978/001</v>
      </c>
      <c r="J18" s="9" t="str">
        <v>Contract</v>
      </c>
      <c r="K18" s="9" t="str">
        <v>No</v>
      </c>
      <c r="L18" s="9" t="str">
        <v>KXIND/W/MC/AB24036</v>
      </c>
      <c r="M18" s="9">
        <v>45609</v>
      </c>
      <c r="N18" s="9">
        <v>62000</v>
      </c>
      <c r="O18" s="9" t="str">
        <v>January</v>
      </c>
      <c r="P18" s="9" t="str">
        <v>January</v>
      </c>
      <c r="Q18" s="9">
        <v>1</v>
      </c>
      <c r="R18" s="9">
        <v>10083150</v>
      </c>
      <c r="S18" s="9">
        <v>45650</v>
      </c>
      <c r="T18" s="9">
        <v>55000</v>
      </c>
      <c r="U18" s="9" t="str">
        <v>January</v>
      </c>
      <c r="V18" s="9">
        <v>0</v>
      </c>
      <c r="W18" s="9">
        <v>0</v>
      </c>
      <c r="X18" s="9">
        <v>0</v>
      </c>
      <c r="Y18" s="9">
        <v>0</v>
      </c>
      <c r="Z18" s="9" t="str">
        <v>November</v>
      </c>
      <c r="AA18" s="9">
        <v>1326760</v>
      </c>
      <c r="AB18" s="9">
        <v>3568228</v>
      </c>
    </row>
    <row r="19" spans="1:28">
      <c r="A19" s="9">
        <v>8</v>
      </c>
      <c r="B19" s="9">
        <v>45666</v>
      </c>
      <c r="C19" s="9" t="str">
        <v xml:space="preserve">Bharat Forge LTD </v>
      </c>
      <c r="D19" s="9" t="str">
        <v>Pune</v>
      </c>
      <c r="E19" s="9" t="str">
        <v>Aerospace</v>
      </c>
      <c r="F19" s="9" t="str">
        <v>Kiran Patil</v>
      </c>
      <c r="G19" s="9">
        <v>9881340014</v>
      </c>
      <c r="H19" s="9" t="str">
        <v>Kiran.Patil@bharatforge.com</v>
      </c>
      <c r="I19" s="9" t="str">
        <v>17007143/001</v>
      </c>
      <c r="J19" s="9" t="str">
        <v>Contract</v>
      </c>
      <c r="K19" s="9" t="str">
        <v>No</v>
      </c>
      <c r="L19" s="9" t="str">
        <v>KXIND/W/MC/AB/24038</v>
      </c>
      <c r="M19" s="9">
        <v>45610</v>
      </c>
      <c r="N19" s="9">
        <v>85000</v>
      </c>
      <c r="O19" s="9" t="str">
        <v>January</v>
      </c>
      <c r="P19" s="9" t="str">
        <v>May</v>
      </c>
      <c r="Q19" s="9">
        <v>1</v>
      </c>
      <c r="R19" s="9">
        <v>4601450532</v>
      </c>
      <c r="S19" s="9">
        <v>45796</v>
      </c>
      <c r="T19" s="9">
        <v>75000</v>
      </c>
      <c r="U19" s="9" t="str">
        <v>May</v>
      </c>
      <c r="V19" s="9">
        <v>0</v>
      </c>
      <c r="W19" s="9">
        <v>0</v>
      </c>
      <c r="X19" s="9">
        <v>0</v>
      </c>
      <c r="Y19" s="9">
        <v>0</v>
      </c>
    </row>
    <row r="20" spans="1:28">
      <c r="A20" s="9">
        <v>9</v>
      </c>
      <c r="B20" s="9">
        <v>45666</v>
      </c>
      <c r="C20" s="9" t="str">
        <v xml:space="preserve">Cummins India Ltd </v>
      </c>
      <c r="D20" s="9" t="str">
        <v>Pune</v>
      </c>
      <c r="E20" s="9" t="str">
        <v>KV &amp; NHNT</v>
      </c>
      <c r="F20" s="9" t="str">
        <v>Vishal B Kalshetti</v>
      </c>
      <c r="G20" s="9">
        <v>8888869627</v>
      </c>
      <c r="H20" s="9" t="str">
        <v>Vishal.Kalshetti@cummins.com</v>
      </c>
      <c r="I20" s="9" t="str">
        <v>07002616/001</v>
      </c>
      <c r="J20" s="9" t="str">
        <v>Contract</v>
      </c>
      <c r="K20" s="9" t="str">
        <v>No</v>
      </c>
      <c r="L20" s="9" t="str">
        <v>KRIND/W/MC/AB/240039</v>
      </c>
      <c r="M20" s="9">
        <v>45610</v>
      </c>
      <c r="N20" s="9">
        <v>80000</v>
      </c>
      <c r="O20" s="9" t="str">
        <v>January</v>
      </c>
      <c r="P20" s="9" t="str">
        <v>January</v>
      </c>
      <c r="Q20" s="9">
        <v>1</v>
      </c>
      <c r="R20" s="9" t="str">
        <v>IND7985383</v>
      </c>
      <c r="S20" s="9">
        <v>45663</v>
      </c>
      <c r="T20" s="9">
        <v>80000</v>
      </c>
      <c r="U20" s="9" t="str">
        <v>January</v>
      </c>
      <c r="V20" s="9">
        <v>0</v>
      </c>
      <c r="W20" s="9" t="str">
        <v>Please share the PO copy</v>
      </c>
      <c r="X20" s="9">
        <v>0</v>
      </c>
      <c r="Y20" s="9">
        <v>0</v>
      </c>
    </row>
    <row r="21" spans="1:28">
      <c r="A21" s="9">
        <v>9</v>
      </c>
      <c r="B21" s="9">
        <v>0</v>
      </c>
      <c r="C21" s="9" t="str">
        <v xml:space="preserve">Cummins India Ltd </v>
      </c>
      <c r="D21" s="9" t="str">
        <v>Pune</v>
      </c>
      <c r="E21" s="9" t="str">
        <v>KV &amp; NHNT</v>
      </c>
      <c r="F21" s="9" t="str">
        <v>Vishal B Kalshetti</v>
      </c>
      <c r="G21" s="9">
        <v>8888869627</v>
      </c>
      <c r="H21" s="9" t="str">
        <v>Vishal.Kalshetti@cummins.com</v>
      </c>
      <c r="I21" s="9" t="str">
        <v>00009908/002</v>
      </c>
      <c r="J21" s="9" t="str">
        <v>Contract</v>
      </c>
      <c r="K21" s="9" t="str">
        <v>No</v>
      </c>
      <c r="L21" s="9" t="str">
        <v>KRIND/W/MC/AB/240039</v>
      </c>
      <c r="M21" s="9">
        <v>45610</v>
      </c>
      <c r="N21" s="9">
        <v>80000</v>
      </c>
      <c r="O21" s="9" t="str">
        <v>January</v>
      </c>
      <c r="P21" s="9" t="str">
        <v>January</v>
      </c>
      <c r="Q21" s="9">
        <v>1</v>
      </c>
      <c r="R21" s="9" t="str">
        <v>IND7985383</v>
      </c>
      <c r="S21" s="9">
        <v>45663</v>
      </c>
      <c r="T21" s="9">
        <v>80000</v>
      </c>
      <c r="U21" s="9" t="str">
        <v>January</v>
      </c>
      <c r="V21" s="9">
        <v>0</v>
      </c>
      <c r="W21" s="9">
        <v>0</v>
      </c>
      <c r="X21" s="9">
        <v>0</v>
      </c>
      <c r="Y21" s="9">
        <v>0</v>
      </c>
    </row>
    <row r="22" spans="1:28">
      <c r="A22" s="9">
        <v>9</v>
      </c>
      <c r="B22" s="9">
        <v>0</v>
      </c>
      <c r="C22" s="9" t="str">
        <v xml:space="preserve">Cummins India Ltd </v>
      </c>
      <c r="D22" s="9" t="str">
        <v>Pune</v>
      </c>
      <c r="E22" s="9" t="str">
        <v>KV &amp; NHNT</v>
      </c>
      <c r="F22" s="9" t="str">
        <v>Vishal B Kalshetti</v>
      </c>
      <c r="G22" s="9">
        <v>8888869627</v>
      </c>
      <c r="H22" s="9" t="str">
        <v>Vishal.Kalshetti@cummins.com</v>
      </c>
      <c r="I22" s="9" t="str">
        <v>00009908/003</v>
      </c>
      <c r="J22" s="9" t="str">
        <v>Contract</v>
      </c>
      <c r="K22" s="9" t="str">
        <v>No</v>
      </c>
      <c r="L22" s="9" t="str">
        <v>KRIND/W/MC/AB/240039</v>
      </c>
      <c r="M22" s="9">
        <v>45610</v>
      </c>
      <c r="N22" s="9">
        <v>80000</v>
      </c>
      <c r="O22" s="9" t="str">
        <v>January</v>
      </c>
      <c r="P22" s="9" t="str">
        <v>January</v>
      </c>
      <c r="Q22" s="9">
        <v>1</v>
      </c>
      <c r="R22" s="9" t="str">
        <v>IND7985383</v>
      </c>
      <c r="S22" s="9">
        <v>45663</v>
      </c>
      <c r="T22" s="9">
        <v>80000</v>
      </c>
      <c r="U22" s="9" t="str">
        <v>January</v>
      </c>
      <c r="V22" s="9">
        <v>0</v>
      </c>
      <c r="W22" s="9">
        <v>0</v>
      </c>
      <c r="X22" s="9">
        <v>0</v>
      </c>
      <c r="Y22" s="9">
        <v>0</v>
      </c>
    </row>
    <row r="23" spans="1:28">
      <c r="A23" s="9">
        <v>9</v>
      </c>
      <c r="B23" s="9">
        <v>0</v>
      </c>
      <c r="C23" s="9" t="str">
        <v xml:space="preserve">Cummins India Ltd </v>
      </c>
      <c r="D23" s="9" t="str">
        <v>Pune</v>
      </c>
      <c r="E23" s="9" t="str">
        <v>KV &amp; NHNT</v>
      </c>
      <c r="F23" s="9" t="str">
        <v>Vishal B Kalshetti</v>
      </c>
      <c r="G23" s="9">
        <v>8888869627</v>
      </c>
      <c r="H23" s="9" t="str">
        <v>Vishal.Kalshetti@cummins.com</v>
      </c>
      <c r="I23" s="9" t="str">
        <v>00009908/004</v>
      </c>
      <c r="J23" s="9" t="str">
        <v>Contract</v>
      </c>
      <c r="K23" s="9" t="str">
        <v>No</v>
      </c>
      <c r="L23" s="9" t="str">
        <v>KRIND/W/MC/AB/240039</v>
      </c>
      <c r="M23" s="9">
        <v>45610</v>
      </c>
      <c r="N23" s="9">
        <v>80000</v>
      </c>
      <c r="O23" s="9" t="str">
        <v>January</v>
      </c>
      <c r="P23" s="9" t="str">
        <v>January</v>
      </c>
      <c r="Q23" s="9">
        <v>1</v>
      </c>
      <c r="R23" s="9" t="str">
        <v>IND7985383</v>
      </c>
      <c r="S23" s="9">
        <v>45663</v>
      </c>
      <c r="T23" s="9">
        <v>80000</v>
      </c>
      <c r="U23" s="9" t="str">
        <v>January</v>
      </c>
      <c r="V23" s="9">
        <v>0</v>
      </c>
      <c r="W23" s="9">
        <v>0</v>
      </c>
      <c r="X23" s="9">
        <v>0</v>
      </c>
      <c r="Y23" s="9">
        <v>0</v>
      </c>
    </row>
    <row r="24" spans="1:28">
      <c r="A24" s="9">
        <v>9</v>
      </c>
      <c r="B24" s="9">
        <v>0</v>
      </c>
      <c r="C24" s="9" t="str">
        <v xml:space="preserve">Cummins India Ltd </v>
      </c>
      <c r="D24" s="9" t="str">
        <v>Pune</v>
      </c>
      <c r="E24" s="9" t="str">
        <v>KV &amp; NHNT</v>
      </c>
      <c r="F24" s="9" t="str">
        <v>Vishal B Kalshetti</v>
      </c>
      <c r="G24" s="9">
        <v>8888869627</v>
      </c>
      <c r="H24" s="9" t="str">
        <v>Vishal.Kalshetti@cummins.com</v>
      </c>
      <c r="I24" s="9" t="str">
        <v>00009908/005</v>
      </c>
      <c r="J24" s="9" t="str">
        <v>Contract</v>
      </c>
      <c r="K24" s="9" t="str">
        <v>No</v>
      </c>
      <c r="L24" s="9" t="str">
        <v>KRIND/W/MC/AB/240039</v>
      </c>
      <c r="M24" s="9">
        <v>45610</v>
      </c>
      <c r="N24" s="9">
        <v>80000</v>
      </c>
      <c r="O24" s="9" t="str">
        <v>January</v>
      </c>
      <c r="P24" s="9" t="str">
        <v>January</v>
      </c>
      <c r="Q24" s="9">
        <v>1</v>
      </c>
      <c r="R24" s="9" t="str">
        <v>IND7985383</v>
      </c>
      <c r="S24" s="9">
        <v>45663</v>
      </c>
      <c r="T24" s="9">
        <v>80000</v>
      </c>
      <c r="U24" s="9" t="str">
        <v>January</v>
      </c>
      <c r="V24" s="9">
        <v>0</v>
      </c>
      <c r="W24" s="9">
        <v>0</v>
      </c>
      <c r="X24" s="9">
        <v>0</v>
      </c>
      <c r="Y24" s="9">
        <v>0</v>
      </c>
    </row>
    <row r="25" spans="1:28">
      <c r="A25" s="9">
        <v>9</v>
      </c>
      <c r="B25" s="9">
        <v>0</v>
      </c>
      <c r="C25" s="9" t="str">
        <v xml:space="preserve">Cummins India Ltd </v>
      </c>
      <c r="D25" s="9" t="str">
        <v>Pune</v>
      </c>
      <c r="E25" s="9" t="str">
        <v>KV &amp; NHNT</v>
      </c>
      <c r="F25" s="9" t="str">
        <v>Vishal B Kalshetti</v>
      </c>
      <c r="G25" s="9">
        <v>8888869627</v>
      </c>
      <c r="H25" s="9" t="str">
        <v>Vishal.Kalshetti@cummins.com</v>
      </c>
      <c r="I25" s="9" t="str">
        <v>01000708/001</v>
      </c>
      <c r="J25" s="9" t="str">
        <v>Contract</v>
      </c>
      <c r="K25" s="9" t="str">
        <v>No</v>
      </c>
      <c r="L25" s="9" t="str">
        <v>KRIND/W/MC/AB/240039</v>
      </c>
      <c r="M25" s="9">
        <v>45610</v>
      </c>
      <c r="N25" s="9">
        <v>80000</v>
      </c>
      <c r="O25" s="9" t="str">
        <v>January</v>
      </c>
      <c r="P25" s="9" t="str">
        <v>January</v>
      </c>
      <c r="Q25" s="9">
        <v>1</v>
      </c>
      <c r="R25" s="9" t="str">
        <v>IND7985383</v>
      </c>
      <c r="S25" s="9">
        <v>45663</v>
      </c>
      <c r="T25" s="9">
        <v>80000</v>
      </c>
      <c r="U25" s="9" t="str">
        <v>January</v>
      </c>
      <c r="V25" s="9">
        <v>0</v>
      </c>
      <c r="W25" s="9">
        <v>0</v>
      </c>
      <c r="X25" s="9">
        <v>0</v>
      </c>
      <c r="Y25" s="9">
        <v>0</v>
      </c>
    </row>
    <row r="26" spans="1:28">
      <c r="A26" s="9">
        <v>9</v>
      </c>
      <c r="B26" s="9">
        <v>0</v>
      </c>
      <c r="C26" s="9" t="str">
        <v xml:space="preserve">Cummins India Ltd </v>
      </c>
      <c r="D26" s="9" t="str">
        <v>Pune</v>
      </c>
      <c r="E26" s="9" t="str">
        <v>KV &amp; NHNT</v>
      </c>
      <c r="F26" s="9" t="str">
        <v>Vishal B Kalshetti</v>
      </c>
      <c r="G26" s="9">
        <v>8888869627</v>
      </c>
      <c r="H26" s="9" t="str">
        <v>Vishal.Kalshetti@cummins.com</v>
      </c>
      <c r="I26" s="9" t="str">
        <v>00009908/001</v>
      </c>
      <c r="J26" s="9" t="str">
        <v>Contract</v>
      </c>
      <c r="K26" s="9" t="str">
        <v>No</v>
      </c>
      <c r="L26" s="9" t="str">
        <v>KRIND/W/MC/AB/240039</v>
      </c>
      <c r="M26" s="9">
        <v>45610</v>
      </c>
      <c r="N26" s="9">
        <v>80000</v>
      </c>
      <c r="O26" s="9" t="str">
        <v>January</v>
      </c>
      <c r="P26" s="9" t="str">
        <v>January</v>
      </c>
      <c r="Q26" s="9">
        <v>1</v>
      </c>
      <c r="R26" s="9" t="str">
        <v>IND7985383</v>
      </c>
      <c r="S26" s="9">
        <v>45663</v>
      </c>
      <c r="T26" s="9">
        <v>80000</v>
      </c>
      <c r="U26" s="9" t="str">
        <v>January</v>
      </c>
      <c r="V26" s="9">
        <v>0</v>
      </c>
      <c r="W26" s="9">
        <v>0</v>
      </c>
      <c r="X26" s="9">
        <v>0</v>
      </c>
      <c r="Y26" s="9">
        <v>0</v>
      </c>
    </row>
    <row r="27" spans="1:28">
      <c r="A27" s="9">
        <v>10</v>
      </c>
      <c r="B27" s="9">
        <v>45666</v>
      </c>
      <c r="C27" s="9" t="str">
        <v xml:space="preserve">Alfa Laval India LTD </v>
      </c>
      <c r="D27" s="9" t="str">
        <v>Pune</v>
      </c>
      <c r="E27" s="9" t="str">
        <v>Decanter</v>
      </c>
      <c r="F27" s="9" t="str">
        <v>Sagar Pawar</v>
      </c>
      <c r="G27" s="9">
        <v>7798824040</v>
      </c>
      <c r="H27" s="9" t="str">
        <v>Sagar.Pawar@alfalaval.com</v>
      </c>
      <c r="I27" s="9" t="str">
        <v>05004742/001</v>
      </c>
      <c r="J27" s="9" t="str">
        <v>Contract</v>
      </c>
      <c r="K27" s="9" t="str">
        <v>No</v>
      </c>
      <c r="L27" s="9" t="str">
        <v>KXIND/W/MC/AB24040</v>
      </c>
      <c r="M27" s="9">
        <v>45610</v>
      </c>
      <c r="N27" s="9">
        <v>77500</v>
      </c>
      <c r="O27" s="9" t="str">
        <v>January</v>
      </c>
      <c r="P27" s="9" t="str">
        <v>February</v>
      </c>
      <c r="Q27" s="9">
        <v>1</v>
      </c>
      <c r="R27" s="9">
        <v>8172731</v>
      </c>
      <c r="S27" s="9">
        <v>45700</v>
      </c>
      <c r="T27" s="9">
        <v>77500</v>
      </c>
      <c r="U27" s="9" t="str">
        <v>February</v>
      </c>
      <c r="V27" s="9">
        <v>0</v>
      </c>
      <c r="W27" s="9">
        <v>0</v>
      </c>
      <c r="X27" s="9">
        <v>0</v>
      </c>
      <c r="Y27" s="9">
        <v>0</v>
      </c>
    </row>
    <row r="28" spans="1:28">
      <c r="A28" s="9">
        <v>10</v>
      </c>
      <c r="B28" s="9">
        <v>0</v>
      </c>
      <c r="C28" s="9" t="str">
        <v xml:space="preserve">Alfa Laval India LTD </v>
      </c>
      <c r="D28" s="9" t="str">
        <v>Pune</v>
      </c>
      <c r="E28" s="9" t="str">
        <v>Decanter</v>
      </c>
      <c r="F28" s="9" t="str">
        <v>Sagar Pawar</v>
      </c>
      <c r="G28" s="9">
        <v>7798824040</v>
      </c>
      <c r="H28" s="9" t="str">
        <v>Sagar.Pawar@alfalaval.com</v>
      </c>
      <c r="I28" s="9" t="str">
        <v>07005169/001</v>
      </c>
      <c r="J28" s="9" t="str">
        <v>Contract</v>
      </c>
      <c r="K28" s="9" t="str">
        <v>No</v>
      </c>
      <c r="L28" s="9" t="str">
        <v>KXIND/W/MC/AB24040</v>
      </c>
      <c r="M28" s="9">
        <v>45610</v>
      </c>
      <c r="N28" s="9">
        <v>77500</v>
      </c>
      <c r="O28" s="9" t="str">
        <v>January</v>
      </c>
      <c r="P28" s="9" t="str">
        <v>February</v>
      </c>
      <c r="Q28" s="9">
        <v>1</v>
      </c>
      <c r="R28" s="9">
        <v>8172731</v>
      </c>
      <c r="S28" s="9">
        <v>45700</v>
      </c>
      <c r="T28" s="9">
        <v>77500</v>
      </c>
      <c r="U28" s="9" t="str">
        <v>February</v>
      </c>
      <c r="V28" s="9">
        <v>0</v>
      </c>
      <c r="W28" s="9">
        <v>0</v>
      </c>
      <c r="X28" s="9">
        <v>0</v>
      </c>
      <c r="Y28" s="9">
        <v>0</v>
      </c>
    </row>
    <row r="29" spans="1:28">
      <c r="A29" s="9">
        <v>10</v>
      </c>
      <c r="B29" s="9">
        <v>0</v>
      </c>
      <c r="C29" s="9" t="str">
        <v xml:space="preserve">Alfa Laval India LTD </v>
      </c>
      <c r="D29" s="9" t="str">
        <v>Pune</v>
      </c>
      <c r="E29" s="9" t="str">
        <v>Decanter</v>
      </c>
      <c r="F29" s="9" t="str">
        <v>Sagar Pawar</v>
      </c>
      <c r="G29" s="9">
        <v>7798824040</v>
      </c>
      <c r="H29" s="9" t="str">
        <v>Sagar.Pawar@alfalaval.com</v>
      </c>
      <c r="I29" s="9" t="str">
        <v>07005164/001</v>
      </c>
      <c r="J29" s="9" t="str">
        <v>Contract</v>
      </c>
      <c r="K29" s="9" t="str">
        <v>No</v>
      </c>
      <c r="L29" s="9" t="str">
        <v>KXIND/W/MC/AB24040</v>
      </c>
      <c r="M29" s="9">
        <v>45610</v>
      </c>
      <c r="N29" s="9">
        <v>77500</v>
      </c>
      <c r="O29" s="9" t="str">
        <v>January</v>
      </c>
      <c r="P29" s="9" t="str">
        <v>February</v>
      </c>
      <c r="Q29" s="9">
        <v>1</v>
      </c>
      <c r="R29" s="9">
        <v>8172731</v>
      </c>
      <c r="S29" s="9">
        <v>45700</v>
      </c>
      <c r="T29" s="9">
        <v>77500</v>
      </c>
      <c r="U29" s="9" t="str">
        <v>February</v>
      </c>
      <c r="V29" s="9">
        <v>0</v>
      </c>
      <c r="W29" s="9">
        <v>0</v>
      </c>
      <c r="X29" s="9">
        <v>0</v>
      </c>
      <c r="Y29" s="9">
        <v>0</v>
      </c>
    </row>
    <row r="30" spans="1:28">
      <c r="A30" s="9">
        <v>10</v>
      </c>
      <c r="B30" s="9">
        <v>0</v>
      </c>
      <c r="C30" s="9" t="str">
        <v xml:space="preserve">Alfa Laval India LTD </v>
      </c>
      <c r="D30" s="9" t="str">
        <v>Pune</v>
      </c>
      <c r="E30" s="9" t="str">
        <v>Decanter</v>
      </c>
      <c r="F30" s="9" t="str">
        <v>Sagar Pawar</v>
      </c>
      <c r="G30" s="9">
        <v>7798824040</v>
      </c>
      <c r="H30" s="9" t="str">
        <v>Sagar.Pawar@alfalaval.com</v>
      </c>
      <c r="I30" s="9" t="str">
        <v>10010116/001</v>
      </c>
      <c r="J30" s="9" t="str">
        <v>Contract</v>
      </c>
      <c r="K30" s="9" t="str">
        <v>No</v>
      </c>
      <c r="L30" s="9" t="str">
        <v>KXIND/W/MC/AB24040</v>
      </c>
      <c r="M30" s="9">
        <v>45610</v>
      </c>
      <c r="N30" s="9">
        <v>77500</v>
      </c>
      <c r="O30" s="9" t="str">
        <v>January</v>
      </c>
      <c r="P30" s="9" t="str">
        <v>February</v>
      </c>
      <c r="Q30" s="9">
        <v>1</v>
      </c>
      <c r="R30" s="9">
        <v>8172731</v>
      </c>
      <c r="S30" s="9">
        <v>45700</v>
      </c>
      <c r="T30" s="9">
        <v>77500</v>
      </c>
      <c r="U30" s="9" t="str">
        <v>February</v>
      </c>
      <c r="V30" s="9">
        <v>0</v>
      </c>
      <c r="W30" s="9">
        <v>0</v>
      </c>
      <c r="X30" s="9">
        <v>0</v>
      </c>
      <c r="Y30" s="9">
        <v>0</v>
      </c>
    </row>
    <row r="31" spans="1:28">
      <c r="A31" s="9">
        <v>11</v>
      </c>
      <c r="B31" s="9">
        <v>45666</v>
      </c>
      <c r="C31" s="9" t="str">
        <v xml:space="preserve">Alfa Laval India LTD </v>
      </c>
      <c r="D31" s="9" t="str">
        <v>Pune</v>
      </c>
      <c r="E31" s="9" t="str">
        <v xml:space="preserve">DLC </v>
      </c>
      <c r="F31" s="9" t="str">
        <v>Ranjit Shinde</v>
      </c>
      <c r="G31" s="9">
        <v>7045525011</v>
      </c>
      <c r="H31" s="9" t="str">
        <v>ranjit.shinde@alfalaval.com</v>
      </c>
      <c r="I31" s="9" t="str">
        <v>07010871/001</v>
      </c>
      <c r="J31" s="9" t="str">
        <v>Contract</v>
      </c>
      <c r="K31" s="9" t="str">
        <v>No</v>
      </c>
      <c r="L31" s="9" t="str">
        <v>KXIND/W/MC/AB24041</v>
      </c>
      <c r="M31" s="9">
        <v>45610</v>
      </c>
      <c r="N31" s="9">
        <v>77500</v>
      </c>
      <c r="O31" s="9" t="str">
        <v>January</v>
      </c>
      <c r="P31" s="9" t="str">
        <v>February</v>
      </c>
      <c r="Q31" s="9">
        <v>1</v>
      </c>
      <c r="R31" s="9">
        <v>8172511</v>
      </c>
      <c r="S31" s="9">
        <v>45693</v>
      </c>
      <c r="T31" s="9">
        <v>77500</v>
      </c>
      <c r="U31" s="9" t="str">
        <v>February</v>
      </c>
      <c r="V31" s="9">
        <v>0</v>
      </c>
      <c r="W31" s="9">
        <v>0</v>
      </c>
      <c r="X31" s="9">
        <v>0</v>
      </c>
      <c r="Y31" s="9">
        <v>0</v>
      </c>
    </row>
    <row r="32" spans="1:28">
      <c r="A32" s="9">
        <v>11</v>
      </c>
      <c r="B32" s="9">
        <v>0</v>
      </c>
      <c r="C32" s="9" t="str">
        <v xml:space="preserve">Alfa Laval India LTD </v>
      </c>
      <c r="D32" s="9" t="str">
        <v>Pune</v>
      </c>
      <c r="E32" s="9" t="str">
        <v xml:space="preserve">DLC </v>
      </c>
      <c r="F32" s="9" t="str">
        <v>Ranjit Shinde</v>
      </c>
      <c r="G32" s="9">
        <v>7045525011</v>
      </c>
      <c r="H32" s="9" t="str">
        <v>ranjit.shinde@alfalaval.com</v>
      </c>
      <c r="I32" s="9" t="str">
        <v>19008264/001</v>
      </c>
      <c r="J32" s="9" t="str">
        <v>Contract</v>
      </c>
      <c r="K32" s="9" t="str">
        <v>No</v>
      </c>
      <c r="L32" s="9" t="str">
        <v>KXIND/W/MC/AB24041</v>
      </c>
      <c r="M32" s="9">
        <v>45610</v>
      </c>
      <c r="N32" s="9">
        <v>77500</v>
      </c>
      <c r="O32" s="9" t="str">
        <v>January</v>
      </c>
      <c r="P32" s="9" t="str">
        <v>February</v>
      </c>
      <c r="Q32" s="9">
        <v>1</v>
      </c>
      <c r="R32" s="9">
        <v>8172511</v>
      </c>
      <c r="S32" s="9">
        <v>45693</v>
      </c>
      <c r="T32" s="9">
        <v>77500</v>
      </c>
      <c r="U32" s="9" t="str">
        <v>February</v>
      </c>
      <c r="V32" s="9">
        <v>0</v>
      </c>
      <c r="W32" s="9">
        <v>0</v>
      </c>
      <c r="X32" s="9">
        <v>0</v>
      </c>
      <c r="Y32" s="9">
        <v>0</v>
      </c>
    </row>
    <row r="33" spans="1:25">
      <c r="A33" s="9">
        <v>11</v>
      </c>
      <c r="B33" s="9">
        <v>0</v>
      </c>
      <c r="C33" s="9" t="str">
        <v xml:space="preserve">Alfa Laval India LTD </v>
      </c>
      <c r="D33" s="9" t="str">
        <v>Pune</v>
      </c>
      <c r="E33" s="9" t="str">
        <v xml:space="preserve">DLC </v>
      </c>
      <c r="F33" s="9" t="str">
        <v>Ranjit Shinde</v>
      </c>
      <c r="G33" s="9">
        <v>7045525011</v>
      </c>
      <c r="H33" s="9" t="str">
        <v>ranjit.shinde@alfalaval.com</v>
      </c>
      <c r="I33" s="9" t="str">
        <v>22008500/001</v>
      </c>
      <c r="J33" s="9" t="str">
        <v>Contract</v>
      </c>
      <c r="K33" s="9" t="str">
        <v>yes</v>
      </c>
      <c r="L33" s="9" t="str">
        <v>KXIND/W/MC/AB24041</v>
      </c>
      <c r="M33" s="9">
        <v>45610</v>
      </c>
      <c r="N33" s="9">
        <v>77500</v>
      </c>
      <c r="O33" s="9" t="str">
        <v>January</v>
      </c>
      <c r="P33" s="9" t="str">
        <v>February</v>
      </c>
      <c r="Q33" s="9">
        <v>1</v>
      </c>
      <c r="R33" s="9">
        <v>8172511</v>
      </c>
      <c r="S33" s="9">
        <v>45693</v>
      </c>
      <c r="T33" s="9">
        <v>77500</v>
      </c>
      <c r="U33" s="9" t="str">
        <v>February</v>
      </c>
      <c r="V33" s="9">
        <v>0</v>
      </c>
      <c r="W33" s="9">
        <v>0</v>
      </c>
      <c r="X33" s="9">
        <v>0</v>
      </c>
      <c r="Y33" s="9">
        <v>0</v>
      </c>
    </row>
    <row r="34" spans="1:25">
      <c r="A34" s="9">
        <v>12</v>
      </c>
      <c r="B34" s="9">
        <v>45666</v>
      </c>
      <c r="C34" s="9" t="str">
        <v xml:space="preserve">Alfa Laval India LTD </v>
      </c>
      <c r="D34" s="9" t="str">
        <v>Pune</v>
      </c>
      <c r="E34" s="9" t="str">
        <v>Stores</v>
      </c>
      <c r="F34" s="9" t="str">
        <v>Jitu Shirke</v>
      </c>
      <c r="G34" s="9">
        <v>9623003468</v>
      </c>
      <c r="H34" s="9" t="str">
        <v>jitendra.shirke@alfalaval.com</v>
      </c>
      <c r="I34" s="9" t="str">
        <v>07008042/001</v>
      </c>
      <c r="J34" s="9" t="str">
        <v>Contract</v>
      </c>
      <c r="K34" s="9" t="str">
        <v>No</v>
      </c>
      <c r="L34" s="9" t="str">
        <v>KXIND/W/MC/AB24042</v>
      </c>
      <c r="M34" s="9">
        <v>45618</v>
      </c>
      <c r="N34" s="9">
        <v>77500</v>
      </c>
      <c r="O34" s="9" t="str">
        <v>January</v>
      </c>
      <c r="P34" s="9" t="str">
        <v>January</v>
      </c>
      <c r="Q34" s="9">
        <v>1</v>
      </c>
      <c r="R34" s="9">
        <v>8171479</v>
      </c>
      <c r="S34" s="9">
        <v>45663</v>
      </c>
      <c r="T34" s="9">
        <v>77500</v>
      </c>
      <c r="U34" s="9" t="str">
        <v>January</v>
      </c>
      <c r="V34" s="9">
        <v>0</v>
      </c>
      <c r="W34" s="9">
        <v>0</v>
      </c>
      <c r="X34" s="9">
        <v>0</v>
      </c>
      <c r="Y34" s="9">
        <v>0</v>
      </c>
    </row>
    <row r="35" spans="1:25">
      <c r="A35" s="9">
        <v>12</v>
      </c>
      <c r="B35" s="9">
        <v>0</v>
      </c>
      <c r="C35" s="9" t="str">
        <v xml:space="preserve">Alfa Laval India LTD </v>
      </c>
      <c r="D35" s="9" t="str">
        <v>Pune</v>
      </c>
      <c r="E35" s="9" t="str">
        <v>Stores</v>
      </c>
      <c r="F35" s="9" t="str">
        <v>Jitu Shirke</v>
      </c>
      <c r="G35" s="9">
        <v>9623003468</v>
      </c>
      <c r="H35" s="9" t="str">
        <v>jitendra.shirke@alfalaval.com</v>
      </c>
      <c r="I35" s="9" t="str">
        <v>1100003/001</v>
      </c>
      <c r="J35" s="9" t="str">
        <v>Contract</v>
      </c>
      <c r="K35" s="9" t="str">
        <v>No</v>
      </c>
      <c r="L35" s="9" t="str">
        <v>KXIND/W/MC/AB24042</v>
      </c>
      <c r="M35" s="9">
        <v>45618</v>
      </c>
      <c r="N35" s="9">
        <v>77500</v>
      </c>
      <c r="O35" s="9" t="str">
        <v>January</v>
      </c>
      <c r="P35" s="9" t="str">
        <v>January</v>
      </c>
      <c r="Q35" s="9">
        <v>1</v>
      </c>
      <c r="R35" s="9">
        <v>8171479</v>
      </c>
      <c r="S35" s="9">
        <v>45663</v>
      </c>
      <c r="T35" s="9">
        <v>77500</v>
      </c>
      <c r="U35" s="9" t="str">
        <v>January</v>
      </c>
      <c r="V35" s="9">
        <v>0</v>
      </c>
      <c r="W35" s="9">
        <v>0</v>
      </c>
      <c r="X35" s="9">
        <v>0</v>
      </c>
      <c r="Y35" s="9">
        <v>0</v>
      </c>
    </row>
    <row r="36" spans="1:25">
      <c r="A36" s="9">
        <v>12</v>
      </c>
      <c r="B36" s="9">
        <v>0</v>
      </c>
      <c r="C36" s="9" t="str">
        <v xml:space="preserve">Alfa Laval India LTD </v>
      </c>
      <c r="D36" s="9" t="str">
        <v>Pune</v>
      </c>
      <c r="E36" s="9" t="str">
        <v>Stores</v>
      </c>
      <c r="F36" s="9" t="str">
        <v>Jitu Shirke</v>
      </c>
      <c r="G36" s="9">
        <v>9623003468</v>
      </c>
      <c r="H36" s="9" t="str">
        <v>jitendra.shirke@alfalaval.com</v>
      </c>
      <c r="I36" s="9" t="str">
        <v>22006265/001</v>
      </c>
      <c r="J36" s="9" t="str">
        <v>Contract</v>
      </c>
      <c r="K36" s="9" t="str">
        <v>YES</v>
      </c>
      <c r="L36" s="9" t="str">
        <v>KXIND/W/MC/AB24042</v>
      </c>
      <c r="M36" s="9">
        <v>45618</v>
      </c>
      <c r="N36" s="9">
        <v>77500</v>
      </c>
      <c r="O36" s="9" t="str">
        <v>January</v>
      </c>
      <c r="P36" s="9" t="str">
        <v>January</v>
      </c>
      <c r="Q36" s="9">
        <v>1</v>
      </c>
      <c r="R36" s="9">
        <v>8171479</v>
      </c>
      <c r="S36" s="9">
        <v>45663</v>
      </c>
      <c r="T36" s="9">
        <v>77500</v>
      </c>
      <c r="U36" s="9" t="str">
        <v>January</v>
      </c>
      <c r="V36" s="9">
        <v>0</v>
      </c>
      <c r="W36" s="9">
        <v>0</v>
      </c>
      <c r="X36" s="9">
        <v>0</v>
      </c>
      <c r="Y36" s="9">
        <v>0</v>
      </c>
    </row>
    <row r="37" spans="1:25">
      <c r="A37" s="9">
        <v>13</v>
      </c>
      <c r="B37" s="9">
        <v>45666</v>
      </c>
      <c r="C37" s="9" t="str">
        <v xml:space="preserve">Bharat Forge LTD </v>
      </c>
      <c r="D37" s="9" t="str">
        <v>Pune</v>
      </c>
      <c r="E37" s="9" t="str">
        <v>Aerospace</v>
      </c>
      <c r="F37" s="9" t="str">
        <v>Kiran Patil</v>
      </c>
      <c r="G37" s="9">
        <v>9881340014</v>
      </c>
      <c r="H37" s="9" t="str">
        <v>Kiran.Patil@bharatforge.com</v>
      </c>
      <c r="I37" s="9" t="str">
        <v>17007143/001</v>
      </c>
      <c r="J37" s="9" t="str">
        <v>Relocation</v>
      </c>
      <c r="K37" s="9" t="str">
        <v>No</v>
      </c>
      <c r="L37" s="9" t="str">
        <v>KAR/IND/RE/AB/007</v>
      </c>
      <c r="M37" s="9">
        <v>45580</v>
      </c>
      <c r="N37" s="9">
        <v>350000</v>
      </c>
      <c r="O37" s="9" t="str">
        <v>January</v>
      </c>
      <c r="P37" s="9" t="str">
        <v>December</v>
      </c>
      <c r="Q37" s="9">
        <v>0.5</v>
      </c>
      <c r="R37" s="9">
        <v>0</v>
      </c>
      <c r="S37" s="9">
        <v>0</v>
      </c>
      <c r="T37" s="9">
        <v>0</v>
      </c>
      <c r="U37" s="9">
        <v>0</v>
      </c>
      <c r="V37" s="9">
        <v>350000</v>
      </c>
      <c r="W37" s="9">
        <v>0</v>
      </c>
      <c r="X37" s="9">
        <v>0</v>
      </c>
      <c r="Y37" s="9">
        <v>0</v>
      </c>
    </row>
    <row r="38" spans="1:25">
      <c r="A38" s="9">
        <v>14</v>
      </c>
      <c r="B38" s="9">
        <v>45666</v>
      </c>
      <c r="C38" s="9" t="str">
        <v>Siemens Ltd.</v>
      </c>
      <c r="D38" s="9" t="str">
        <v>Pune</v>
      </c>
      <c r="E38" s="9" t="str">
        <v>Switchboard</v>
      </c>
      <c r="F38" s="9" t="str">
        <v>Amar Gurav</v>
      </c>
      <c r="G38" s="9">
        <v>8879112999</v>
      </c>
      <c r="H38" s="9" t="str">
        <v>amar.gurav@siemens.com</v>
      </c>
      <c r="I38" s="9" t="str">
        <v>09002885/001</v>
      </c>
      <c r="J38" s="9" t="str">
        <v>Relocation</v>
      </c>
      <c r="K38" s="9" t="str">
        <v>No</v>
      </c>
      <c r="L38" s="9" t="str">
        <v>KAR/IND/RE/AB/008</v>
      </c>
      <c r="M38" s="9">
        <v>45614</v>
      </c>
      <c r="N38" s="9">
        <v>395000</v>
      </c>
      <c r="O38" s="9" t="str">
        <v>January</v>
      </c>
      <c r="P38" s="9" t="str">
        <v>January</v>
      </c>
      <c r="Q38" s="9">
        <v>1</v>
      </c>
      <c r="R38" s="9">
        <v>4513271995</v>
      </c>
      <c r="S38" s="9">
        <v>45664</v>
      </c>
      <c r="T38" s="9">
        <v>390000</v>
      </c>
      <c r="U38" s="9" t="str">
        <v>January</v>
      </c>
      <c r="V38" s="9">
        <v>5000</v>
      </c>
      <c r="W38" s="9">
        <v>0</v>
      </c>
      <c r="X38" s="9">
        <v>0</v>
      </c>
      <c r="Y38" s="9">
        <v>45901</v>
      </c>
    </row>
    <row r="39" spans="1:25">
      <c r="A39" s="9">
        <v>15</v>
      </c>
      <c r="B39" s="9">
        <v>45666</v>
      </c>
      <c r="C39" s="9" t="str">
        <v>Seco Tools India PVT LTD</v>
      </c>
      <c r="D39" s="9" t="str">
        <v>Pune</v>
      </c>
      <c r="E39" s="9" t="str">
        <v>Final Ins</v>
      </c>
      <c r="F39" s="9" t="str">
        <v>Arun kadam</v>
      </c>
      <c r="G39" s="9">
        <v>9552579436</v>
      </c>
      <c r="H39" s="9" t="str">
        <v>Arun.Kadam@secotools.com</v>
      </c>
      <c r="I39" s="9" t="str">
        <v>22005009/001</v>
      </c>
      <c r="J39" s="9" t="str">
        <v>Contract</v>
      </c>
      <c r="K39" s="9" t="str">
        <v>Yes</v>
      </c>
      <c r="L39" s="9" t="str">
        <v>KXIND/W/MC/AB24046</v>
      </c>
      <c r="M39" s="9">
        <v>45645</v>
      </c>
      <c r="N39" s="9">
        <v>55000</v>
      </c>
      <c r="O39" s="9" t="str">
        <v>January</v>
      </c>
      <c r="P39" s="9" t="str">
        <v>January</v>
      </c>
      <c r="Q39" s="9">
        <v>1</v>
      </c>
      <c r="R39" s="9">
        <v>10083147</v>
      </c>
      <c r="S39" s="9" t="str">
        <v>24/12/2025</v>
      </c>
      <c r="T39" s="9">
        <v>55000</v>
      </c>
      <c r="U39" s="9" t="str">
        <v>January</v>
      </c>
      <c r="V39" s="9">
        <v>0</v>
      </c>
      <c r="W39" s="9">
        <v>0</v>
      </c>
      <c r="X39" s="9">
        <v>0</v>
      </c>
      <c r="Y39" s="9">
        <v>0</v>
      </c>
    </row>
    <row r="40" spans="1:25">
      <c r="A40" s="9">
        <v>16</v>
      </c>
      <c r="B40" s="9">
        <v>45666</v>
      </c>
      <c r="C40" s="9" t="str">
        <v>Sandvik Coromant India Pvt Ltd</v>
      </c>
      <c r="D40" s="9" t="str">
        <v>pune</v>
      </c>
      <c r="E40" s="9" t="str">
        <v>Lapping</v>
      </c>
      <c r="F40" s="9" t="str">
        <v>Mahesh Ambawale</v>
      </c>
      <c r="G40" s="9">
        <v>9881379339</v>
      </c>
      <c r="H40" s="9" t="str">
        <v>mahesh.ambawale@sandvik.com</v>
      </c>
      <c r="I40" s="9" t="str">
        <v>17008268/001</v>
      </c>
      <c r="J40" s="9" t="str">
        <v>SPP</v>
      </c>
      <c r="K40" s="9" t="str">
        <v>Yes</v>
      </c>
      <c r="L40" s="9" t="str">
        <v>KRIND/W/SPP/AB24049</v>
      </c>
      <c r="M40" s="9">
        <v>45654</v>
      </c>
      <c r="N40" s="9">
        <v>156091</v>
      </c>
      <c r="O40" s="9" t="str">
        <v>January</v>
      </c>
      <c r="P40" s="9" t="str">
        <v>January</v>
      </c>
      <c r="Q40" s="9">
        <v>1</v>
      </c>
      <c r="R40" s="9">
        <v>4512110539</v>
      </c>
      <c r="S40" s="9" t="str">
        <v>20/01/2025</v>
      </c>
      <c r="T40" s="9">
        <v>151408</v>
      </c>
      <c r="U40" s="9" t="str">
        <v>January</v>
      </c>
      <c r="V40" s="9">
        <v>4683</v>
      </c>
      <c r="W40" s="9">
        <v>0</v>
      </c>
      <c r="X40" s="9">
        <v>0</v>
      </c>
      <c r="Y40" s="9" t="str">
        <v>29/1/2025</v>
      </c>
    </row>
    <row r="41" spans="1:25">
      <c r="A41" s="9">
        <v>17</v>
      </c>
      <c r="B41" s="9">
        <v>45666</v>
      </c>
      <c r="C41" s="9" t="str">
        <v>Wirtgen India Pvt.Ltd.</v>
      </c>
      <c r="D41" s="9" t="str">
        <v>Pune</v>
      </c>
      <c r="E41" s="9" t="str">
        <v>Stores</v>
      </c>
      <c r="F41" s="9" t="str">
        <v>Sagar Brijpuriya</v>
      </c>
      <c r="G41" s="9">
        <v>8956509715</v>
      </c>
      <c r="H41" s="9" t="str">
        <v>sagar.brijpuriya@wirtgen-group.com</v>
      </c>
      <c r="I41" s="9" t="str">
        <v>16004741/001</v>
      </c>
      <c r="J41" s="9" t="str">
        <v>Contract</v>
      </c>
      <c r="K41" s="9" t="str">
        <v>NO</v>
      </c>
      <c r="L41" s="9" t="str">
        <v>KXIND/W/MC/AB/25001</v>
      </c>
      <c r="M41" s="9">
        <v>45663</v>
      </c>
      <c r="N41" s="9">
        <v>67000</v>
      </c>
      <c r="O41" s="9" t="str">
        <v>January</v>
      </c>
      <c r="P41" s="9" t="str">
        <v>January</v>
      </c>
      <c r="Q41" s="9">
        <v>1</v>
      </c>
      <c r="R41" s="9">
        <v>4504516357</v>
      </c>
      <c r="S41" s="9">
        <v>45712</v>
      </c>
      <c r="T41" s="9">
        <v>65000</v>
      </c>
      <c r="U41" s="9" t="str">
        <v>February</v>
      </c>
      <c r="V41" s="9">
        <v>0</v>
      </c>
      <c r="W41" s="9">
        <v>0</v>
      </c>
      <c r="X41" s="9">
        <v>0</v>
      </c>
      <c r="Y41" s="9">
        <v>0</v>
      </c>
    </row>
    <row r="42" spans="1:25">
      <c r="A42" s="9">
        <v>17</v>
      </c>
      <c r="B42" s="9">
        <v>0</v>
      </c>
      <c r="C42" s="9" t="str">
        <v>Wirtgen India Pvt.Ltd.</v>
      </c>
      <c r="D42" s="9" t="str">
        <v>Pune</v>
      </c>
      <c r="E42" s="9" t="str">
        <v>Stores</v>
      </c>
      <c r="F42" s="9" t="str">
        <v>Sagar Brijpuriya</v>
      </c>
      <c r="G42" s="9">
        <v>8956509715</v>
      </c>
      <c r="H42" s="9" t="str">
        <v>sagar.brijpuriya@wirtgen-group.com</v>
      </c>
      <c r="I42" s="9" t="str">
        <v>16004741/002</v>
      </c>
      <c r="J42" s="9" t="str">
        <v>Contract</v>
      </c>
      <c r="K42" s="9" t="str">
        <v>NO</v>
      </c>
      <c r="L42" s="9" t="str">
        <v>KXIND/W/MC/AB/25001</v>
      </c>
      <c r="M42" s="9">
        <v>45663</v>
      </c>
      <c r="N42" s="9">
        <v>67000</v>
      </c>
      <c r="O42" s="9" t="str">
        <v>January</v>
      </c>
      <c r="P42" s="9" t="str">
        <v>February</v>
      </c>
      <c r="Q42" s="9">
        <v>1</v>
      </c>
      <c r="R42" s="9">
        <v>4504516357</v>
      </c>
      <c r="S42" s="9">
        <v>45712</v>
      </c>
      <c r="T42" s="9">
        <v>65000</v>
      </c>
      <c r="U42" s="9" t="str">
        <v>February</v>
      </c>
      <c r="V42" s="9">
        <v>0</v>
      </c>
      <c r="W42" s="9">
        <v>0</v>
      </c>
      <c r="X42" s="9">
        <v>0</v>
      </c>
      <c r="Y42" s="9">
        <v>0</v>
      </c>
    </row>
    <row r="43" spans="1:25">
      <c r="A43" s="9">
        <v>18</v>
      </c>
      <c r="B43" s="9">
        <v>45666</v>
      </c>
      <c r="C43" s="9" t="str">
        <v>Firmenich Aerometics I Pvt.ltd.</v>
      </c>
      <c r="D43" s="9" t="str">
        <v>Mumbai</v>
      </c>
      <c r="E43" s="9" t="str">
        <v>Flavours</v>
      </c>
      <c r="F43" s="9" t="str">
        <v>Utkarsh Kumar</v>
      </c>
      <c r="G43" s="9">
        <v>9004412241</v>
      </c>
      <c r="H43" s="9" t="str">
        <v>utkarsh.kumar@dsm-firmenich.com</v>
      </c>
      <c r="I43" s="9" t="str">
        <v>18007781/001</v>
      </c>
      <c r="J43" s="9" t="str">
        <v>Contract</v>
      </c>
      <c r="K43" s="9" t="str">
        <v>NO</v>
      </c>
      <c r="L43" s="9" t="str">
        <v>KXIND/W/MC/AB/25002</v>
      </c>
      <c r="M43" s="9">
        <v>45663</v>
      </c>
      <c r="N43" s="9">
        <v>58000</v>
      </c>
      <c r="O43" s="9" t="str">
        <v>January</v>
      </c>
      <c r="P43" s="9" t="str">
        <v>February</v>
      </c>
      <c r="Q43" s="9">
        <v>1</v>
      </c>
      <c r="R43" s="9">
        <v>3001029670</v>
      </c>
      <c r="S43" s="9">
        <v>45714</v>
      </c>
      <c r="T43" s="9">
        <v>58000</v>
      </c>
      <c r="U43" s="9" t="str">
        <v>February</v>
      </c>
      <c r="V43" s="9">
        <v>0</v>
      </c>
      <c r="W43" s="9">
        <v>0</v>
      </c>
      <c r="X43" s="9">
        <v>0</v>
      </c>
      <c r="Y43" s="9">
        <v>0</v>
      </c>
    </row>
    <row r="44" spans="1:25">
      <c r="A44" s="9">
        <v>18</v>
      </c>
      <c r="B44" s="9">
        <v>0</v>
      </c>
      <c r="C44" s="9" t="str">
        <v>Firmenich Aerometics I Pvt.ltd.</v>
      </c>
      <c r="D44" s="9" t="str">
        <v>Mumbai</v>
      </c>
      <c r="E44" s="9" t="str">
        <v>Flavours</v>
      </c>
      <c r="F44" s="9" t="str">
        <v>Utkarsh Kumar</v>
      </c>
      <c r="G44" s="9">
        <v>9004412241</v>
      </c>
      <c r="H44" s="9" t="str">
        <v>utkarsh.kumar@dsm-firmenich.com</v>
      </c>
      <c r="I44" s="9" t="str">
        <v>18007778/001</v>
      </c>
      <c r="J44" s="9" t="str">
        <v>Contract</v>
      </c>
      <c r="K44" s="9" t="str">
        <v>NO</v>
      </c>
      <c r="L44" s="9" t="str">
        <v>KXIND/W/MC/AB/25002</v>
      </c>
      <c r="M44" s="9">
        <v>45663</v>
      </c>
      <c r="N44" s="9">
        <v>58000</v>
      </c>
      <c r="O44" s="9" t="str">
        <v>January</v>
      </c>
      <c r="P44" s="9" t="str">
        <v>February</v>
      </c>
      <c r="Q44" s="9">
        <v>1</v>
      </c>
      <c r="R44" s="9">
        <v>3001029670</v>
      </c>
      <c r="S44" s="9">
        <v>45714</v>
      </c>
      <c r="T44" s="9">
        <v>58000</v>
      </c>
      <c r="U44" s="9" t="str">
        <v>February</v>
      </c>
      <c r="V44" s="9">
        <v>0</v>
      </c>
      <c r="W44" s="9">
        <v>0</v>
      </c>
      <c r="X44" s="9">
        <v>0</v>
      </c>
      <c r="Y44" s="9">
        <v>0</v>
      </c>
    </row>
    <row r="45" spans="1:25">
      <c r="A45" s="9">
        <v>18</v>
      </c>
      <c r="B45" s="9">
        <v>0</v>
      </c>
      <c r="C45" s="9" t="str">
        <v>Firmenich Aerometics I Pvt.ltd.</v>
      </c>
      <c r="D45" s="9" t="str">
        <v>Mumbai</v>
      </c>
      <c r="E45" s="9" t="str">
        <v>Flavours</v>
      </c>
      <c r="F45" s="9" t="str">
        <v>Utkarsh Kumar</v>
      </c>
      <c r="G45" s="9">
        <v>9004412241</v>
      </c>
      <c r="H45" s="9" t="str">
        <v>utkarsh.kumar@dsm-firmenich.com</v>
      </c>
      <c r="I45" s="9" t="str">
        <v>18007778/002</v>
      </c>
      <c r="J45" s="9" t="str">
        <v>Contract</v>
      </c>
      <c r="K45" s="9" t="str">
        <v>NO</v>
      </c>
      <c r="L45" s="9" t="str">
        <v>KXIND/W/MC/AB/25002</v>
      </c>
      <c r="M45" s="9">
        <v>45663</v>
      </c>
      <c r="N45" s="9">
        <v>58000</v>
      </c>
      <c r="O45" s="9" t="str">
        <v>January</v>
      </c>
      <c r="P45" s="9" t="str">
        <v>February</v>
      </c>
      <c r="Q45" s="9">
        <v>1</v>
      </c>
      <c r="R45" s="9">
        <v>3001029670</v>
      </c>
      <c r="S45" s="9">
        <v>45714</v>
      </c>
      <c r="T45" s="9">
        <v>58000</v>
      </c>
      <c r="U45" s="9" t="str">
        <v>February</v>
      </c>
      <c r="V45" s="9">
        <v>0</v>
      </c>
      <c r="W45" s="9">
        <v>0</v>
      </c>
      <c r="X45" s="9">
        <v>0</v>
      </c>
      <c r="Y45" s="9">
        <v>0</v>
      </c>
    </row>
    <row r="46" spans="1:25">
      <c r="A46" s="9">
        <v>19</v>
      </c>
      <c r="B46" s="9">
        <v>45666</v>
      </c>
      <c r="C46" s="9" t="str">
        <v>Bajaj Auto Ltd</v>
      </c>
      <c r="D46" s="9" t="str">
        <v>Pune</v>
      </c>
      <c r="E46" s="9" t="str">
        <v>Stores</v>
      </c>
      <c r="F46" s="9" t="str">
        <v>N R PAtil</v>
      </c>
      <c r="G46" s="9">
        <v>9890500449</v>
      </c>
      <c r="H46" s="9" t="str">
        <v>nrpatil@bajajauto.co.in</v>
      </c>
      <c r="I46" s="9" t="str">
        <v>04005026/001</v>
      </c>
      <c r="J46" s="9" t="str">
        <v>Contract</v>
      </c>
      <c r="K46" s="9" t="str">
        <v>No</v>
      </c>
      <c r="L46" s="9" t="str">
        <v>Old PO Ref</v>
      </c>
      <c r="M46" s="9">
        <v>45666</v>
      </c>
      <c r="N46" s="9">
        <v>45000</v>
      </c>
      <c r="O46" s="9" t="str">
        <v>January</v>
      </c>
      <c r="P46" s="9" t="str">
        <v>January</v>
      </c>
      <c r="Q46" s="9">
        <v>1</v>
      </c>
      <c r="R46" s="9">
        <v>7710025677</v>
      </c>
      <c r="S46" s="9">
        <v>45664</v>
      </c>
      <c r="T46" s="9">
        <v>45000</v>
      </c>
      <c r="U46" s="9" t="str">
        <v>January</v>
      </c>
      <c r="V46" s="9">
        <v>0</v>
      </c>
      <c r="W46" s="9">
        <v>0</v>
      </c>
      <c r="X46" s="9">
        <v>0</v>
      </c>
      <c r="Y46" s="9" t="str">
        <v>31/1/2025</v>
      </c>
    </row>
    <row r="47" spans="1:25">
      <c r="A47" s="9">
        <v>19</v>
      </c>
      <c r="B47" s="9">
        <v>0</v>
      </c>
      <c r="C47" s="9" t="str">
        <v>Bajaj Auto Ltd</v>
      </c>
      <c r="D47" s="9" t="str">
        <v>Pune</v>
      </c>
      <c r="E47" s="9" t="str">
        <v>Stores</v>
      </c>
      <c r="F47" s="9" t="str">
        <v>N R PAtil</v>
      </c>
      <c r="G47" s="9">
        <v>9890500449</v>
      </c>
      <c r="H47" s="9" t="str">
        <v>nrpatil@bajajauto.co.in</v>
      </c>
      <c r="I47" s="9" t="str">
        <v>04005026/002</v>
      </c>
      <c r="J47" s="9" t="str">
        <v>Contract</v>
      </c>
      <c r="K47" s="9" t="str">
        <v>No</v>
      </c>
      <c r="L47" s="9" t="str">
        <v>Old PO Ref</v>
      </c>
      <c r="M47" s="9">
        <v>45666</v>
      </c>
      <c r="N47" s="9">
        <v>45000</v>
      </c>
      <c r="O47" s="9" t="str">
        <v>January</v>
      </c>
      <c r="P47" s="9" t="str">
        <v>January</v>
      </c>
      <c r="Q47" s="9">
        <v>1</v>
      </c>
      <c r="R47" s="9">
        <v>7710025677</v>
      </c>
      <c r="S47" s="9">
        <v>45664</v>
      </c>
      <c r="T47" s="9">
        <v>45000</v>
      </c>
      <c r="U47" s="9" t="str">
        <v>January</v>
      </c>
      <c r="V47" s="9">
        <v>0</v>
      </c>
      <c r="W47" s="9">
        <v>0</v>
      </c>
      <c r="X47" s="9">
        <v>0</v>
      </c>
      <c r="Y47" s="9" t="str">
        <v>31/1/2025</v>
      </c>
    </row>
    <row r="48" spans="1:25">
      <c r="A48" s="9">
        <v>19</v>
      </c>
      <c r="B48" s="9">
        <v>0</v>
      </c>
      <c r="C48" s="9" t="str">
        <v>Bajaj Auto Ltd</v>
      </c>
      <c r="D48" s="9" t="str">
        <v>Pune</v>
      </c>
      <c r="E48" s="9" t="str">
        <v>Stores</v>
      </c>
      <c r="F48" s="9" t="str">
        <v>N R PAtil</v>
      </c>
      <c r="G48" s="9">
        <v>9890500449</v>
      </c>
      <c r="H48" s="9" t="str">
        <v>nrpatil@bajajauto.co.in</v>
      </c>
      <c r="I48" s="9" t="str">
        <v>04005017/001</v>
      </c>
      <c r="J48" s="9" t="str">
        <v>Contract</v>
      </c>
      <c r="K48" s="9" t="str">
        <v>No</v>
      </c>
      <c r="L48" s="9" t="str">
        <v>Old PO Ref</v>
      </c>
      <c r="M48" s="9">
        <v>45666</v>
      </c>
      <c r="N48" s="9">
        <v>45000</v>
      </c>
      <c r="O48" s="9" t="str">
        <v>January</v>
      </c>
      <c r="P48" s="9" t="str">
        <v>January</v>
      </c>
      <c r="Q48" s="9">
        <v>1</v>
      </c>
      <c r="R48" s="9">
        <v>7710025677</v>
      </c>
      <c r="S48" s="9">
        <v>45664</v>
      </c>
      <c r="T48" s="9">
        <v>45000</v>
      </c>
      <c r="U48" s="9" t="str">
        <v>January</v>
      </c>
      <c r="V48" s="9">
        <v>0</v>
      </c>
      <c r="W48" s="9">
        <v>0</v>
      </c>
      <c r="X48" s="9">
        <v>0</v>
      </c>
      <c r="Y48" s="9" t="str">
        <v>31/1/2025</v>
      </c>
    </row>
    <row r="49" spans="1:25">
      <c r="A49" s="9">
        <v>19</v>
      </c>
      <c r="B49" s="9">
        <v>0</v>
      </c>
      <c r="C49" s="9" t="str">
        <v>Bajaj Auto Ltd</v>
      </c>
      <c r="D49" s="9" t="str">
        <v>Pune</v>
      </c>
      <c r="E49" s="9" t="str">
        <v>Stores</v>
      </c>
      <c r="F49" s="9" t="str">
        <v>N R PAtil</v>
      </c>
      <c r="G49" s="9">
        <v>9890500449</v>
      </c>
      <c r="H49" s="9" t="str">
        <v>nrpatil@bajajauto.co.in</v>
      </c>
      <c r="I49" s="9" t="str">
        <v>04005017/002</v>
      </c>
      <c r="J49" s="9" t="str">
        <v>Contract</v>
      </c>
      <c r="K49" s="9" t="str">
        <v>No</v>
      </c>
      <c r="L49" s="9" t="str">
        <v>Old PO Ref</v>
      </c>
      <c r="M49" s="9">
        <v>45666</v>
      </c>
      <c r="N49" s="9">
        <v>45000</v>
      </c>
      <c r="O49" s="9" t="str">
        <v>January</v>
      </c>
      <c r="P49" s="9" t="str">
        <v>January</v>
      </c>
      <c r="Q49" s="9">
        <v>1</v>
      </c>
      <c r="R49" s="9">
        <v>7710025677</v>
      </c>
      <c r="S49" s="9">
        <v>45664</v>
      </c>
      <c r="T49" s="9">
        <v>45000</v>
      </c>
      <c r="U49" s="9" t="str">
        <v>January</v>
      </c>
      <c r="V49" s="9">
        <v>0</v>
      </c>
      <c r="W49" s="9">
        <v>0</v>
      </c>
      <c r="X49" s="9">
        <v>0</v>
      </c>
      <c r="Y49" s="9" t="str">
        <v>31/1/2025</v>
      </c>
    </row>
    <row r="50" spans="1:25">
      <c r="A50" s="9">
        <v>19</v>
      </c>
      <c r="B50" s="9">
        <v>0</v>
      </c>
      <c r="C50" s="9" t="str">
        <v>Bajaj Auto Ltd</v>
      </c>
      <c r="D50" s="9" t="str">
        <v>Pune</v>
      </c>
      <c r="E50" s="9" t="str">
        <v>Stores</v>
      </c>
      <c r="F50" s="9" t="str">
        <v>N R PAtil</v>
      </c>
      <c r="G50" s="9">
        <v>9890500449</v>
      </c>
      <c r="H50" s="9" t="str">
        <v>nrpatil@bajajauto.co.in</v>
      </c>
      <c r="I50" s="9" t="str">
        <v>05007141/001</v>
      </c>
      <c r="J50" s="9" t="str">
        <v>Contract</v>
      </c>
      <c r="K50" s="9" t="str">
        <v>No</v>
      </c>
      <c r="L50" s="9" t="str">
        <v>Old PO Ref</v>
      </c>
      <c r="M50" s="9">
        <v>45666</v>
      </c>
      <c r="N50" s="9">
        <v>45000</v>
      </c>
      <c r="O50" s="9" t="str">
        <v>January</v>
      </c>
      <c r="P50" s="9" t="str">
        <v>January</v>
      </c>
      <c r="Q50" s="9">
        <v>1</v>
      </c>
      <c r="R50" s="9">
        <v>7710025677</v>
      </c>
      <c r="S50" s="9">
        <v>45664</v>
      </c>
      <c r="T50" s="9">
        <v>45000</v>
      </c>
      <c r="U50" s="9" t="str">
        <v>January</v>
      </c>
      <c r="V50" s="9">
        <v>0</v>
      </c>
      <c r="W50" s="9">
        <v>0</v>
      </c>
      <c r="X50" s="9">
        <v>0</v>
      </c>
      <c r="Y50" s="9" t="str">
        <v>31/1/2025</v>
      </c>
    </row>
    <row r="51" spans="1:25">
      <c r="A51" s="9">
        <v>19</v>
      </c>
      <c r="B51" s="9">
        <v>0</v>
      </c>
      <c r="C51" s="9" t="str">
        <v>Bajaj Auto Ltd</v>
      </c>
      <c r="D51" s="9" t="str">
        <v>Pune</v>
      </c>
      <c r="E51" s="9" t="str">
        <v>Stores</v>
      </c>
      <c r="F51" s="9" t="str">
        <v>N R PAtil</v>
      </c>
      <c r="G51" s="9">
        <v>9890500449</v>
      </c>
      <c r="H51" s="9" t="str">
        <v>nrpatil@bajajauto.co.in</v>
      </c>
      <c r="I51" s="9" t="str">
        <v>12002374/001</v>
      </c>
      <c r="J51" s="9" t="str">
        <v>Contract</v>
      </c>
      <c r="K51" s="9" t="str">
        <v>No</v>
      </c>
      <c r="L51" s="9" t="str">
        <v>Old PO Ref</v>
      </c>
      <c r="M51" s="9">
        <v>45666</v>
      </c>
      <c r="N51" s="9">
        <v>45000</v>
      </c>
      <c r="O51" s="9" t="str">
        <v>January</v>
      </c>
      <c r="P51" s="9" t="str">
        <v>January</v>
      </c>
      <c r="Q51" s="9">
        <v>1</v>
      </c>
      <c r="R51" s="9">
        <v>7710025677</v>
      </c>
      <c r="S51" s="9">
        <v>45664</v>
      </c>
      <c r="T51" s="9">
        <v>45000</v>
      </c>
      <c r="U51" s="9" t="str">
        <v>January</v>
      </c>
      <c r="V51" s="9">
        <v>0</v>
      </c>
      <c r="W51" s="9">
        <v>0</v>
      </c>
      <c r="X51" s="9">
        <v>0</v>
      </c>
      <c r="Y51" s="9" t="str">
        <v>31/1/2025</v>
      </c>
    </row>
    <row r="52" spans="1:25">
      <c r="A52" s="9">
        <v>19</v>
      </c>
      <c r="B52" s="9">
        <v>0</v>
      </c>
      <c r="C52" s="9" t="str">
        <v>Bajaj Auto Ltd</v>
      </c>
      <c r="D52" s="9" t="str">
        <v>Pune</v>
      </c>
      <c r="E52" s="9" t="str">
        <v>Stores</v>
      </c>
      <c r="F52" s="9" t="str">
        <v>N R PAtil</v>
      </c>
      <c r="G52" s="9">
        <v>9890500449</v>
      </c>
      <c r="H52" s="9" t="str">
        <v>nrpatil@bajajauto.co.in</v>
      </c>
      <c r="I52" s="9" t="str">
        <v>05007142/001</v>
      </c>
      <c r="J52" s="9" t="str">
        <v>Contract</v>
      </c>
      <c r="K52" s="9" t="str">
        <v>No</v>
      </c>
      <c r="L52" s="9" t="str">
        <v>Old PO Ref</v>
      </c>
      <c r="M52" s="9">
        <v>45666</v>
      </c>
      <c r="N52" s="9">
        <v>45000</v>
      </c>
      <c r="O52" s="9" t="str">
        <v>January</v>
      </c>
      <c r="P52" s="9" t="str">
        <v>January</v>
      </c>
      <c r="Q52" s="9">
        <v>1</v>
      </c>
      <c r="R52" s="9">
        <v>7710025677</v>
      </c>
      <c r="S52" s="9">
        <v>45664</v>
      </c>
      <c r="T52" s="9">
        <v>45000</v>
      </c>
      <c r="U52" s="9" t="str">
        <v>January</v>
      </c>
      <c r="V52" s="9">
        <v>0</v>
      </c>
      <c r="W52" s="9">
        <v>0</v>
      </c>
      <c r="X52" s="9">
        <v>0</v>
      </c>
      <c r="Y52" s="9" t="str">
        <v>31/1/2025</v>
      </c>
    </row>
    <row r="53" spans="1:25">
      <c r="A53" s="9">
        <v>19</v>
      </c>
      <c r="B53" s="9">
        <v>0</v>
      </c>
      <c r="C53" s="9" t="str">
        <v>Bajaj Auto Ltd</v>
      </c>
      <c r="D53" s="9" t="str">
        <v>Pune</v>
      </c>
      <c r="E53" s="9" t="str">
        <v>Stores</v>
      </c>
      <c r="F53" s="9" t="str">
        <v>N R PAtil</v>
      </c>
      <c r="G53" s="9">
        <v>9890500449</v>
      </c>
      <c r="H53" s="9" t="str">
        <v>nrpatil@bajajauto.co.in</v>
      </c>
      <c r="I53" s="9" t="str">
        <v>12002320/001</v>
      </c>
      <c r="J53" s="9" t="str">
        <v>Contract</v>
      </c>
      <c r="K53" s="9" t="str">
        <v>No</v>
      </c>
      <c r="L53" s="9" t="str">
        <v>Old PO Ref</v>
      </c>
      <c r="M53" s="9">
        <v>45666</v>
      </c>
      <c r="N53" s="9">
        <v>45000</v>
      </c>
      <c r="O53" s="9" t="str">
        <v>January</v>
      </c>
      <c r="P53" s="9" t="str">
        <v>January</v>
      </c>
      <c r="Q53" s="9">
        <v>1</v>
      </c>
      <c r="R53" s="9">
        <v>7710025677</v>
      </c>
      <c r="S53" s="9">
        <v>45664</v>
      </c>
      <c r="T53" s="9">
        <v>45000</v>
      </c>
      <c r="U53" s="9" t="str">
        <v>January</v>
      </c>
      <c r="V53" s="9">
        <v>0</v>
      </c>
      <c r="W53" s="9">
        <v>0</v>
      </c>
      <c r="X53" s="9">
        <v>0</v>
      </c>
      <c r="Y53" s="9" t="str">
        <v>31/1/2025</v>
      </c>
    </row>
    <row r="54" spans="1:25">
      <c r="A54" s="9">
        <v>19</v>
      </c>
      <c r="B54" s="9">
        <v>0</v>
      </c>
      <c r="C54" s="9" t="str">
        <v>Bajaj Auto Ltd</v>
      </c>
      <c r="D54" s="9" t="str">
        <v>Pune</v>
      </c>
      <c r="E54" s="9" t="str">
        <v>Stores</v>
      </c>
      <c r="F54" s="9" t="str">
        <v>N R PAtil</v>
      </c>
      <c r="G54" s="9">
        <v>9890500449</v>
      </c>
      <c r="H54" s="9" t="str">
        <v>nrpatil@bajajauto.co.in</v>
      </c>
      <c r="I54" s="9" t="str">
        <v>12002279/001</v>
      </c>
      <c r="J54" s="9" t="str">
        <v>Contract</v>
      </c>
      <c r="K54" s="9" t="str">
        <v>No</v>
      </c>
      <c r="L54" s="9" t="str">
        <v>Old PO Ref</v>
      </c>
      <c r="M54" s="9">
        <v>45666</v>
      </c>
      <c r="N54" s="9">
        <v>45000</v>
      </c>
      <c r="O54" s="9" t="str">
        <v>January</v>
      </c>
      <c r="P54" s="9" t="str">
        <v>January</v>
      </c>
      <c r="Q54" s="9">
        <v>1</v>
      </c>
      <c r="R54" s="9">
        <v>7710025677</v>
      </c>
      <c r="S54" s="9">
        <v>45664</v>
      </c>
      <c r="T54" s="9">
        <v>45000</v>
      </c>
      <c r="U54" s="9" t="str">
        <v>January</v>
      </c>
      <c r="V54" s="9">
        <v>0</v>
      </c>
      <c r="W54" s="9">
        <v>0</v>
      </c>
      <c r="X54" s="9">
        <v>0</v>
      </c>
      <c r="Y54" s="9" t="str">
        <v>31/1/2025</v>
      </c>
    </row>
    <row r="55" spans="1:25">
      <c r="A55" s="9">
        <v>19</v>
      </c>
      <c r="B55" s="9">
        <v>0</v>
      </c>
      <c r="C55" s="9" t="str">
        <v>Bajaj Auto Ltd</v>
      </c>
      <c r="D55" s="9" t="str">
        <v>Pune</v>
      </c>
      <c r="E55" s="9" t="str">
        <v>Stores</v>
      </c>
      <c r="F55" s="9" t="str">
        <v>N R PAtil</v>
      </c>
      <c r="G55" s="9">
        <v>9890500449</v>
      </c>
      <c r="H55" s="9" t="str">
        <v>nrpatil@bajajauto.co.in</v>
      </c>
      <c r="I55" s="9" t="str">
        <v>12002280/001</v>
      </c>
      <c r="J55" s="9" t="str">
        <v>Contract</v>
      </c>
      <c r="K55" s="9" t="str">
        <v>No</v>
      </c>
      <c r="L55" s="9" t="str">
        <v>Old PO Ref</v>
      </c>
      <c r="M55" s="9">
        <v>45666</v>
      </c>
      <c r="N55" s="9">
        <v>45000</v>
      </c>
      <c r="O55" s="9" t="str">
        <v>January</v>
      </c>
      <c r="P55" s="9" t="str">
        <v>January</v>
      </c>
      <c r="Q55" s="9">
        <v>1</v>
      </c>
      <c r="R55" s="9">
        <v>7710025677</v>
      </c>
      <c r="S55" s="9">
        <v>45664</v>
      </c>
      <c r="T55" s="9">
        <v>45000</v>
      </c>
      <c r="U55" s="9" t="str">
        <v>January</v>
      </c>
      <c r="V55" s="9">
        <v>0</v>
      </c>
      <c r="W55" s="9">
        <v>0</v>
      </c>
      <c r="X55" s="9">
        <v>0</v>
      </c>
      <c r="Y55" s="9" t="str">
        <v>31/1/2025</v>
      </c>
    </row>
    <row r="56" spans="1:25">
      <c r="A56" s="9">
        <v>20</v>
      </c>
      <c r="B56" s="9">
        <v>45666</v>
      </c>
      <c r="C56" s="9" t="str">
        <v xml:space="preserve">Bharat Bijlee Ltd </v>
      </c>
      <c r="D56" s="9" t="str">
        <v>Mumbai</v>
      </c>
      <c r="E56" s="9" t="str">
        <v>stores</v>
      </c>
      <c r="F56" s="9" t="str">
        <v>sachin Lad</v>
      </c>
      <c r="G56" s="9">
        <v>9833236099</v>
      </c>
      <c r="H56" s="9" t="str">
        <v>Sachin.Lad@bharatbijlee.com</v>
      </c>
      <c r="I56" s="9" t="str">
        <v>11001977/001</v>
      </c>
      <c r="J56" s="9" t="str">
        <v>SPP</v>
      </c>
      <c r="K56" s="9" t="str">
        <v>Yes</v>
      </c>
      <c r="L56" s="9" t="str">
        <v> KRIND/W/SPP/AB240027</v>
      </c>
      <c r="M56" s="9">
        <v>45444</v>
      </c>
      <c r="N56" s="9">
        <v>295000</v>
      </c>
      <c r="O56" s="9" t="str">
        <v>January</v>
      </c>
      <c r="P56" s="9" t="str">
        <v>January</v>
      </c>
      <c r="Q56" s="9">
        <v>1</v>
      </c>
      <c r="R56" s="9" t="str">
        <v>3000004978 &amp; 5000015774</v>
      </c>
      <c r="S56" s="9">
        <v>45668</v>
      </c>
      <c r="T56" s="9">
        <v>292000</v>
      </c>
      <c r="U56" s="9" t="str">
        <v>January</v>
      </c>
      <c r="V56" s="9">
        <v>3000</v>
      </c>
      <c r="W56" s="9">
        <v>0</v>
      </c>
      <c r="X56" s="9">
        <v>0</v>
      </c>
      <c r="Y56" s="9">
        <v>0</v>
      </c>
    </row>
    <row r="57" spans="1:25">
      <c r="A57" s="9">
        <v>21</v>
      </c>
      <c r="B57" s="9">
        <v>45666</v>
      </c>
      <c r="C57" s="9" t="str">
        <v>Cummins Technologis India Pvt Ltd</v>
      </c>
      <c r="D57" s="9" t="str">
        <v>Pune</v>
      </c>
      <c r="E57" s="9" t="str">
        <v>PCP1</v>
      </c>
      <c r="F57" s="9" t="str">
        <v>Bapu Shinde</v>
      </c>
      <c r="G57" s="9">
        <v>9922560304</v>
      </c>
      <c r="H57" s="9" t="str">
        <v>bapu.b.shinde@cummins.com</v>
      </c>
      <c r="I57" s="9" t="str">
        <v>16005685/001</v>
      </c>
      <c r="J57" s="9" t="str">
        <v>Contract</v>
      </c>
      <c r="K57" s="9" t="str">
        <v>NO</v>
      </c>
      <c r="L57" s="9" t="str">
        <v>KRIND/W/MC/AB24049</v>
      </c>
      <c r="M57" s="9">
        <v>45656</v>
      </c>
      <c r="N57" s="9">
        <v>80000</v>
      </c>
      <c r="O57" s="9" t="str">
        <v>January</v>
      </c>
      <c r="P57" s="9" t="str">
        <v>February</v>
      </c>
      <c r="Q57" s="9">
        <v>1</v>
      </c>
      <c r="R57" s="9" t="str">
        <v>IND8022852</v>
      </c>
      <c r="S57" s="9">
        <v>45696</v>
      </c>
      <c r="T57" s="9">
        <v>80000</v>
      </c>
      <c r="U57" s="9" t="str">
        <v>February</v>
      </c>
      <c r="V57" s="9">
        <v>0</v>
      </c>
      <c r="W57" s="9">
        <v>0</v>
      </c>
      <c r="X57" s="9">
        <v>0</v>
      </c>
      <c r="Y57" s="9">
        <v>0</v>
      </c>
    </row>
    <row r="58" spans="1:25">
      <c r="A58" s="9">
        <v>21</v>
      </c>
      <c r="B58" s="9">
        <v>0</v>
      </c>
      <c r="C58" s="9" t="str">
        <v>Cummins Technologis India Pvt Ltd</v>
      </c>
      <c r="D58" s="9" t="str">
        <v>Pune</v>
      </c>
      <c r="E58" s="9" t="str">
        <v>PCP1</v>
      </c>
      <c r="F58" s="9" t="str">
        <v>Bapu Shinde</v>
      </c>
      <c r="G58" s="9">
        <v>9922560304</v>
      </c>
      <c r="H58" s="9" t="str">
        <v>bapu.b.shinde@cummins.com</v>
      </c>
      <c r="I58" s="9" t="str">
        <v>19002965/001</v>
      </c>
      <c r="J58" s="9" t="str">
        <v>Contract</v>
      </c>
      <c r="K58" s="9" t="str">
        <v>YES</v>
      </c>
      <c r="L58" s="9" t="str">
        <v>KRIND/W/MC/AB24049</v>
      </c>
      <c r="M58" s="9">
        <v>45656</v>
      </c>
      <c r="N58" s="9">
        <v>80000</v>
      </c>
      <c r="O58" s="9" t="str">
        <v>January</v>
      </c>
      <c r="P58" s="9" t="str">
        <v>February</v>
      </c>
      <c r="Q58" s="9">
        <v>1</v>
      </c>
      <c r="R58" s="9" t="str">
        <v>IND8022852</v>
      </c>
      <c r="S58" s="9">
        <v>45696</v>
      </c>
      <c r="T58" s="9">
        <v>80000</v>
      </c>
      <c r="U58" s="9" t="str">
        <v>February</v>
      </c>
      <c r="V58" s="9">
        <v>0</v>
      </c>
      <c r="W58" s="9">
        <v>0</v>
      </c>
      <c r="X58" s="9">
        <v>0</v>
      </c>
      <c r="Y58" s="9">
        <v>0</v>
      </c>
    </row>
    <row r="59" spans="1:25">
      <c r="A59" s="9">
        <v>21</v>
      </c>
      <c r="B59" s="9">
        <v>0</v>
      </c>
      <c r="C59" s="9" t="str">
        <v>Cummins Technologis India Pvt Ltd</v>
      </c>
      <c r="D59" s="9" t="str">
        <v>Pune</v>
      </c>
      <c r="E59" s="9" t="str">
        <v>PCP1</v>
      </c>
      <c r="F59" s="9" t="str">
        <v>Bapu Shinde</v>
      </c>
      <c r="G59" s="9">
        <v>9922560304</v>
      </c>
      <c r="H59" s="9" t="str">
        <v>bapu.b.shinde@cummins.com</v>
      </c>
      <c r="I59" s="9" t="str">
        <v>18007324/001</v>
      </c>
      <c r="J59" s="9" t="str">
        <v>Contract</v>
      </c>
      <c r="K59" s="9" t="str">
        <v>NO</v>
      </c>
      <c r="L59" s="9" t="str">
        <v>KRIND/W/MC/AB24049</v>
      </c>
      <c r="M59" s="9">
        <v>45656</v>
      </c>
      <c r="N59" s="9">
        <v>0</v>
      </c>
      <c r="O59" s="9" t="str">
        <v>January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</row>
    <row r="60" spans="1:25">
      <c r="A60" s="9">
        <v>22</v>
      </c>
      <c r="B60" s="9">
        <v>45666</v>
      </c>
      <c r="C60" s="9" t="str">
        <v>Seco Tools India PVT LTD</v>
      </c>
      <c r="D60" s="9" t="str">
        <v>Pune</v>
      </c>
      <c r="E60" s="9" t="str">
        <v>IGS</v>
      </c>
      <c r="F60" s="9" t="str">
        <v>Rohida Adawale</v>
      </c>
      <c r="G60" s="9">
        <v>0</v>
      </c>
      <c r="H60" s="9" t="str">
        <v>Rohidas.Adawale@secotools.com</v>
      </c>
      <c r="I60" s="9" t="str">
        <v>11010645/001</v>
      </c>
      <c r="J60" s="9" t="str">
        <v>SPP</v>
      </c>
      <c r="K60" s="9" t="str">
        <v>YES</v>
      </c>
      <c r="L60" s="9" t="str">
        <v>KRIND/W/SPP/AB24031</v>
      </c>
      <c r="M60" s="9">
        <v>45504</v>
      </c>
      <c r="N60" s="9">
        <v>71040</v>
      </c>
      <c r="O60" s="9" t="str">
        <v>January</v>
      </c>
      <c r="P60" s="9" t="str">
        <v>January</v>
      </c>
      <c r="Q60" s="9">
        <v>1</v>
      </c>
      <c r="R60" s="9">
        <v>6620501</v>
      </c>
      <c r="S60" s="9">
        <v>45661</v>
      </c>
      <c r="T60" s="9">
        <v>71040</v>
      </c>
      <c r="U60" s="9" t="str">
        <v>January</v>
      </c>
      <c r="V60" s="9">
        <v>0</v>
      </c>
      <c r="W60" s="9">
        <v>0</v>
      </c>
      <c r="X60" s="9">
        <v>0</v>
      </c>
      <c r="Y60" s="9" t="str">
        <v>17/1/2025</v>
      </c>
    </row>
    <row r="61" spans="1:25">
      <c r="A61" s="9">
        <v>23</v>
      </c>
      <c r="B61" s="9">
        <v>45666</v>
      </c>
      <c r="C61" s="9" t="str">
        <v>GE India Industrial Pvt.Ltd.</v>
      </c>
      <c r="D61" s="9" t="str">
        <v>Pune</v>
      </c>
      <c r="E61" s="9" t="str">
        <v>Tool Room</v>
      </c>
      <c r="F61" s="9" t="str">
        <v>Pravin Gaikwad</v>
      </c>
      <c r="G61" s="9">
        <v>9689348228</v>
      </c>
      <c r="H61" s="9" t="str">
        <v>pravin.gaikwad@ge.com</v>
      </c>
      <c r="I61" s="9" t="str">
        <v>16004510/001</v>
      </c>
      <c r="J61" s="9" t="str">
        <v>SPP</v>
      </c>
      <c r="K61" s="9" t="str">
        <v>Yes</v>
      </c>
      <c r="L61" s="9" t="str">
        <v>KRIND/W/SPP/AB/25001</v>
      </c>
      <c r="M61" s="9">
        <v>45666</v>
      </c>
      <c r="N61" s="9">
        <v>446525</v>
      </c>
      <c r="O61" s="9" t="str">
        <v>January</v>
      </c>
      <c r="P61" s="9" t="str">
        <v>June</v>
      </c>
      <c r="Q61" s="9">
        <v>1</v>
      </c>
      <c r="R61" s="9">
        <v>2008042</v>
      </c>
      <c r="S61" s="9">
        <v>45804</v>
      </c>
      <c r="T61" s="9">
        <v>1151200</v>
      </c>
      <c r="U61" s="9" t="str">
        <v>June</v>
      </c>
      <c r="V61" s="9">
        <v>0</v>
      </c>
      <c r="W61" s="9">
        <v>0</v>
      </c>
      <c r="X61" s="9" t="str">
        <v xml:space="preserve">final discount has been extended. </v>
      </c>
      <c r="Y61" s="9">
        <v>0</v>
      </c>
    </row>
    <row r="62" spans="1:25">
      <c r="A62" s="9">
        <v>24</v>
      </c>
      <c r="B62" s="9">
        <v>45668</v>
      </c>
      <c r="C62" s="9" t="str">
        <v xml:space="preserve">KSB Pumps LTD </v>
      </c>
      <c r="D62" s="9" t="str">
        <v>Chinchwad</v>
      </c>
      <c r="E62" s="9" t="str">
        <v>Stores</v>
      </c>
      <c r="F62" s="9" t="str">
        <v>Navnath Tarade</v>
      </c>
      <c r="G62" s="9">
        <v>0</v>
      </c>
      <c r="H62" s="9" t="str">
        <v>Navnath.Tarade@ksb.com</v>
      </c>
      <c r="I62" s="9" t="str">
        <v>01004097/001</v>
      </c>
      <c r="J62" s="9" t="str">
        <v>Midlife Upgrade</v>
      </c>
      <c r="K62" s="9" t="str">
        <v>Yes</v>
      </c>
      <c r="L62" s="9" t="str">
        <v>KRIND/W/SPP/AB/25002</v>
      </c>
      <c r="M62" s="9">
        <v>45668</v>
      </c>
      <c r="N62" s="9">
        <v>188390</v>
      </c>
      <c r="O62" s="9" t="str">
        <v>January</v>
      </c>
      <c r="P62" s="9" t="str">
        <v>December</v>
      </c>
      <c r="Q62" s="9">
        <v>0.5</v>
      </c>
      <c r="R62" s="9">
        <v>0</v>
      </c>
      <c r="S62" s="9">
        <v>0</v>
      </c>
      <c r="T62" s="9">
        <v>0</v>
      </c>
      <c r="U62" s="9">
        <v>0</v>
      </c>
      <c r="V62" s="9">
        <v>188390</v>
      </c>
      <c r="W62" s="9">
        <v>0</v>
      </c>
      <c r="X62" s="9" t="str">
        <v>budgeted in april</v>
      </c>
      <c r="Y62" s="9">
        <v>0</v>
      </c>
    </row>
    <row r="63" spans="1:25">
      <c r="A63" s="9">
        <v>25</v>
      </c>
      <c r="B63" s="9">
        <v>45667</v>
      </c>
      <c r="C63" s="9" t="str">
        <v xml:space="preserve">KSB Pumps LTD </v>
      </c>
      <c r="D63" s="9" t="str">
        <v>Pimpri</v>
      </c>
      <c r="E63" s="9" t="str">
        <v>Stores</v>
      </c>
      <c r="F63" s="9" t="str">
        <v>Sarang Budale</v>
      </c>
      <c r="G63" s="9">
        <v>9763858155</v>
      </c>
      <c r="H63" s="9" t="str">
        <v>Sarang.Budale@ksb.com</v>
      </c>
      <c r="I63" s="9" t="str">
        <v>14005057/001</v>
      </c>
      <c r="J63" s="9" t="str">
        <v>SPP</v>
      </c>
      <c r="K63" s="9" t="str">
        <v>Yes</v>
      </c>
      <c r="L63" s="9" t="str">
        <v>KRIND/W/SPP/AB/25003</v>
      </c>
      <c r="M63" s="9">
        <v>45667</v>
      </c>
      <c r="N63" s="9">
        <v>837400</v>
      </c>
      <c r="O63" s="9" t="str">
        <v>January</v>
      </c>
      <c r="P63" s="9" t="str">
        <v>July</v>
      </c>
      <c r="Q63" s="9">
        <v>1</v>
      </c>
      <c r="R63" s="9">
        <v>4507602012</v>
      </c>
      <c r="S63" s="9" t="str">
        <v>10.7.2025</v>
      </c>
      <c r="T63" s="9">
        <v>664608</v>
      </c>
      <c r="U63" s="9" t="str">
        <v>July</v>
      </c>
      <c r="V63" s="9">
        <v>0</v>
      </c>
      <c r="W63" s="9">
        <v>0</v>
      </c>
      <c r="X63" s="9">
        <v>0</v>
      </c>
      <c r="Y63" s="9">
        <v>0</v>
      </c>
    </row>
    <row r="64" spans="1:25">
      <c r="A64" s="9">
        <v>26</v>
      </c>
      <c r="B64" s="9">
        <v>45840</v>
      </c>
      <c r="C64" s="9" t="str">
        <v xml:space="preserve">KSB Pumps LTD </v>
      </c>
      <c r="D64" s="9" t="str">
        <v>shirwal</v>
      </c>
      <c r="E64" s="9" t="str">
        <v>Stores</v>
      </c>
      <c r="F64" s="9" t="str">
        <v>Sachine Pawar</v>
      </c>
      <c r="G64" s="9">
        <v>9822412607</v>
      </c>
      <c r="H64" s="9" t="str">
        <v>sachin.pawar@ksb.com</v>
      </c>
      <c r="I64" s="9" t="str">
        <v>02002336/002</v>
      </c>
      <c r="J64" s="9" t="str">
        <v>SPP</v>
      </c>
      <c r="K64" s="9" t="str">
        <v>YES</v>
      </c>
      <c r="L64" s="9" t="str">
        <v>KRIND/W/SPP/AB/25005</v>
      </c>
      <c r="M64" s="9">
        <v>45840</v>
      </c>
      <c r="N64" s="9">
        <v>916358</v>
      </c>
      <c r="O64" s="9" t="str">
        <v>February</v>
      </c>
      <c r="P64" s="9" t="str">
        <v>June</v>
      </c>
      <c r="Q64" s="9">
        <v>1</v>
      </c>
      <c r="R64" s="9">
        <v>4507707924</v>
      </c>
      <c r="S64" s="9" t="str">
        <v>24/09/2025</v>
      </c>
      <c r="T64" s="9">
        <v>335717</v>
      </c>
      <c r="U64" s="9" t="str">
        <v>September</v>
      </c>
      <c r="V64" s="9">
        <v>0</v>
      </c>
      <c r="W64" s="9">
        <v>0</v>
      </c>
      <c r="X64" s="9">
        <v>0</v>
      </c>
      <c r="Y64" s="9">
        <v>0</v>
      </c>
    </row>
    <row r="65" spans="1:25">
      <c r="A65" s="9">
        <v>27</v>
      </c>
      <c r="B65" s="9">
        <v>45840</v>
      </c>
      <c r="C65" s="9" t="str">
        <v>Seco Tools India PVT LTD</v>
      </c>
      <c r="D65" s="9" t="str">
        <v>Pune</v>
      </c>
      <c r="E65" s="9" t="str">
        <v>Stores tool</v>
      </c>
      <c r="F65" s="9" t="str">
        <v>Amol Patil</v>
      </c>
      <c r="G65" s="9">
        <v>0</v>
      </c>
      <c r="H65" s="9" t="str">
        <v>amol.s.patil@secotools.com</v>
      </c>
      <c r="I65" s="9" t="str">
        <v>13001978/001</v>
      </c>
      <c r="J65" s="9" t="str">
        <v>SPP</v>
      </c>
      <c r="K65" s="9" t="str">
        <v>Yes</v>
      </c>
      <c r="L65" s="9" t="str">
        <v>KRIND/W/SPP/AB25006</v>
      </c>
      <c r="M65" s="9">
        <v>45840</v>
      </c>
      <c r="N65" s="9">
        <v>351591</v>
      </c>
      <c r="O65" s="9" t="str">
        <v>February</v>
      </c>
      <c r="P65" s="9" t="str">
        <v>December</v>
      </c>
      <c r="Q65" s="9">
        <v>0.5</v>
      </c>
      <c r="R65" s="9">
        <v>0</v>
      </c>
      <c r="S65" s="9">
        <v>0</v>
      </c>
      <c r="T65" s="9">
        <v>0</v>
      </c>
      <c r="U65" s="9">
        <v>0</v>
      </c>
      <c r="V65" s="9">
        <v>351591</v>
      </c>
      <c r="W65" s="9">
        <v>0</v>
      </c>
      <c r="X65" s="9">
        <v>0</v>
      </c>
      <c r="Y65" s="9">
        <v>0</v>
      </c>
    </row>
    <row r="66" spans="1:25">
      <c r="A66" s="9">
        <v>28</v>
      </c>
      <c r="B66" s="9">
        <v>45871</v>
      </c>
      <c r="C66" s="9" t="str">
        <v>Sandvik Coromant India Pvt Ltd</v>
      </c>
      <c r="D66" s="9" t="str">
        <v>pune</v>
      </c>
      <c r="E66" s="9" t="str">
        <v>Round Tools</v>
      </c>
      <c r="F66" s="9" t="str">
        <v>Sunny Rangire</v>
      </c>
      <c r="G66" s="9">
        <v>9860084034</v>
      </c>
      <c r="H66" s="9" t="str">
        <v>sunny.rangire@sandvik.com</v>
      </c>
      <c r="I66" s="9" t="str">
        <v>18005569/001</v>
      </c>
      <c r="J66" s="9" t="str">
        <v>SPP</v>
      </c>
      <c r="K66" s="9" t="str">
        <v>Yes</v>
      </c>
      <c r="L66" s="9" t="str">
        <v>KRIND/W/SPP/AB25007</v>
      </c>
      <c r="M66" s="9">
        <v>45696</v>
      </c>
      <c r="N66" s="9">
        <v>666014</v>
      </c>
      <c r="O66" s="9" t="str">
        <v>February</v>
      </c>
      <c r="P66" s="9" t="str">
        <v>March</v>
      </c>
      <c r="Q66" s="9">
        <v>1</v>
      </c>
      <c r="R66" s="9">
        <v>4512239733</v>
      </c>
      <c r="S66" s="9">
        <v>45707</v>
      </c>
      <c r="T66" s="9">
        <v>646033</v>
      </c>
      <c r="U66" s="9" t="str">
        <v>February</v>
      </c>
      <c r="V66" s="9">
        <v>0</v>
      </c>
      <c r="W66" s="9">
        <v>0</v>
      </c>
      <c r="X66" s="9">
        <v>0</v>
      </c>
      <c r="Y66" s="9">
        <v>0</v>
      </c>
    </row>
    <row r="67" spans="1:25">
      <c r="A67" s="9">
        <v>29</v>
      </c>
      <c r="B67" s="9">
        <v>45705</v>
      </c>
      <c r="C67" s="9" t="str">
        <v xml:space="preserve">Mahindra &amp; Mahindra LTD </v>
      </c>
      <c r="D67" s="9" t="str">
        <v>Mumbai</v>
      </c>
      <c r="E67" s="9" t="str">
        <v>FED</v>
      </c>
      <c r="F67" s="9" t="str">
        <v>Atul Patil.</v>
      </c>
      <c r="G67" s="9">
        <v>0</v>
      </c>
      <c r="H67" s="9" t="str">
        <v>patil.atul@mahindra.com</v>
      </c>
      <c r="I67" s="9" t="str">
        <v>17001696/001</v>
      </c>
      <c r="J67" s="9" t="str">
        <v>Contract</v>
      </c>
      <c r="K67" s="9" t="str">
        <v>No</v>
      </c>
      <c r="L67" s="9" t="str">
        <v>KRIND/W/MC/AB/250003</v>
      </c>
      <c r="M67" s="9">
        <v>45705</v>
      </c>
      <c r="N67" s="9">
        <v>68000</v>
      </c>
      <c r="O67" s="9" t="str">
        <v>February</v>
      </c>
      <c r="P67" s="9" t="str">
        <v>March</v>
      </c>
      <c r="Q67" s="9">
        <v>1</v>
      </c>
      <c r="R67" s="9" t="str">
        <v>ARP/3400771773</v>
      </c>
      <c r="S67" s="9">
        <v>45705</v>
      </c>
      <c r="T67" s="9">
        <v>68000</v>
      </c>
      <c r="U67" s="9" t="str">
        <v>March</v>
      </c>
      <c r="V67" s="9">
        <v>0</v>
      </c>
      <c r="W67" s="9">
        <v>0</v>
      </c>
      <c r="X67" s="9">
        <v>0</v>
      </c>
      <c r="Y67" s="9">
        <v>0</v>
      </c>
    </row>
    <row r="68" spans="1:25">
      <c r="A68" s="9">
        <v>30</v>
      </c>
      <c r="B68" s="9">
        <v>45705</v>
      </c>
      <c r="C68" s="9" t="str">
        <v>Sulzer Pumps India Pvt Ltd</v>
      </c>
      <c r="D68" s="9" t="str">
        <v>Mumbai</v>
      </c>
      <c r="E68" s="9" t="str">
        <v>Stores</v>
      </c>
      <c r="F68" s="9" t="str">
        <v>Anant.Ternikar</v>
      </c>
      <c r="G68" s="9">
        <v>9833345459</v>
      </c>
      <c r="H68" s="9" t="str">
        <v>Anant.Ternikar@sulzer.com</v>
      </c>
      <c r="I68" s="9">
        <v>102006834</v>
      </c>
      <c r="J68" s="9" t="str">
        <v>Contract</v>
      </c>
      <c r="K68" s="9" t="str">
        <v>No</v>
      </c>
      <c r="L68" s="9" t="str">
        <v>KRIND/W/MC/AB/250004</v>
      </c>
      <c r="M68" s="9">
        <v>45705</v>
      </c>
      <c r="N68" s="9">
        <v>74000</v>
      </c>
      <c r="O68" s="9" t="str">
        <v>February</v>
      </c>
      <c r="P68" s="9" t="str">
        <v>June</v>
      </c>
      <c r="Q68" s="9">
        <v>1</v>
      </c>
      <c r="R68" s="9">
        <v>4502348009</v>
      </c>
      <c r="S68" s="9">
        <v>45853</v>
      </c>
      <c r="T68" s="9">
        <v>432000</v>
      </c>
      <c r="U68" s="9" t="str">
        <v>July</v>
      </c>
      <c r="V68" s="9">
        <v>0</v>
      </c>
      <c r="W68" s="9">
        <v>0</v>
      </c>
      <c r="X68" s="9">
        <v>0</v>
      </c>
      <c r="Y68" s="9">
        <v>0</v>
      </c>
    </row>
    <row r="69" spans="1:25">
      <c r="A69" s="9">
        <v>30</v>
      </c>
      <c r="B69" s="9">
        <v>0</v>
      </c>
      <c r="C69" s="9" t="str">
        <v>Sulzer Pumps India Pvt Ltd</v>
      </c>
      <c r="D69" s="9" t="str">
        <v>Mumbai</v>
      </c>
      <c r="E69" s="9" t="str">
        <v>Stores</v>
      </c>
      <c r="F69" s="9" t="str">
        <v>Anant.Ternikar</v>
      </c>
      <c r="G69" s="9">
        <v>9833345459</v>
      </c>
      <c r="H69" s="9" t="str">
        <v>Anant.Ternikar@sulzer.com</v>
      </c>
      <c r="I69" s="9">
        <v>102006831</v>
      </c>
      <c r="J69" s="9" t="str">
        <v>Contract</v>
      </c>
      <c r="K69" s="9" t="str">
        <v>No</v>
      </c>
      <c r="L69" s="9" t="str">
        <v>KRIND/W/MC/AB/250004</v>
      </c>
      <c r="M69" s="9">
        <v>45705</v>
      </c>
      <c r="N69" s="9">
        <v>74000</v>
      </c>
      <c r="O69" s="9" t="str">
        <v>February</v>
      </c>
      <c r="P69" s="9" t="str">
        <v>June</v>
      </c>
      <c r="Q69" s="9">
        <v>1</v>
      </c>
      <c r="R69" s="9">
        <v>4502348009</v>
      </c>
      <c r="S69" s="9">
        <v>45853</v>
      </c>
      <c r="T69" s="9">
        <v>432000</v>
      </c>
      <c r="U69" s="9" t="str">
        <v>July</v>
      </c>
      <c r="V69" s="9">
        <v>0</v>
      </c>
      <c r="W69" s="9">
        <v>0</v>
      </c>
      <c r="X69" s="9">
        <v>0</v>
      </c>
      <c r="Y69" s="9">
        <v>0</v>
      </c>
    </row>
    <row r="70" spans="1:25">
      <c r="A70" s="9">
        <v>31</v>
      </c>
      <c r="B70" s="9">
        <v>45698</v>
      </c>
      <c r="C70" s="9" t="str">
        <v>Tata Cummins Pvt Ltd</v>
      </c>
      <c r="D70" s="9" t="str">
        <v>phaltan</v>
      </c>
      <c r="E70" s="9" t="str">
        <v>Stores</v>
      </c>
      <c r="F70" s="9" t="str">
        <v>vijay Pawar</v>
      </c>
      <c r="G70" s="9">
        <v>7796646965</v>
      </c>
      <c r="H70" s="9" t="str">
        <v>vijay.pawar@cummins.com</v>
      </c>
      <c r="I70" s="9" t="str">
        <v>10006286/001</v>
      </c>
      <c r="J70" s="9" t="str">
        <v>Contract</v>
      </c>
      <c r="K70" s="9" t="str">
        <v>No</v>
      </c>
      <c r="L70" s="9" t="str">
        <v>KRIND/W/MC/AB/250005</v>
      </c>
      <c r="M70" s="9">
        <v>45698</v>
      </c>
      <c r="N70" s="9">
        <v>80000</v>
      </c>
      <c r="O70" s="9" t="str">
        <v>February</v>
      </c>
      <c r="P70" s="9" t="str">
        <v>March</v>
      </c>
      <c r="Q70" s="9">
        <v>1</v>
      </c>
      <c r="R70" s="9">
        <v>50055662</v>
      </c>
      <c r="S70" s="9">
        <v>45743</v>
      </c>
      <c r="T70" s="9">
        <v>80000</v>
      </c>
      <c r="U70" s="9" t="str">
        <v>March</v>
      </c>
      <c r="V70" s="9">
        <v>0</v>
      </c>
      <c r="W70" s="9">
        <v>0</v>
      </c>
      <c r="X70" s="9">
        <v>0</v>
      </c>
      <c r="Y70" s="9">
        <v>0</v>
      </c>
    </row>
    <row r="71" spans="1:25">
      <c r="A71" s="9">
        <v>31</v>
      </c>
      <c r="B71" s="9">
        <v>0</v>
      </c>
      <c r="C71" s="9" t="str">
        <v>Tata Cummins Pvt Ltd</v>
      </c>
      <c r="D71" s="9" t="str">
        <v>phaltan</v>
      </c>
      <c r="E71" s="9" t="str">
        <v>Stores</v>
      </c>
      <c r="F71" s="9" t="str">
        <v>vijay Pawar</v>
      </c>
      <c r="G71" s="9">
        <v>7796646965</v>
      </c>
      <c r="H71" s="9" t="str">
        <v>vijay.pawar@cummins.com</v>
      </c>
      <c r="I71" s="9" t="str">
        <v>10006271/001</v>
      </c>
      <c r="J71" s="9" t="str">
        <v>Contract</v>
      </c>
      <c r="K71" s="9" t="str">
        <v>No</v>
      </c>
      <c r="L71" s="9" t="str">
        <v>KRIND/W/MC/AB/250005</v>
      </c>
      <c r="M71" s="9">
        <v>45698</v>
      </c>
      <c r="N71" s="9">
        <v>80000</v>
      </c>
      <c r="O71" s="9" t="str">
        <v>February</v>
      </c>
      <c r="P71" s="9" t="str">
        <v>March</v>
      </c>
      <c r="Q71" s="9">
        <v>1</v>
      </c>
      <c r="R71" s="9">
        <v>50055662</v>
      </c>
      <c r="S71" s="9">
        <v>45743</v>
      </c>
      <c r="T71" s="9">
        <v>80000</v>
      </c>
      <c r="U71" s="9" t="str">
        <v>March</v>
      </c>
      <c r="V71" s="9">
        <v>0</v>
      </c>
      <c r="W71" s="9">
        <v>0</v>
      </c>
      <c r="X71" s="9">
        <v>0</v>
      </c>
      <c r="Y71" s="9">
        <v>0</v>
      </c>
    </row>
    <row r="72" spans="1:25">
      <c r="A72" s="9">
        <v>31</v>
      </c>
      <c r="B72" s="9">
        <v>0</v>
      </c>
      <c r="C72" s="9" t="str">
        <v>Tata Cummins Pvt Ltd</v>
      </c>
      <c r="D72" s="9" t="str">
        <v>phaltan</v>
      </c>
      <c r="E72" s="9" t="str">
        <v>Stores</v>
      </c>
      <c r="F72" s="9" t="str">
        <v>vijay Pawar</v>
      </c>
      <c r="G72" s="9">
        <v>7796646965</v>
      </c>
      <c r="H72" s="9" t="str">
        <v>vijay.pawar@cummins.com</v>
      </c>
      <c r="I72" s="9" t="str">
        <v>10006464/001</v>
      </c>
      <c r="J72" s="9" t="str">
        <v>Contract</v>
      </c>
      <c r="K72" s="9" t="str">
        <v>No</v>
      </c>
      <c r="L72" s="9" t="str">
        <v>KRIND/W/MC/AB/250005</v>
      </c>
      <c r="M72" s="9">
        <v>45698</v>
      </c>
      <c r="N72" s="9">
        <v>45000</v>
      </c>
      <c r="O72" s="9" t="str">
        <v>February</v>
      </c>
      <c r="P72" s="9" t="str">
        <v>March</v>
      </c>
      <c r="Q72" s="9">
        <v>1</v>
      </c>
      <c r="R72" s="9">
        <v>50055662</v>
      </c>
      <c r="S72" s="9">
        <v>45743</v>
      </c>
      <c r="T72" s="9">
        <v>45000</v>
      </c>
      <c r="U72" s="9" t="str">
        <v>March</v>
      </c>
      <c r="V72" s="9">
        <v>0</v>
      </c>
      <c r="W72" s="9">
        <v>0</v>
      </c>
      <c r="X72" s="9">
        <v>0</v>
      </c>
      <c r="Y72" s="9">
        <v>0</v>
      </c>
    </row>
    <row r="73" spans="1:25">
      <c r="A73" s="9">
        <v>31</v>
      </c>
      <c r="B73" s="9">
        <v>0</v>
      </c>
      <c r="C73" s="9" t="str">
        <v>Tata Cummins Pvt Ltd</v>
      </c>
      <c r="D73" s="9" t="str">
        <v>phaltan</v>
      </c>
      <c r="E73" s="9" t="str">
        <v>Stores</v>
      </c>
      <c r="F73" s="9" t="str">
        <v>vijay Pawar</v>
      </c>
      <c r="G73" s="9">
        <v>7796646965</v>
      </c>
      <c r="H73" s="9" t="str">
        <v>vijay.pawar@cummins.com</v>
      </c>
      <c r="I73" s="9" t="str">
        <v>10006465/001</v>
      </c>
      <c r="J73" s="9" t="str">
        <v>Contract</v>
      </c>
      <c r="K73" s="9" t="str">
        <v>No</v>
      </c>
      <c r="L73" s="9" t="str">
        <v>KRIND/W/MC/AB/250005</v>
      </c>
      <c r="M73" s="9">
        <v>45698</v>
      </c>
      <c r="N73" s="9">
        <v>45000</v>
      </c>
      <c r="O73" s="9" t="str">
        <v>February</v>
      </c>
      <c r="P73" s="9" t="str">
        <v>March</v>
      </c>
      <c r="Q73" s="9">
        <v>1</v>
      </c>
      <c r="R73" s="9">
        <v>50055662</v>
      </c>
      <c r="S73" s="9">
        <v>45743</v>
      </c>
      <c r="T73" s="9">
        <v>45000</v>
      </c>
      <c r="U73" s="9" t="str">
        <v>March</v>
      </c>
      <c r="V73" s="9">
        <v>0</v>
      </c>
      <c r="W73" s="9">
        <v>0</v>
      </c>
      <c r="X73" s="9">
        <v>0</v>
      </c>
      <c r="Y73" s="9">
        <v>0</v>
      </c>
    </row>
    <row r="74" spans="1:25">
      <c r="A74" s="9">
        <v>31</v>
      </c>
      <c r="B74" s="9">
        <v>0</v>
      </c>
      <c r="C74" s="9" t="str">
        <v>Tata Cummins Pvt Ltd</v>
      </c>
      <c r="D74" s="9" t="str">
        <v>phaltan</v>
      </c>
      <c r="E74" s="9" t="str">
        <v>Stores</v>
      </c>
      <c r="F74" s="9" t="str">
        <v>vijay Pawar</v>
      </c>
      <c r="G74" s="9">
        <v>7796646965</v>
      </c>
      <c r="H74" s="9" t="str">
        <v>vijay.pawar@cummins.com</v>
      </c>
      <c r="I74" s="9" t="str">
        <v>10006466/001</v>
      </c>
      <c r="J74" s="9" t="str">
        <v>Contract</v>
      </c>
      <c r="K74" s="9" t="str">
        <v>No</v>
      </c>
      <c r="L74" s="9" t="str">
        <v>KRIND/W/MC/AB/250005</v>
      </c>
      <c r="M74" s="9">
        <v>45698</v>
      </c>
      <c r="N74" s="9">
        <v>45000</v>
      </c>
      <c r="O74" s="9" t="str">
        <v>February</v>
      </c>
      <c r="P74" s="9" t="str">
        <v>March</v>
      </c>
      <c r="Q74" s="9">
        <v>1</v>
      </c>
      <c r="R74" s="9">
        <v>50055662</v>
      </c>
      <c r="S74" s="9">
        <v>45743</v>
      </c>
      <c r="T74" s="9">
        <v>45000</v>
      </c>
      <c r="U74" s="9" t="str">
        <v>March</v>
      </c>
      <c r="V74" s="9">
        <v>0</v>
      </c>
      <c r="W74" s="9">
        <v>0</v>
      </c>
      <c r="X74" s="9">
        <v>0</v>
      </c>
      <c r="Y74" s="9">
        <v>0</v>
      </c>
    </row>
    <row r="75" spans="1:25">
      <c r="A75" s="9">
        <v>31</v>
      </c>
      <c r="B75" s="9">
        <v>0</v>
      </c>
      <c r="C75" s="9" t="str">
        <v>Tata Cummins Pvt Ltd</v>
      </c>
      <c r="D75" s="9" t="str">
        <v>phaltan</v>
      </c>
      <c r="E75" s="9" t="str">
        <v>Stores</v>
      </c>
      <c r="F75" s="9" t="str">
        <v>vijay Pawar</v>
      </c>
      <c r="G75" s="9">
        <v>7796646965</v>
      </c>
      <c r="H75" s="9" t="str">
        <v>vijay.pawar@cummins.com</v>
      </c>
      <c r="I75" s="9" t="str">
        <v>10006467/001</v>
      </c>
      <c r="J75" s="9" t="str">
        <v>Contract</v>
      </c>
      <c r="K75" s="9" t="str">
        <v>No</v>
      </c>
      <c r="L75" s="9" t="str">
        <v>KRIND/W/MC/AB/250005</v>
      </c>
      <c r="M75" s="9">
        <v>45698</v>
      </c>
      <c r="N75" s="9">
        <v>45000</v>
      </c>
      <c r="O75" s="9" t="str">
        <v>February</v>
      </c>
      <c r="P75" s="9" t="str">
        <v>March</v>
      </c>
      <c r="Q75" s="9">
        <v>1</v>
      </c>
      <c r="R75" s="9">
        <v>50055662</v>
      </c>
      <c r="S75" s="9">
        <v>45743</v>
      </c>
      <c r="T75" s="9">
        <v>45000</v>
      </c>
      <c r="U75" s="9" t="str">
        <v>March</v>
      </c>
      <c r="V75" s="9">
        <v>0</v>
      </c>
      <c r="W75" s="9">
        <v>0</v>
      </c>
      <c r="X75" s="9">
        <v>0</v>
      </c>
      <c r="Y75" s="9">
        <v>0</v>
      </c>
    </row>
    <row r="76" spans="1:25">
      <c r="A76" s="9">
        <v>31</v>
      </c>
      <c r="B76" s="9">
        <v>0</v>
      </c>
      <c r="C76" s="9" t="str">
        <v>Tata Cummins Pvt Ltd</v>
      </c>
      <c r="D76" s="9" t="str">
        <v>phaltan</v>
      </c>
      <c r="E76" s="9" t="str">
        <v>Stores</v>
      </c>
      <c r="F76" s="9" t="str">
        <v>vijay Pawar</v>
      </c>
      <c r="G76" s="9">
        <v>7796646965</v>
      </c>
      <c r="H76" s="9" t="str">
        <v>vijay.pawar@cummins.com</v>
      </c>
      <c r="I76" s="9" t="str">
        <v>10004163/001</v>
      </c>
      <c r="J76" s="9" t="str">
        <v>Contract</v>
      </c>
      <c r="K76" s="9" t="str">
        <v>No</v>
      </c>
      <c r="L76" s="9" t="str">
        <v>KRIND/W/MC/AB/250005</v>
      </c>
      <c r="M76" s="9">
        <v>45698</v>
      </c>
      <c r="N76" s="9">
        <v>45000</v>
      </c>
      <c r="O76" s="9" t="str">
        <v>February</v>
      </c>
      <c r="P76" s="9" t="str">
        <v>March</v>
      </c>
      <c r="Q76" s="9">
        <v>1</v>
      </c>
      <c r="R76" s="9">
        <v>50055662</v>
      </c>
      <c r="S76" s="9">
        <v>45743</v>
      </c>
      <c r="T76" s="9">
        <v>45000</v>
      </c>
      <c r="U76" s="9" t="str">
        <v>March</v>
      </c>
      <c r="V76" s="9">
        <v>0</v>
      </c>
      <c r="W76" s="9">
        <v>0</v>
      </c>
      <c r="X76" s="9">
        <v>0</v>
      </c>
      <c r="Y76" s="9">
        <v>0</v>
      </c>
    </row>
    <row r="77" spans="1:25">
      <c r="A77" s="9">
        <v>31</v>
      </c>
      <c r="B77" s="9">
        <v>0</v>
      </c>
      <c r="C77" s="9" t="str">
        <v>Tata Cummins Pvt Ltd</v>
      </c>
      <c r="D77" s="9" t="str">
        <v>phaltan</v>
      </c>
      <c r="E77" s="9" t="str">
        <v>Stores</v>
      </c>
      <c r="F77" s="9" t="str">
        <v>vijay Pawar</v>
      </c>
      <c r="G77" s="9">
        <v>7796646965</v>
      </c>
      <c r="H77" s="9" t="str">
        <v>vijay.pawar@cummins.com</v>
      </c>
      <c r="I77" s="9" t="str">
        <v>10006269/001</v>
      </c>
      <c r="J77" s="9" t="str">
        <v>Contract</v>
      </c>
      <c r="K77" s="9" t="str">
        <v>No</v>
      </c>
      <c r="L77" s="9" t="str">
        <v>KRIND/W/MC/AB/250005</v>
      </c>
      <c r="M77" s="9">
        <v>45698</v>
      </c>
      <c r="N77" s="9">
        <v>45000</v>
      </c>
      <c r="O77" s="9" t="str">
        <v>February</v>
      </c>
      <c r="P77" s="9" t="str">
        <v>March</v>
      </c>
      <c r="Q77" s="9">
        <v>1</v>
      </c>
      <c r="R77" s="9">
        <v>50055662</v>
      </c>
      <c r="S77" s="9">
        <v>45743</v>
      </c>
      <c r="T77" s="9">
        <v>45000</v>
      </c>
      <c r="U77" s="9" t="str">
        <v>March</v>
      </c>
      <c r="V77" s="9">
        <v>0</v>
      </c>
      <c r="W77" s="9">
        <v>0</v>
      </c>
      <c r="X77" s="9">
        <v>0</v>
      </c>
      <c r="Y77" s="9">
        <v>0</v>
      </c>
    </row>
    <row r="78" spans="1:25">
      <c r="A78" s="9">
        <v>31</v>
      </c>
      <c r="B78" s="9">
        <v>0</v>
      </c>
      <c r="C78" s="9" t="str">
        <v>Tata Cummins Pvt Ltd</v>
      </c>
      <c r="D78" s="9" t="str">
        <v>phaltan</v>
      </c>
      <c r="E78" s="9" t="str">
        <v>Stores</v>
      </c>
      <c r="F78" s="9" t="str">
        <v>vijay Pawar</v>
      </c>
      <c r="G78" s="9">
        <v>7796646965</v>
      </c>
      <c r="H78" s="9" t="str">
        <v>vijay.pawar@cummins.com</v>
      </c>
      <c r="I78" s="9" t="str">
        <v>10006270/001</v>
      </c>
      <c r="J78" s="9" t="str">
        <v>Contract</v>
      </c>
      <c r="K78" s="9" t="str">
        <v>No</v>
      </c>
      <c r="L78" s="9" t="str">
        <v>KRIND/W/MC/AB/250005</v>
      </c>
      <c r="M78" s="9">
        <v>45698</v>
      </c>
      <c r="N78" s="9">
        <v>45000</v>
      </c>
      <c r="O78" s="9" t="str">
        <v>February</v>
      </c>
      <c r="P78" s="9" t="str">
        <v>March</v>
      </c>
      <c r="Q78" s="9">
        <v>1</v>
      </c>
      <c r="R78" s="9">
        <v>50055662</v>
      </c>
      <c r="S78" s="9">
        <v>45743</v>
      </c>
      <c r="T78" s="9">
        <v>45000</v>
      </c>
      <c r="U78" s="9" t="str">
        <v>March</v>
      </c>
      <c r="V78" s="9">
        <v>0</v>
      </c>
      <c r="W78" s="9">
        <v>0</v>
      </c>
      <c r="X78" s="9">
        <v>0</v>
      </c>
      <c r="Y78" s="9">
        <v>0</v>
      </c>
    </row>
    <row r="79" spans="1:25">
      <c r="A79" s="9">
        <v>31</v>
      </c>
      <c r="B79" s="9">
        <v>0</v>
      </c>
      <c r="C79" s="9" t="str">
        <v>Tata Cummins Pvt Ltd</v>
      </c>
      <c r="D79" s="9" t="str">
        <v>phaltan</v>
      </c>
      <c r="E79" s="9" t="str">
        <v>Stores</v>
      </c>
      <c r="F79" s="9" t="str">
        <v>vijay Pawar</v>
      </c>
      <c r="G79" s="9">
        <v>7796646965</v>
      </c>
      <c r="H79" s="9" t="str">
        <v>vijay.pawar@cummins.com</v>
      </c>
      <c r="I79" s="9" t="str">
        <v>12007409/001</v>
      </c>
      <c r="J79" s="9" t="str">
        <v>Contract</v>
      </c>
      <c r="K79" s="9" t="str">
        <v>No</v>
      </c>
      <c r="L79" s="9" t="str">
        <v>KRIND/W/MC/AB/250005</v>
      </c>
      <c r="M79" s="9">
        <v>45698</v>
      </c>
      <c r="N79" s="9">
        <v>45000</v>
      </c>
      <c r="O79" s="9" t="str">
        <v>February</v>
      </c>
      <c r="P79" s="9" t="str">
        <v>March</v>
      </c>
      <c r="Q79" s="9">
        <v>1</v>
      </c>
      <c r="R79" s="9">
        <v>50055662</v>
      </c>
      <c r="S79" s="9">
        <v>45743</v>
      </c>
      <c r="T79" s="9">
        <v>45000</v>
      </c>
      <c r="U79" s="9" t="str">
        <v>March</v>
      </c>
      <c r="V79" s="9">
        <v>0</v>
      </c>
      <c r="W79" s="9">
        <v>0</v>
      </c>
      <c r="X79" s="9">
        <v>0</v>
      </c>
      <c r="Y79" s="9">
        <v>0</v>
      </c>
    </row>
    <row r="80" spans="1:25">
      <c r="A80" s="9">
        <v>31</v>
      </c>
      <c r="B80" s="9">
        <v>0</v>
      </c>
      <c r="C80" s="9" t="str">
        <v>Tata Cummins Pvt Ltd</v>
      </c>
      <c r="D80" s="9" t="str">
        <v>phaltan</v>
      </c>
      <c r="E80" s="9" t="str">
        <v>Stores</v>
      </c>
      <c r="F80" s="9" t="str">
        <v>vijay Pawar</v>
      </c>
      <c r="G80" s="9">
        <v>7796646965</v>
      </c>
      <c r="H80" s="9" t="str">
        <v>vijay.pawar@cummins.com</v>
      </c>
      <c r="I80" s="9" t="str">
        <v>12007483/001</v>
      </c>
      <c r="J80" s="9" t="str">
        <v>Contract</v>
      </c>
      <c r="K80" s="9" t="str">
        <v>No</v>
      </c>
      <c r="L80" s="9" t="str">
        <v>KRIND/W/MC/AB/250005</v>
      </c>
      <c r="M80" s="9">
        <v>45698</v>
      </c>
      <c r="N80" s="9">
        <v>45000</v>
      </c>
      <c r="O80" s="9" t="str">
        <v>February</v>
      </c>
      <c r="P80" s="9" t="str">
        <v>March</v>
      </c>
      <c r="Q80" s="9">
        <v>1</v>
      </c>
      <c r="R80" s="9">
        <v>50055662</v>
      </c>
      <c r="S80" s="9">
        <v>45743</v>
      </c>
      <c r="T80" s="9">
        <v>45000</v>
      </c>
      <c r="U80" s="9" t="str">
        <v>March</v>
      </c>
      <c r="V80" s="9">
        <v>0</v>
      </c>
      <c r="W80" s="9">
        <v>0</v>
      </c>
      <c r="X80" s="9">
        <v>0</v>
      </c>
      <c r="Y80" s="9">
        <v>0</v>
      </c>
    </row>
    <row r="81" spans="1:25">
      <c r="A81" s="9">
        <v>31</v>
      </c>
      <c r="B81" s="9">
        <v>0</v>
      </c>
      <c r="C81" s="9" t="str">
        <v>Tata Cummins Pvt Ltd</v>
      </c>
      <c r="D81" s="9" t="str">
        <v>phaltan</v>
      </c>
      <c r="E81" s="9" t="str">
        <v>Stores</v>
      </c>
      <c r="F81" s="9" t="str">
        <v>vijay Pawar</v>
      </c>
      <c r="G81" s="9">
        <v>7796646965</v>
      </c>
      <c r="H81" s="9" t="str">
        <v>vijay.pawar@cummins.com</v>
      </c>
      <c r="I81" s="9" t="str">
        <v>13000026/001</v>
      </c>
      <c r="J81" s="9" t="str">
        <v>Contract</v>
      </c>
      <c r="K81" s="9" t="str">
        <v>No</v>
      </c>
      <c r="L81" s="9" t="str">
        <v>KRIND/W/MC/AB/250005</v>
      </c>
      <c r="M81" s="9">
        <v>45698</v>
      </c>
      <c r="N81" s="9">
        <v>45000</v>
      </c>
      <c r="O81" s="9" t="str">
        <v>February</v>
      </c>
      <c r="P81" s="9" t="str">
        <v>March</v>
      </c>
      <c r="Q81" s="9">
        <v>1</v>
      </c>
      <c r="R81" s="9">
        <v>50055662</v>
      </c>
      <c r="S81" s="9">
        <v>45743</v>
      </c>
      <c r="T81" s="9">
        <v>45000</v>
      </c>
      <c r="U81" s="9" t="str">
        <v>March</v>
      </c>
      <c r="V81" s="9">
        <v>0</v>
      </c>
      <c r="W81" s="9">
        <v>0</v>
      </c>
      <c r="X81" s="9">
        <v>0</v>
      </c>
      <c r="Y81" s="9">
        <v>0</v>
      </c>
    </row>
    <row r="82" spans="1:25">
      <c r="A82" s="9">
        <v>31</v>
      </c>
      <c r="B82" s="9">
        <v>0</v>
      </c>
      <c r="C82" s="9" t="str">
        <v>Tata Cummins Pvt Ltd</v>
      </c>
      <c r="D82" s="9" t="str">
        <v>phaltan</v>
      </c>
      <c r="E82" s="9" t="str">
        <v>Stores</v>
      </c>
      <c r="F82" s="9" t="str">
        <v>vijay Pawar</v>
      </c>
      <c r="G82" s="9">
        <v>7796646965</v>
      </c>
      <c r="H82" s="9" t="str">
        <v>vijay.pawar@cummins.com</v>
      </c>
      <c r="I82" s="9" t="str">
        <v>13000027/001</v>
      </c>
      <c r="J82" s="9" t="str">
        <v>Contract</v>
      </c>
      <c r="K82" s="9" t="str">
        <v>No</v>
      </c>
      <c r="L82" s="9" t="str">
        <v>KRIND/W/MC/AB/250005</v>
      </c>
      <c r="M82" s="9">
        <v>45698</v>
      </c>
      <c r="N82" s="9">
        <v>45000</v>
      </c>
      <c r="O82" s="9" t="str">
        <v>February</v>
      </c>
      <c r="P82" s="9" t="str">
        <v>March</v>
      </c>
      <c r="Q82" s="9">
        <v>1</v>
      </c>
      <c r="R82" s="9">
        <v>50055662</v>
      </c>
      <c r="S82" s="9">
        <v>45743</v>
      </c>
      <c r="T82" s="9">
        <v>45000</v>
      </c>
      <c r="U82" s="9" t="str">
        <v>March</v>
      </c>
      <c r="V82" s="9">
        <v>0</v>
      </c>
      <c r="W82" s="9">
        <v>0</v>
      </c>
      <c r="X82" s="9">
        <v>0</v>
      </c>
      <c r="Y82" s="9">
        <v>0</v>
      </c>
    </row>
    <row r="83" spans="1:25">
      <c r="A83" s="9">
        <v>31</v>
      </c>
      <c r="B83" s="9">
        <v>0</v>
      </c>
      <c r="C83" s="9" t="str">
        <v>Tata Cummins Pvt Ltd</v>
      </c>
      <c r="D83" s="9" t="str">
        <v>phaltan</v>
      </c>
      <c r="E83" s="9" t="str">
        <v>Stores</v>
      </c>
      <c r="F83" s="9" t="str">
        <v>vijay Pawar</v>
      </c>
      <c r="G83" s="9">
        <v>7796646965</v>
      </c>
      <c r="H83" s="9" t="str">
        <v>vijay.pawar@cummins.com</v>
      </c>
      <c r="I83" s="9" t="str">
        <v>14006902/001</v>
      </c>
      <c r="J83" s="9" t="str">
        <v>Contract</v>
      </c>
      <c r="K83" s="9" t="str">
        <v>No</v>
      </c>
      <c r="L83" s="9" t="str">
        <v>KRIND/W/MC/AB/250005</v>
      </c>
      <c r="M83" s="9">
        <v>45698</v>
      </c>
      <c r="N83" s="9">
        <v>45000</v>
      </c>
      <c r="O83" s="9" t="str">
        <v>February</v>
      </c>
      <c r="P83" s="9" t="str">
        <v>March</v>
      </c>
      <c r="Q83" s="9">
        <v>1</v>
      </c>
      <c r="R83" s="9">
        <v>50055662</v>
      </c>
      <c r="S83" s="9">
        <v>45743</v>
      </c>
      <c r="T83" s="9">
        <v>45000</v>
      </c>
      <c r="U83" s="9" t="str">
        <v>March</v>
      </c>
      <c r="V83" s="9">
        <v>0</v>
      </c>
      <c r="W83" s="9">
        <v>0</v>
      </c>
      <c r="X83" s="9">
        <v>0</v>
      </c>
      <c r="Y83" s="9">
        <v>0</v>
      </c>
    </row>
    <row r="84" spans="1:25">
      <c r="A84" s="9">
        <v>31</v>
      </c>
      <c r="B84" s="9">
        <v>0</v>
      </c>
      <c r="C84" s="9" t="str">
        <v>Tata Cummins Pvt Ltd</v>
      </c>
      <c r="D84" s="9" t="str">
        <v>phaltan</v>
      </c>
      <c r="E84" s="9" t="str">
        <v>Stores</v>
      </c>
      <c r="F84" s="9" t="str">
        <v>vijay Pawar</v>
      </c>
      <c r="G84" s="9">
        <v>7796646965</v>
      </c>
      <c r="H84" s="9" t="str">
        <v>vijay.pawar@cummins.com</v>
      </c>
      <c r="I84" s="9" t="str">
        <v>14006903/001</v>
      </c>
      <c r="J84" s="9" t="str">
        <v>Contract</v>
      </c>
      <c r="K84" s="9" t="str">
        <v>No</v>
      </c>
      <c r="L84" s="9" t="str">
        <v>KRIND/W/MC/AB/250005</v>
      </c>
      <c r="M84" s="9">
        <v>45698</v>
      </c>
      <c r="N84" s="9">
        <v>45000</v>
      </c>
      <c r="O84" s="9" t="str">
        <v>February</v>
      </c>
      <c r="P84" s="9" t="str">
        <v>March</v>
      </c>
      <c r="Q84" s="9">
        <v>1</v>
      </c>
      <c r="R84" s="9">
        <v>50055662</v>
      </c>
      <c r="S84" s="9">
        <v>45743</v>
      </c>
      <c r="T84" s="9">
        <v>45000</v>
      </c>
      <c r="U84" s="9" t="str">
        <v>March</v>
      </c>
      <c r="V84" s="9">
        <v>0</v>
      </c>
      <c r="W84" s="9">
        <v>0</v>
      </c>
      <c r="X84" s="9">
        <v>0</v>
      </c>
      <c r="Y84" s="9">
        <v>0</v>
      </c>
    </row>
    <row r="85" spans="1:25">
      <c r="A85" s="9">
        <v>32</v>
      </c>
      <c r="B85" s="9">
        <v>45698</v>
      </c>
      <c r="C85" s="9" t="str">
        <v>Tata Cummins Pvt Ltd</v>
      </c>
      <c r="D85" s="9" t="str">
        <v>phaltan</v>
      </c>
      <c r="E85" s="9" t="str">
        <v>Stores</v>
      </c>
      <c r="F85" s="9" t="str">
        <v>vijay Pawar</v>
      </c>
      <c r="G85" s="9">
        <v>7796646965</v>
      </c>
      <c r="H85" s="9" t="str">
        <v>vijay.pawar@cummins.com</v>
      </c>
      <c r="I85" s="9" t="str">
        <v>14006903/001</v>
      </c>
      <c r="J85" s="9" t="str">
        <v>Upgrade kit</v>
      </c>
      <c r="K85" s="9" t="str">
        <v>YES</v>
      </c>
      <c r="L85" s="9" t="str">
        <v>KRIND/W/SPP/AB25009</v>
      </c>
      <c r="M85" s="9">
        <v>45698</v>
      </c>
      <c r="N85" s="9">
        <v>1499595</v>
      </c>
      <c r="O85" s="9" t="str">
        <v>February</v>
      </c>
      <c r="P85" s="9" t="str">
        <v>March</v>
      </c>
      <c r="Q85" s="9">
        <v>1</v>
      </c>
      <c r="R85" s="9">
        <v>50055312</v>
      </c>
      <c r="S85" s="9">
        <v>45719</v>
      </c>
      <c r="T85" s="9">
        <v>1455917</v>
      </c>
      <c r="U85" s="9" t="str">
        <v>March</v>
      </c>
      <c r="V85" s="9">
        <v>0</v>
      </c>
      <c r="W85" s="9">
        <v>0</v>
      </c>
      <c r="X85" s="9">
        <v>0</v>
      </c>
      <c r="Y85" s="9">
        <v>0</v>
      </c>
    </row>
    <row r="86" spans="1:25">
      <c r="A86" s="9">
        <v>33</v>
      </c>
      <c r="B86" s="9">
        <v>45707</v>
      </c>
      <c r="C86" s="9" t="str">
        <v>GE India Industrial Pvt.Ltd.</v>
      </c>
      <c r="D86" s="9" t="str">
        <v>Pune</v>
      </c>
      <c r="E86" s="9" t="str">
        <v>Stores</v>
      </c>
      <c r="F86" s="9" t="str">
        <v>vishal.khaware</v>
      </c>
      <c r="G86" s="9">
        <v>8975397991</v>
      </c>
      <c r="H86" s="9" t="str">
        <v>vishal.khaware@geaerospace.com</v>
      </c>
      <c r="I86" s="9" t="str">
        <v>16004510/001</v>
      </c>
      <c r="J86" s="9" t="str">
        <v>SPP</v>
      </c>
      <c r="K86" s="9" t="str">
        <v>YES</v>
      </c>
      <c r="L86" s="9" t="str">
        <v>KRIND/W/SPP/AB/25008</v>
      </c>
      <c r="M86" s="9">
        <v>45707</v>
      </c>
      <c r="N86" s="9">
        <v>445627</v>
      </c>
      <c r="O86" s="9" t="str">
        <v>February</v>
      </c>
      <c r="P86" s="9" t="str">
        <v>March</v>
      </c>
      <c r="Q86" s="9">
        <v>1</v>
      </c>
      <c r="R86" s="9">
        <v>2006269</v>
      </c>
      <c r="S86" s="9">
        <v>45728</v>
      </c>
      <c r="T86" s="9">
        <v>367397</v>
      </c>
      <c r="U86" s="9" t="str">
        <v>March</v>
      </c>
      <c r="V86" s="9">
        <v>0</v>
      </c>
      <c r="W86" s="9">
        <v>0</v>
      </c>
      <c r="X86" s="9">
        <v>0</v>
      </c>
      <c r="Y86" s="9">
        <v>0</v>
      </c>
    </row>
    <row r="87" spans="1:25">
      <c r="A87" s="9">
        <v>34</v>
      </c>
      <c r="B87" s="9">
        <v>45717</v>
      </c>
      <c r="C87" s="9" t="str">
        <v>GE India Industrial Pvt.Ltd.</v>
      </c>
      <c r="D87" s="9" t="str">
        <v>Pune</v>
      </c>
      <c r="E87" s="9" t="str">
        <v>Stores</v>
      </c>
      <c r="F87" s="9" t="str">
        <v>vishal.khaware</v>
      </c>
      <c r="G87" s="9">
        <v>8975397991</v>
      </c>
      <c r="H87" s="9" t="str">
        <v>vishal.khaware@geaerospace.com</v>
      </c>
      <c r="I87" s="9" t="str">
        <v>16005398/001</v>
      </c>
      <c r="J87" s="9" t="str">
        <v>Contract</v>
      </c>
      <c r="K87" s="9" t="str">
        <v>NO</v>
      </c>
      <c r="L87" s="9" t="str">
        <v>KRIND/W/MC/AB/250006</v>
      </c>
      <c r="M87" s="9">
        <v>45717</v>
      </c>
      <c r="N87" s="9">
        <v>72000</v>
      </c>
      <c r="O87" s="9" t="str">
        <v>March</v>
      </c>
      <c r="P87" s="9" t="str">
        <v>March</v>
      </c>
      <c r="Q87" s="9">
        <v>1</v>
      </c>
      <c r="R87" s="9">
        <v>2006637</v>
      </c>
      <c r="S87" s="9">
        <v>45729</v>
      </c>
      <c r="T87" s="9">
        <v>72000</v>
      </c>
      <c r="U87" s="9" t="str">
        <v>March</v>
      </c>
      <c r="V87" s="9">
        <v>0</v>
      </c>
      <c r="W87" s="9">
        <v>0</v>
      </c>
      <c r="X87" s="9">
        <v>0</v>
      </c>
      <c r="Y87" s="9">
        <v>0</v>
      </c>
    </row>
    <row r="88" spans="1:25">
      <c r="A88" s="9">
        <v>34</v>
      </c>
      <c r="B88" s="9">
        <v>0</v>
      </c>
      <c r="C88" s="9" t="str">
        <v>GE India Industrial Pvt.Ltd.</v>
      </c>
      <c r="D88" s="9" t="str">
        <v>Pune</v>
      </c>
      <c r="E88" s="9" t="str">
        <v>Stores</v>
      </c>
      <c r="F88" s="9" t="str">
        <v>vishal.khaware</v>
      </c>
      <c r="G88" s="9">
        <v>8975397991</v>
      </c>
      <c r="H88" s="9" t="str">
        <v>vishal.khaware@geaerospace.com</v>
      </c>
      <c r="I88" s="9" t="str">
        <v>16005398/002</v>
      </c>
      <c r="J88" s="9" t="str">
        <v>Contract</v>
      </c>
      <c r="K88" s="9" t="str">
        <v>NO</v>
      </c>
      <c r="L88" s="9" t="str">
        <v>KRIND/W/MC/AB/250006</v>
      </c>
      <c r="M88" s="9">
        <v>45717</v>
      </c>
      <c r="N88" s="9">
        <v>72000</v>
      </c>
      <c r="O88" s="9" t="str">
        <v>March</v>
      </c>
      <c r="P88" s="9" t="str">
        <v>March</v>
      </c>
      <c r="Q88" s="9">
        <v>1</v>
      </c>
      <c r="R88" s="9">
        <v>2006637</v>
      </c>
      <c r="S88" s="9">
        <v>45729</v>
      </c>
      <c r="T88" s="9">
        <v>72000</v>
      </c>
      <c r="U88" s="9" t="str">
        <v>March</v>
      </c>
      <c r="V88" s="9">
        <v>0</v>
      </c>
      <c r="W88" s="9">
        <v>0</v>
      </c>
      <c r="X88" s="9">
        <v>0</v>
      </c>
      <c r="Y88" s="9">
        <v>0</v>
      </c>
    </row>
    <row r="89" spans="1:25">
      <c r="A89" s="9">
        <v>34</v>
      </c>
      <c r="B89" s="9">
        <v>0</v>
      </c>
      <c r="C89" s="9" t="str">
        <v>GE India Industrial Pvt.Ltd.</v>
      </c>
      <c r="D89" s="9" t="str">
        <v>Pune</v>
      </c>
      <c r="E89" s="9" t="str">
        <v>Stores</v>
      </c>
      <c r="F89" s="9" t="str">
        <v>vishal.khaware</v>
      </c>
      <c r="G89" s="9">
        <v>8975397991</v>
      </c>
      <c r="H89" s="9" t="str">
        <v>vishal.khaware@geaerospace.com</v>
      </c>
      <c r="I89" s="9" t="str">
        <v>16004510/001</v>
      </c>
      <c r="J89" s="9" t="str">
        <v>Contract</v>
      </c>
      <c r="K89" s="9" t="str">
        <v>NO</v>
      </c>
      <c r="L89" s="9" t="str">
        <v>KRIND/W/MC/AB/250006</v>
      </c>
      <c r="M89" s="9">
        <v>45717</v>
      </c>
      <c r="N89" s="9">
        <v>72000</v>
      </c>
      <c r="O89" s="9" t="str">
        <v>March</v>
      </c>
      <c r="P89" s="9" t="str">
        <v>March</v>
      </c>
      <c r="Q89" s="9">
        <v>1</v>
      </c>
      <c r="R89" s="9">
        <v>2006637</v>
      </c>
      <c r="S89" s="9">
        <v>45729</v>
      </c>
      <c r="T89" s="9">
        <v>72000</v>
      </c>
      <c r="U89" s="9" t="str">
        <v>March</v>
      </c>
      <c r="V89" s="9">
        <v>0</v>
      </c>
      <c r="W89" s="9">
        <v>0</v>
      </c>
      <c r="X89" s="9">
        <v>0</v>
      </c>
      <c r="Y89" s="9">
        <v>0</v>
      </c>
    </row>
    <row r="90" spans="1:25">
      <c r="A90" s="9">
        <v>34</v>
      </c>
      <c r="B90" s="9">
        <v>0</v>
      </c>
      <c r="C90" s="9" t="str">
        <v>GE India Industrial Pvt.Ltd.</v>
      </c>
      <c r="D90" s="9" t="str">
        <v>Pune</v>
      </c>
      <c r="E90" s="9" t="str">
        <v>Stores</v>
      </c>
      <c r="F90" s="9" t="str">
        <v>vishal.khaware</v>
      </c>
      <c r="G90" s="9">
        <v>8975397991</v>
      </c>
      <c r="H90" s="9" t="str">
        <v>vishal.khaware@geaerospace.com</v>
      </c>
      <c r="I90" s="9" t="str">
        <v>19008263/001</v>
      </c>
      <c r="J90" s="9" t="str">
        <v>Contract</v>
      </c>
      <c r="K90" s="9" t="str">
        <v>NO</v>
      </c>
      <c r="L90" s="9" t="str">
        <v>KRIND/W/MC/AB/250006</v>
      </c>
      <c r="M90" s="9">
        <v>45717</v>
      </c>
      <c r="N90" s="9">
        <v>72000</v>
      </c>
      <c r="O90" s="9" t="str">
        <v>March</v>
      </c>
      <c r="P90" s="9" t="str">
        <v>March</v>
      </c>
      <c r="Q90" s="9">
        <v>1</v>
      </c>
      <c r="R90" s="9">
        <v>2006637</v>
      </c>
      <c r="S90" s="9">
        <v>45729</v>
      </c>
      <c r="T90" s="9">
        <v>72000</v>
      </c>
      <c r="U90" s="9" t="str">
        <v>March</v>
      </c>
      <c r="V90" s="9">
        <v>0</v>
      </c>
      <c r="W90" s="9">
        <v>0</v>
      </c>
      <c r="X90" s="9">
        <v>0</v>
      </c>
      <c r="Y90" s="9">
        <v>0</v>
      </c>
    </row>
    <row r="91" spans="1:25">
      <c r="A91" s="9">
        <v>35</v>
      </c>
      <c r="B91" s="9">
        <v>45717</v>
      </c>
      <c r="C91" s="9" t="str">
        <v>Firmenich Aerometics I Pvt.ltd.</v>
      </c>
      <c r="D91" s="9" t="str">
        <v>Mumbai</v>
      </c>
      <c r="E91" s="9" t="str">
        <v>QC</v>
      </c>
      <c r="F91" s="9" t="str">
        <v>Sonal Rane</v>
      </c>
      <c r="G91" s="9">
        <v>8422085743</v>
      </c>
      <c r="H91" s="9" t="str">
        <v>sonal.rane@dsm-firmenich.com</v>
      </c>
      <c r="I91" s="9" t="str">
        <v>18007780/001</v>
      </c>
      <c r="J91" s="9" t="str">
        <v>Contract</v>
      </c>
      <c r="K91" s="9" t="str">
        <v>NO</v>
      </c>
      <c r="L91" s="9" t="str">
        <v>LPO</v>
      </c>
      <c r="M91" s="9">
        <v>45721</v>
      </c>
      <c r="N91" s="9">
        <v>58000</v>
      </c>
      <c r="O91" s="9" t="str">
        <v>March</v>
      </c>
      <c r="P91" s="9" t="str">
        <v>March</v>
      </c>
      <c r="Q91" s="9">
        <v>1</v>
      </c>
      <c r="R91" s="9">
        <v>3001030991</v>
      </c>
      <c r="S91" s="9">
        <v>45719</v>
      </c>
      <c r="T91" s="9">
        <v>58000</v>
      </c>
      <c r="U91" s="9" t="str">
        <v>March</v>
      </c>
      <c r="V91" s="9">
        <v>0</v>
      </c>
      <c r="W91" s="9">
        <v>0</v>
      </c>
      <c r="X91" s="9">
        <v>0</v>
      </c>
      <c r="Y91" s="9">
        <v>0</v>
      </c>
    </row>
    <row r="92" spans="1:25">
      <c r="A92" s="9">
        <v>35</v>
      </c>
      <c r="B92" s="9">
        <v>0</v>
      </c>
      <c r="C92" s="9" t="str">
        <v>Firmenich Aerometics I Pvt.ltd.</v>
      </c>
      <c r="D92" s="9" t="str">
        <v>Mumbai</v>
      </c>
      <c r="E92" s="9" t="str">
        <v>QC</v>
      </c>
      <c r="F92" s="9" t="str">
        <v>Sonal Rane</v>
      </c>
      <c r="G92" s="9">
        <v>8422085743</v>
      </c>
      <c r="H92" s="9" t="str">
        <v>sonal.rane@dsm-firmenich.com</v>
      </c>
      <c r="I92" s="9" t="str">
        <v>18007781/001</v>
      </c>
      <c r="J92" s="9" t="str">
        <v>Contract</v>
      </c>
      <c r="K92" s="9" t="str">
        <v>NO</v>
      </c>
      <c r="L92" s="9" t="str">
        <v>LPO</v>
      </c>
      <c r="M92" s="9">
        <v>45721</v>
      </c>
      <c r="N92" s="9">
        <v>58000</v>
      </c>
      <c r="O92" s="9" t="str">
        <v>March</v>
      </c>
      <c r="P92" s="9" t="str">
        <v>March</v>
      </c>
      <c r="Q92" s="9">
        <v>1</v>
      </c>
      <c r="R92" s="9">
        <v>3001030991</v>
      </c>
      <c r="S92" s="9">
        <v>45719</v>
      </c>
      <c r="T92" s="9">
        <v>58000</v>
      </c>
      <c r="U92" s="9" t="str">
        <v>March</v>
      </c>
      <c r="V92" s="9">
        <v>0</v>
      </c>
      <c r="W92" s="9">
        <v>0</v>
      </c>
      <c r="X92" s="9">
        <v>0</v>
      </c>
      <c r="Y92" s="9">
        <v>0</v>
      </c>
    </row>
    <row r="93" spans="1:25">
      <c r="A93" s="9">
        <v>36</v>
      </c>
      <c r="B93" s="9">
        <v>45722</v>
      </c>
      <c r="C93" s="9" t="str">
        <v xml:space="preserve">KSB Pumps LTD </v>
      </c>
      <c r="D93" s="9" t="str">
        <v>shirwal</v>
      </c>
      <c r="E93" s="9" t="str">
        <v>Stores</v>
      </c>
      <c r="F93" s="9" t="str">
        <v>Sachine Pawar</v>
      </c>
      <c r="G93" s="9">
        <v>9822412607</v>
      </c>
      <c r="H93" s="9" t="str">
        <v>sachin.pawar@ksb.com</v>
      </c>
      <c r="I93" s="9" t="str">
        <v>03006736/001</v>
      </c>
      <c r="J93" s="9" t="str">
        <v>Contract</v>
      </c>
      <c r="K93" s="9" t="str">
        <v>NO</v>
      </c>
      <c r="L93" s="9" t="str">
        <v>KRIND/W/MC/AB/250007</v>
      </c>
      <c r="M93" s="9">
        <v>45722</v>
      </c>
      <c r="N93" s="9">
        <v>68000</v>
      </c>
      <c r="O93" s="9" t="str">
        <v>March</v>
      </c>
      <c r="P93" s="9" t="str">
        <v>May</v>
      </c>
      <c r="Q93" s="9">
        <v>1</v>
      </c>
      <c r="R93" s="9">
        <v>4507494931</v>
      </c>
      <c r="S93" s="9">
        <v>45771</v>
      </c>
      <c r="T93" s="9">
        <v>62000</v>
      </c>
      <c r="U93" s="9" t="str">
        <v>May</v>
      </c>
      <c r="V93" s="9">
        <v>0</v>
      </c>
      <c r="W93" s="9">
        <v>0</v>
      </c>
      <c r="X93" s="9">
        <v>0</v>
      </c>
      <c r="Y93" s="9">
        <v>0</v>
      </c>
    </row>
    <row r="94" spans="1:25">
      <c r="A94" s="9">
        <v>36</v>
      </c>
      <c r="B94" s="9">
        <v>0</v>
      </c>
      <c r="C94" s="9" t="str">
        <v xml:space="preserve">KSB Pumps LTD </v>
      </c>
      <c r="D94" s="9" t="str">
        <v>shirwal</v>
      </c>
      <c r="E94" s="9" t="str">
        <v>Stores</v>
      </c>
      <c r="F94" s="9" t="str">
        <v>Sachine Pawar</v>
      </c>
      <c r="G94" s="9">
        <v>9822412607</v>
      </c>
      <c r="H94" s="9" t="str">
        <v>sachin.pawar@ksb.com</v>
      </c>
      <c r="I94" s="9" t="str">
        <v>02002336/001</v>
      </c>
      <c r="J94" s="9" t="str">
        <v>Contract</v>
      </c>
      <c r="K94" s="9" t="str">
        <v>NO</v>
      </c>
      <c r="L94" s="9" t="str">
        <v>KRIND/W/MC/AB/250007</v>
      </c>
      <c r="M94" s="9">
        <v>45722</v>
      </c>
      <c r="N94" s="9">
        <v>68000</v>
      </c>
      <c r="O94" s="9" t="str">
        <v>March</v>
      </c>
      <c r="P94" s="9" t="str">
        <v>May</v>
      </c>
      <c r="Q94" s="9">
        <v>1</v>
      </c>
      <c r="R94" s="9">
        <v>4507494931</v>
      </c>
      <c r="S94" s="9">
        <v>45771</v>
      </c>
      <c r="T94" s="9">
        <v>62000</v>
      </c>
      <c r="U94" s="9" t="str">
        <v>May</v>
      </c>
      <c r="V94" s="9">
        <v>0</v>
      </c>
      <c r="W94" s="9">
        <v>0</v>
      </c>
      <c r="X94" s="9">
        <v>0</v>
      </c>
      <c r="Y94" s="9">
        <v>0</v>
      </c>
    </row>
    <row r="95" spans="1:25">
      <c r="A95" s="9">
        <v>36</v>
      </c>
      <c r="B95" s="9">
        <v>0</v>
      </c>
      <c r="C95" s="9" t="str">
        <v xml:space="preserve">KSB Pumps LTD </v>
      </c>
      <c r="D95" s="9" t="str">
        <v>shirwal</v>
      </c>
      <c r="E95" s="9" t="str">
        <v>Stores</v>
      </c>
      <c r="F95" s="9" t="str">
        <v>Sachine Pawar</v>
      </c>
      <c r="G95" s="9">
        <v>9822412607</v>
      </c>
      <c r="H95" s="9" t="str">
        <v>sachin.pawar@ksb.com</v>
      </c>
      <c r="I95" s="9" t="str">
        <v>02002336/002</v>
      </c>
      <c r="J95" s="9" t="str">
        <v>Contract</v>
      </c>
      <c r="K95" s="9" t="str">
        <v>NO</v>
      </c>
      <c r="L95" s="9" t="str">
        <v>KRIND/W/MC/AB/250007</v>
      </c>
      <c r="M95" s="9">
        <v>45722</v>
      </c>
      <c r="N95" s="9">
        <v>68000</v>
      </c>
      <c r="O95" s="9" t="str">
        <v>March</v>
      </c>
      <c r="P95" s="9" t="str">
        <v>May</v>
      </c>
      <c r="Q95" s="9">
        <v>1</v>
      </c>
      <c r="R95" s="9">
        <v>4507494931</v>
      </c>
      <c r="S95" s="9">
        <v>45771</v>
      </c>
      <c r="T95" s="9">
        <v>62000</v>
      </c>
      <c r="U95" s="9" t="str">
        <v>May</v>
      </c>
      <c r="V95" s="9">
        <v>0</v>
      </c>
      <c r="W95" s="9">
        <v>0</v>
      </c>
      <c r="X95" s="9">
        <v>0</v>
      </c>
      <c r="Y95" s="9">
        <v>0</v>
      </c>
    </row>
    <row r="96" spans="1:25">
      <c r="A96" s="9">
        <v>36</v>
      </c>
      <c r="B96" s="9">
        <v>0</v>
      </c>
      <c r="C96" s="9" t="str">
        <v xml:space="preserve">KSB Pumps LTD </v>
      </c>
      <c r="D96" s="9" t="str">
        <v>shirwal</v>
      </c>
      <c r="E96" s="9" t="str">
        <v>Stores</v>
      </c>
      <c r="F96" s="9" t="str">
        <v>Sachine Pawar</v>
      </c>
      <c r="G96" s="9">
        <v>9822412607</v>
      </c>
      <c r="H96" s="9" t="str">
        <v>sachin.pawar@ksb.com</v>
      </c>
      <c r="I96" s="9" t="str">
        <v>10004055/001</v>
      </c>
      <c r="J96" s="9" t="str">
        <v>Contract</v>
      </c>
      <c r="K96" s="9" t="str">
        <v>NO</v>
      </c>
      <c r="L96" s="9" t="str">
        <v>KRIND/W/MC/AB/250007</v>
      </c>
      <c r="M96" s="9">
        <v>45722</v>
      </c>
      <c r="N96" s="9">
        <v>68000</v>
      </c>
      <c r="O96" s="9" t="str">
        <v>March</v>
      </c>
      <c r="P96" s="9" t="str">
        <v>May</v>
      </c>
      <c r="Q96" s="9">
        <v>1</v>
      </c>
      <c r="R96" s="9">
        <v>4507494931</v>
      </c>
      <c r="S96" s="9">
        <v>45771</v>
      </c>
      <c r="T96" s="9">
        <v>62000</v>
      </c>
      <c r="U96" s="9" t="str">
        <v>May</v>
      </c>
      <c r="V96" s="9">
        <v>0</v>
      </c>
      <c r="W96" s="9">
        <v>0</v>
      </c>
      <c r="X96" s="9">
        <v>0</v>
      </c>
      <c r="Y96" s="9">
        <v>0</v>
      </c>
    </row>
    <row r="97" spans="1:25">
      <c r="A97" s="9">
        <v>36</v>
      </c>
      <c r="B97" s="9">
        <v>0</v>
      </c>
      <c r="C97" s="9" t="str">
        <v xml:space="preserve">KSB Pumps LTD </v>
      </c>
      <c r="D97" s="9" t="str">
        <v>shirwal</v>
      </c>
      <c r="E97" s="9" t="str">
        <v>Stores</v>
      </c>
      <c r="F97" s="9" t="str">
        <v>Sachine Pawar</v>
      </c>
      <c r="G97" s="9">
        <v>9822412607</v>
      </c>
      <c r="H97" s="9" t="str">
        <v>sachin.pawar@ksb.com</v>
      </c>
      <c r="I97" s="9" t="str">
        <v>08002469/001</v>
      </c>
      <c r="J97" s="9" t="str">
        <v>Contract</v>
      </c>
      <c r="K97" s="9" t="str">
        <v>NO</v>
      </c>
      <c r="L97" s="9" t="str">
        <v>KRIND/W/MC/AB/250007</v>
      </c>
      <c r="M97" s="9">
        <v>45722</v>
      </c>
      <c r="N97" s="9">
        <v>68000</v>
      </c>
      <c r="O97" s="9" t="str">
        <v>March</v>
      </c>
      <c r="P97" s="9" t="str">
        <v>May</v>
      </c>
      <c r="Q97" s="9">
        <v>1</v>
      </c>
      <c r="R97" s="9">
        <v>4507494931</v>
      </c>
      <c r="S97" s="9">
        <v>45771</v>
      </c>
      <c r="T97" s="9">
        <v>62000</v>
      </c>
      <c r="U97" s="9" t="str">
        <v>May</v>
      </c>
      <c r="V97" s="9">
        <v>0</v>
      </c>
      <c r="W97" s="9">
        <v>0</v>
      </c>
      <c r="X97" s="9">
        <v>0</v>
      </c>
      <c r="Y97" s="9">
        <v>0</v>
      </c>
    </row>
    <row r="98" spans="1:25">
      <c r="A98" s="9">
        <v>36</v>
      </c>
      <c r="B98" s="9">
        <v>0</v>
      </c>
      <c r="C98" s="9" t="str">
        <v xml:space="preserve">KSB Pumps LTD </v>
      </c>
      <c r="D98" s="9" t="str">
        <v>shirwal</v>
      </c>
      <c r="E98" s="9" t="str">
        <v>Stores</v>
      </c>
      <c r="F98" s="9" t="str">
        <v>Sachine Pawar</v>
      </c>
      <c r="G98" s="9">
        <v>9822412607</v>
      </c>
      <c r="H98" s="9" t="str">
        <v>sachin.pawar@ksb.com</v>
      </c>
      <c r="I98" s="9" t="str">
        <v>19003348/001</v>
      </c>
      <c r="J98" s="9" t="str">
        <v>Contract</v>
      </c>
      <c r="K98" s="9" t="str">
        <v>NO</v>
      </c>
      <c r="L98" s="9" t="str">
        <v>KRIND/W/MC/AB/250007</v>
      </c>
      <c r="M98" s="9">
        <v>45722</v>
      </c>
      <c r="N98" s="9">
        <v>68000</v>
      </c>
      <c r="O98" s="9" t="str">
        <v>March</v>
      </c>
      <c r="P98" s="9" t="str">
        <v>May</v>
      </c>
      <c r="Q98" s="9">
        <v>1</v>
      </c>
      <c r="R98" s="9">
        <v>4507494931</v>
      </c>
      <c r="S98" s="9">
        <v>45771</v>
      </c>
      <c r="T98" s="9">
        <v>62000</v>
      </c>
      <c r="U98" s="9" t="str">
        <v>May</v>
      </c>
      <c r="V98" s="9">
        <v>0</v>
      </c>
      <c r="W98" s="9">
        <v>0</v>
      </c>
      <c r="X98" s="9">
        <v>0</v>
      </c>
      <c r="Y98" s="9">
        <v>0</v>
      </c>
    </row>
    <row r="99" spans="1:25">
      <c r="A99" s="9">
        <v>37</v>
      </c>
      <c r="B99" s="9">
        <v>45729</v>
      </c>
      <c r="C99" s="9" t="str">
        <v>Sandvik Coromant India Pvt Ltd</v>
      </c>
      <c r="D99" s="9" t="str">
        <v>Pune</v>
      </c>
      <c r="E99" s="9" t="str">
        <v>Stores</v>
      </c>
      <c r="F99" s="9" t="str">
        <v>Umesh Nagdeote</v>
      </c>
      <c r="G99" s="9">
        <v>0</v>
      </c>
      <c r="H99" s="9" t="str">
        <v>umesh.nagdeote@sandvik.com</v>
      </c>
      <c r="I99" s="9" t="str">
        <v>12005696/001</v>
      </c>
      <c r="J99" s="9" t="str">
        <v>Contract</v>
      </c>
      <c r="K99" s="9" t="str">
        <v>NO</v>
      </c>
      <c r="L99" s="9" t="str">
        <v>KXIND/W/MC/AB25009</v>
      </c>
      <c r="M99" s="9">
        <v>45729</v>
      </c>
      <c r="N99" s="9">
        <v>46000</v>
      </c>
      <c r="O99" s="9" t="str">
        <v>March</v>
      </c>
      <c r="P99" s="9" t="str">
        <v>April</v>
      </c>
      <c r="Q99" s="9">
        <v>1</v>
      </c>
      <c r="R99" s="9">
        <v>4512404840</v>
      </c>
      <c r="S99" s="9">
        <v>45742</v>
      </c>
      <c r="T99" s="9">
        <v>46000</v>
      </c>
      <c r="U99" s="9" t="str">
        <v>March</v>
      </c>
      <c r="V99" s="9">
        <v>0</v>
      </c>
      <c r="W99" s="9">
        <v>0</v>
      </c>
      <c r="X99" s="9">
        <v>0</v>
      </c>
      <c r="Y99" s="9">
        <v>0</v>
      </c>
    </row>
    <row r="100" spans="1:25">
      <c r="A100" s="9">
        <v>37</v>
      </c>
      <c r="B100" s="9">
        <v>0</v>
      </c>
      <c r="C100" s="9" t="str">
        <v>Sandvik Coromant India Pvt Ltd</v>
      </c>
      <c r="D100" s="9" t="str">
        <v>Pune</v>
      </c>
      <c r="E100" s="9" t="str">
        <v>Stores</v>
      </c>
      <c r="F100" s="9" t="str">
        <v>Umesh Nagdeote</v>
      </c>
      <c r="G100" s="9">
        <v>0</v>
      </c>
      <c r="H100" s="9" t="str">
        <v>umesh.nagdeote@sandvik.com</v>
      </c>
      <c r="I100" s="9" t="str">
        <v>17007934/001</v>
      </c>
      <c r="J100" s="9" t="str">
        <v>Contract</v>
      </c>
      <c r="K100" s="9" t="str">
        <v>NO</v>
      </c>
      <c r="L100" s="9" t="str">
        <v>KXIND/W/MC/AB25009</v>
      </c>
      <c r="M100" s="9">
        <v>45729</v>
      </c>
      <c r="N100" s="9">
        <v>46000</v>
      </c>
      <c r="O100" s="9" t="str">
        <v>March</v>
      </c>
      <c r="P100" s="9" t="str">
        <v>April</v>
      </c>
      <c r="Q100" s="9">
        <v>1</v>
      </c>
      <c r="R100" s="9">
        <v>4512404840</v>
      </c>
      <c r="S100" s="9">
        <v>45742</v>
      </c>
      <c r="T100" s="9">
        <v>46000</v>
      </c>
      <c r="U100" s="9" t="str">
        <v>March</v>
      </c>
      <c r="V100" s="9">
        <v>0</v>
      </c>
      <c r="W100" s="9">
        <v>0</v>
      </c>
      <c r="X100" s="9">
        <v>0</v>
      </c>
      <c r="Y100" s="9">
        <v>0</v>
      </c>
    </row>
    <row r="101" spans="1:25">
      <c r="A101" s="9">
        <v>38</v>
      </c>
      <c r="B101" s="9">
        <v>45729</v>
      </c>
      <c r="C101" s="9" t="str">
        <v>Sandvik Coromant India Pvt Ltd</v>
      </c>
      <c r="D101" s="9" t="str">
        <v>Pune</v>
      </c>
      <c r="E101" s="9" t="str">
        <v>PVD</v>
      </c>
      <c r="F101" s="9" t="str">
        <v>Alop Vibhute</v>
      </c>
      <c r="G101" s="9">
        <v>9922423997</v>
      </c>
      <c r="H101" s="9" t="str">
        <v>alop.vibhute@sandvik.com</v>
      </c>
      <c r="I101" s="9" t="str">
        <v>13006092/001</v>
      </c>
      <c r="J101" s="9" t="str">
        <v>Contract</v>
      </c>
      <c r="K101" s="9" t="str">
        <v>NO</v>
      </c>
      <c r="L101" s="9" t="str">
        <v>KXIND/W/MC/AB250010</v>
      </c>
      <c r="M101" s="9">
        <v>45729</v>
      </c>
      <c r="N101" s="9">
        <v>46000</v>
      </c>
      <c r="O101" s="9" t="str">
        <v>March</v>
      </c>
      <c r="P101" s="9" t="str">
        <v>April</v>
      </c>
      <c r="Q101" s="9">
        <v>1</v>
      </c>
      <c r="R101" s="9">
        <v>4512404853</v>
      </c>
      <c r="S101" s="9">
        <v>45742</v>
      </c>
      <c r="T101" s="9">
        <v>46000</v>
      </c>
      <c r="U101" s="9" t="str">
        <v>March</v>
      </c>
      <c r="V101" s="9">
        <v>0</v>
      </c>
      <c r="W101" s="9">
        <v>0</v>
      </c>
      <c r="X101" s="9">
        <v>0</v>
      </c>
      <c r="Y101" s="9">
        <v>0</v>
      </c>
    </row>
    <row r="102" spans="1:25">
      <c r="A102" s="9">
        <v>38</v>
      </c>
      <c r="B102" s="9">
        <v>0</v>
      </c>
      <c r="C102" s="9" t="str">
        <v>Sandvik Coromant India Pvt Ltd</v>
      </c>
      <c r="D102" s="9" t="str">
        <v>Pune</v>
      </c>
      <c r="E102" s="9" t="str">
        <v>CVD</v>
      </c>
      <c r="F102" s="9" t="str">
        <v>Alop Vibhute</v>
      </c>
      <c r="G102" s="9">
        <v>9922423997</v>
      </c>
      <c r="H102" s="9" t="str">
        <v>alop.vibhute@sandvik.com</v>
      </c>
      <c r="I102" s="9" t="str">
        <v>16003851/001</v>
      </c>
      <c r="J102" s="9" t="str">
        <v>Contract</v>
      </c>
      <c r="K102" s="9" t="str">
        <v>NO</v>
      </c>
      <c r="L102" s="9" t="str">
        <v>KXIND/W/MC/AB250010</v>
      </c>
      <c r="M102" s="9">
        <v>45729</v>
      </c>
      <c r="N102" s="9">
        <v>46000</v>
      </c>
      <c r="O102" s="9" t="str">
        <v>March</v>
      </c>
      <c r="P102" s="9" t="str">
        <v>April</v>
      </c>
      <c r="Q102" s="9">
        <v>1</v>
      </c>
      <c r="R102" s="9">
        <v>4512404853</v>
      </c>
      <c r="S102" s="9">
        <v>45742</v>
      </c>
      <c r="T102" s="9">
        <v>46000</v>
      </c>
      <c r="U102" s="9" t="str">
        <v>March</v>
      </c>
      <c r="V102" s="9">
        <v>0</v>
      </c>
      <c r="W102" s="9">
        <v>0</v>
      </c>
      <c r="X102" s="9">
        <v>0</v>
      </c>
      <c r="Y102" s="9">
        <v>0</v>
      </c>
    </row>
    <row r="103" spans="1:25">
      <c r="A103" s="9">
        <v>38</v>
      </c>
      <c r="B103" s="9">
        <v>0</v>
      </c>
      <c r="C103" s="9" t="str">
        <v>Sandvik Coromant India Pvt Ltd</v>
      </c>
      <c r="D103" s="9" t="str">
        <v>Pune</v>
      </c>
      <c r="E103" s="9" t="str">
        <v>CVD</v>
      </c>
      <c r="F103" s="9" t="str">
        <v>Alop Vibhute</v>
      </c>
      <c r="G103" s="9">
        <v>9922423997</v>
      </c>
      <c r="H103" s="9" t="str">
        <v>alop.vibhute@sandvik.com</v>
      </c>
      <c r="I103" s="9" t="str">
        <v>11007994/001</v>
      </c>
      <c r="J103" s="9" t="str">
        <v>Contract</v>
      </c>
      <c r="K103" s="9" t="str">
        <v>NO</v>
      </c>
      <c r="L103" s="9" t="str">
        <v>KXIND/W/MC/AB250010</v>
      </c>
      <c r="M103" s="9">
        <v>45729</v>
      </c>
      <c r="N103" s="9">
        <v>46000</v>
      </c>
      <c r="O103" s="9" t="str">
        <v>March</v>
      </c>
      <c r="P103" s="9" t="str">
        <v>April</v>
      </c>
      <c r="Q103" s="9">
        <v>1</v>
      </c>
      <c r="R103" s="9">
        <v>4512404853</v>
      </c>
      <c r="S103" s="9">
        <v>45742</v>
      </c>
      <c r="T103" s="9">
        <v>46000</v>
      </c>
      <c r="U103" s="9" t="str">
        <v>March</v>
      </c>
      <c r="V103" s="9">
        <v>0</v>
      </c>
      <c r="W103" s="9">
        <v>0</v>
      </c>
      <c r="X103" s="9">
        <v>0</v>
      </c>
      <c r="Y103" s="9">
        <v>0</v>
      </c>
    </row>
    <row r="104" spans="1:25">
      <c r="A104" s="9">
        <v>39</v>
      </c>
      <c r="B104" s="9">
        <v>45729</v>
      </c>
      <c r="C104" s="9" t="str">
        <v xml:space="preserve">KSB Pumps LTD </v>
      </c>
      <c r="D104" s="9" t="str">
        <v>Chinchwad</v>
      </c>
      <c r="E104" s="9" t="str">
        <v>Stores</v>
      </c>
      <c r="F104" s="9" t="str">
        <v>Navnath Tarade</v>
      </c>
      <c r="G104" s="9">
        <v>8087766962</v>
      </c>
      <c r="H104" s="9" t="str">
        <v>Navnath.Tarade@ksb.com</v>
      </c>
      <c r="I104" s="9" t="str">
        <v>01004097/001</v>
      </c>
      <c r="J104" s="9" t="str">
        <v>Contract</v>
      </c>
      <c r="K104" s="9" t="str">
        <v>NO</v>
      </c>
      <c r="L104" s="9" t="str">
        <v>KRIND/W/MC/AB/250011</v>
      </c>
      <c r="M104" s="9">
        <v>45730</v>
      </c>
      <c r="N104" s="9">
        <v>68000</v>
      </c>
      <c r="O104" s="9" t="str">
        <v>March</v>
      </c>
      <c r="P104" s="9" t="str">
        <v>March</v>
      </c>
      <c r="Q104" s="9">
        <v>1</v>
      </c>
      <c r="R104" s="9">
        <v>4507449999</v>
      </c>
      <c r="S104" s="9">
        <v>45742</v>
      </c>
      <c r="T104" s="9">
        <v>67000</v>
      </c>
      <c r="U104" s="9" t="str">
        <v>March</v>
      </c>
      <c r="V104" s="9">
        <v>0</v>
      </c>
      <c r="W104" s="9">
        <v>0</v>
      </c>
      <c r="X104" s="9">
        <v>0</v>
      </c>
      <c r="Y104" s="9">
        <v>0</v>
      </c>
    </row>
    <row r="105" spans="1:25">
      <c r="A105" s="9">
        <v>40</v>
      </c>
      <c r="B105" s="9">
        <v>45730</v>
      </c>
      <c r="C105" s="9" t="str">
        <v xml:space="preserve">Bharat Forge LTD </v>
      </c>
      <c r="D105" s="9" t="str">
        <v>Baramati</v>
      </c>
      <c r="E105" s="9" t="str">
        <v>MCD I</v>
      </c>
      <c r="F105" s="9" t="str">
        <v>Digamber Madpe</v>
      </c>
      <c r="G105" s="9">
        <v>9975695729</v>
      </c>
      <c r="H105" s="9" t="str">
        <v>Digamber.Madape@bharatforge.com</v>
      </c>
      <c r="I105" s="9" t="str">
        <v>11010627/001</v>
      </c>
      <c r="J105" s="9" t="str">
        <v>Contract</v>
      </c>
      <c r="K105" s="9" t="str">
        <v>NO</v>
      </c>
      <c r="L105" s="9" t="str">
        <v>KRIND/W/MC/AB/240012</v>
      </c>
      <c r="M105" s="9">
        <v>45730</v>
      </c>
      <c r="N105" s="9">
        <v>85000</v>
      </c>
      <c r="O105" s="9" t="str">
        <v>March</v>
      </c>
      <c r="P105" s="9" t="str">
        <v>June</v>
      </c>
      <c r="Q105" s="9">
        <v>1</v>
      </c>
      <c r="R105" s="9">
        <v>4601465639</v>
      </c>
      <c r="S105" s="9">
        <v>45845</v>
      </c>
      <c r="T105" s="9">
        <v>85000</v>
      </c>
      <c r="U105" s="9" t="str">
        <v>July</v>
      </c>
      <c r="V105" s="9">
        <v>0</v>
      </c>
      <c r="W105" s="9">
        <v>0</v>
      </c>
      <c r="X105" s="9">
        <v>0</v>
      </c>
      <c r="Y105" s="9">
        <v>0</v>
      </c>
    </row>
    <row r="106" spans="1:25">
      <c r="A106" s="9">
        <v>40</v>
      </c>
      <c r="B106" s="9">
        <v>0</v>
      </c>
      <c r="C106" s="9" t="str">
        <v xml:space="preserve">Bharat Forge LTD </v>
      </c>
      <c r="D106" s="9" t="str">
        <v>Baramati</v>
      </c>
      <c r="E106" s="9" t="str">
        <v>MCD II</v>
      </c>
      <c r="F106" s="9" t="str">
        <v>Digamber Madpe</v>
      </c>
      <c r="G106" s="9">
        <v>9975695729</v>
      </c>
      <c r="H106" s="9" t="str">
        <v>Digamber.Madape@bharatforge.com</v>
      </c>
      <c r="I106" s="9" t="str">
        <v>18004625/001</v>
      </c>
      <c r="J106" s="9" t="str">
        <v>Contract</v>
      </c>
      <c r="K106" s="9" t="str">
        <v>NO</v>
      </c>
      <c r="L106" s="9" t="str">
        <v>KRIND/W/MC/AB/240012</v>
      </c>
      <c r="M106" s="9">
        <v>45730</v>
      </c>
      <c r="N106" s="9">
        <v>85000</v>
      </c>
      <c r="O106" s="9" t="str">
        <v>March</v>
      </c>
      <c r="P106" s="9" t="str">
        <v>June</v>
      </c>
      <c r="Q106" s="9">
        <v>1</v>
      </c>
      <c r="R106" s="9">
        <v>4601465628</v>
      </c>
      <c r="S106" s="9">
        <v>45845</v>
      </c>
      <c r="T106" s="9">
        <v>85000</v>
      </c>
      <c r="U106" s="9" t="str">
        <v>July</v>
      </c>
      <c r="V106" s="9">
        <v>0</v>
      </c>
      <c r="W106" s="9">
        <v>0</v>
      </c>
      <c r="X106" s="9">
        <v>0</v>
      </c>
      <c r="Y106" s="9">
        <v>0</v>
      </c>
    </row>
    <row r="107" spans="1:25">
      <c r="A107" s="9">
        <v>40</v>
      </c>
      <c r="B107" s="9">
        <v>0</v>
      </c>
      <c r="C107" s="9" t="str">
        <v xml:space="preserve">Bharat Forge LTD </v>
      </c>
      <c r="D107" s="9" t="str">
        <v>Baramati</v>
      </c>
      <c r="E107" s="9" t="str">
        <v>MCD III</v>
      </c>
      <c r="F107" s="9" t="str">
        <v>Digamber Madpe</v>
      </c>
      <c r="G107" s="9">
        <v>9975695729</v>
      </c>
      <c r="H107" s="9" t="str">
        <v>Digamber.Madape@bharatforge.com</v>
      </c>
      <c r="I107" s="9" t="str">
        <v>22000159/001</v>
      </c>
      <c r="J107" s="9" t="str">
        <v>Contract</v>
      </c>
      <c r="K107" s="9" t="str">
        <v>NO</v>
      </c>
      <c r="L107" s="9" t="str">
        <v>KRIND/W/MC/AB/240012</v>
      </c>
      <c r="M107" s="9">
        <v>45730</v>
      </c>
      <c r="N107" s="9">
        <v>85000</v>
      </c>
      <c r="O107" s="9" t="str">
        <v>March</v>
      </c>
      <c r="P107" s="9" t="str">
        <v>June</v>
      </c>
      <c r="Q107" s="9">
        <v>1</v>
      </c>
      <c r="R107" s="9">
        <v>4601465566</v>
      </c>
      <c r="S107" s="9">
        <v>45845</v>
      </c>
      <c r="T107" s="9">
        <v>85000</v>
      </c>
      <c r="U107" s="9" t="str">
        <v>July</v>
      </c>
      <c r="V107" s="9">
        <v>0</v>
      </c>
      <c r="W107" s="9">
        <v>0</v>
      </c>
      <c r="X107" s="9">
        <v>0</v>
      </c>
      <c r="Y107" s="9">
        <v>0</v>
      </c>
    </row>
    <row r="108" spans="1:25">
      <c r="A108" s="9">
        <v>41</v>
      </c>
      <c r="B108" s="9">
        <v>45733</v>
      </c>
      <c r="C108" s="9" t="str">
        <v>Sandvik Coromant India Pvt Ltd</v>
      </c>
      <c r="D108" s="9" t="str">
        <v>Pune</v>
      </c>
      <c r="E108" s="9" t="str">
        <v>Copper Tools</v>
      </c>
      <c r="F108" s="9" t="str">
        <v>Mahesh Daware</v>
      </c>
      <c r="G108" s="9">
        <v>9822696069</v>
      </c>
      <c r="H108" s="9" t="str">
        <v>mahesh.daware@sandvik.com</v>
      </c>
      <c r="I108" s="9" t="str">
        <v>14002101/001</v>
      </c>
      <c r="J108" s="9" t="str">
        <v>Contract</v>
      </c>
      <c r="K108" s="9" t="str">
        <v>NO</v>
      </c>
      <c r="L108" s="9" t="str">
        <v>KXIND/W/MC/AB25013</v>
      </c>
      <c r="M108" s="9">
        <v>45733</v>
      </c>
      <c r="N108" s="9">
        <v>46000</v>
      </c>
      <c r="O108" s="9" t="str">
        <v>March</v>
      </c>
      <c r="P108" s="9" t="str">
        <v>March</v>
      </c>
      <c r="Q108" s="9">
        <v>1</v>
      </c>
      <c r="R108" s="9">
        <v>4512404825</v>
      </c>
      <c r="S108" s="9">
        <v>45742</v>
      </c>
      <c r="T108" s="9">
        <v>46000</v>
      </c>
      <c r="U108" s="9" t="str">
        <v>March</v>
      </c>
      <c r="V108" s="9">
        <v>0</v>
      </c>
      <c r="W108" s="9">
        <v>0</v>
      </c>
      <c r="X108" s="9">
        <v>0</v>
      </c>
      <c r="Y108" s="9">
        <v>0</v>
      </c>
    </row>
    <row r="109" spans="1:25">
      <c r="A109" s="9">
        <v>41</v>
      </c>
      <c r="B109" s="9">
        <v>0</v>
      </c>
      <c r="C109" s="9" t="str">
        <v>Sandvik Coromant India Pvt Ltd</v>
      </c>
      <c r="D109" s="9" t="str">
        <v>Pune</v>
      </c>
      <c r="E109" s="9" t="str">
        <v>Copper Tools</v>
      </c>
      <c r="F109" s="9" t="str">
        <v>Mahesh Daware</v>
      </c>
      <c r="G109" s="9">
        <v>9822696069</v>
      </c>
      <c r="H109" s="9" t="str">
        <v>mahesh.daware@sandvik.com</v>
      </c>
      <c r="I109" s="9" t="str">
        <v>17007827/001</v>
      </c>
      <c r="J109" s="9" t="str">
        <v>Contract</v>
      </c>
      <c r="K109" s="9" t="str">
        <v>NO</v>
      </c>
      <c r="L109" s="9" t="str">
        <v>KXIND/W/MC/AB25013</v>
      </c>
      <c r="M109" s="9">
        <v>45733</v>
      </c>
      <c r="N109" s="9">
        <v>46000</v>
      </c>
      <c r="O109" s="9" t="str">
        <v>March</v>
      </c>
      <c r="P109" s="9" t="str">
        <v>March</v>
      </c>
      <c r="Q109" s="9">
        <v>1</v>
      </c>
      <c r="R109" s="9">
        <v>4512404825</v>
      </c>
      <c r="S109" s="9">
        <v>45742</v>
      </c>
      <c r="T109" s="9">
        <v>46000</v>
      </c>
      <c r="U109" s="9" t="str">
        <v>March</v>
      </c>
      <c r="V109" s="9">
        <v>0</v>
      </c>
      <c r="W109" s="9">
        <v>0</v>
      </c>
      <c r="X109" s="9">
        <v>0</v>
      </c>
      <c r="Y109" s="9">
        <v>0</v>
      </c>
    </row>
    <row r="110" spans="1:25">
      <c r="A110" s="9">
        <v>42</v>
      </c>
      <c r="B110" s="9">
        <v>45733</v>
      </c>
      <c r="C110" s="9" t="str">
        <v>Sandvik Coromant India Pvt Ltd</v>
      </c>
      <c r="D110" s="9" t="str">
        <v>Pune</v>
      </c>
      <c r="E110" s="9" t="str">
        <v>Grinding</v>
      </c>
      <c r="F110" s="9" t="str">
        <v>Rahul Patil</v>
      </c>
      <c r="G110" s="9">
        <v>9881028664</v>
      </c>
      <c r="H110" s="9" t="str">
        <v>rahul.patil@sandvik.com</v>
      </c>
      <c r="I110" s="9" t="str">
        <v>22005731/001</v>
      </c>
      <c r="J110" s="9" t="str">
        <v>Contract</v>
      </c>
      <c r="K110" s="9" t="str">
        <v>YES</v>
      </c>
      <c r="L110" s="9" t="str">
        <v>KXIND/W/MC/AB25014</v>
      </c>
      <c r="M110" s="9" t="str">
        <v>17/03/305</v>
      </c>
      <c r="N110" s="9">
        <v>46000</v>
      </c>
      <c r="O110" s="9" t="str">
        <v>March</v>
      </c>
      <c r="P110" s="9" t="str">
        <v>April</v>
      </c>
      <c r="Q110" s="9">
        <v>1</v>
      </c>
      <c r="R110" s="9">
        <v>4512433191</v>
      </c>
      <c r="S110" s="9">
        <v>45749</v>
      </c>
      <c r="T110" s="9">
        <v>46000</v>
      </c>
      <c r="U110" s="9" t="str">
        <v>April</v>
      </c>
      <c r="V110" s="9">
        <v>0</v>
      </c>
      <c r="W110" s="9">
        <v>0</v>
      </c>
      <c r="X110" s="9">
        <v>0</v>
      </c>
      <c r="Y110" s="9">
        <v>0</v>
      </c>
    </row>
    <row r="111" spans="1:25">
      <c r="A111" s="9">
        <v>43</v>
      </c>
      <c r="B111" s="9">
        <v>45728</v>
      </c>
      <c r="C111" s="9" t="str">
        <v>Kalyani technoforge Ltd.</v>
      </c>
      <c r="D111" s="9" t="str">
        <v>Khed</v>
      </c>
      <c r="E111" s="9" t="str">
        <v>Tool Room</v>
      </c>
      <c r="F111" s="9" t="str">
        <v>Chetan Aragade</v>
      </c>
      <c r="G111" s="9">
        <v>7350995364</v>
      </c>
      <c r="H111" s="9" t="str">
        <v>khed.Toolcrib@kalyanitransmissiontechnology.com</v>
      </c>
      <c r="I111" s="9" t="str">
        <v>17006347/001</v>
      </c>
      <c r="J111" s="9" t="str">
        <v>SPP</v>
      </c>
      <c r="K111" s="9" t="str">
        <v>YES</v>
      </c>
      <c r="L111" s="9" t="str">
        <v>KRIND/W/SPP/AB25012</v>
      </c>
      <c r="M111" s="9">
        <v>45728</v>
      </c>
      <c r="N111" s="9">
        <v>238122</v>
      </c>
      <c r="O111" s="9" t="str">
        <v>March</v>
      </c>
      <c r="P111" s="9" t="str">
        <v>March</v>
      </c>
      <c r="Q111" s="9">
        <v>1</v>
      </c>
      <c r="R111" s="9">
        <v>4400209383</v>
      </c>
      <c r="S111" s="9">
        <v>45741</v>
      </c>
      <c r="T111" s="9">
        <v>222000</v>
      </c>
      <c r="U111" s="9" t="str">
        <v>March</v>
      </c>
      <c r="V111" s="9">
        <v>0</v>
      </c>
      <c r="W111" s="9">
        <v>0</v>
      </c>
      <c r="X111" s="9">
        <v>0</v>
      </c>
      <c r="Y111" s="9">
        <v>0</v>
      </c>
    </row>
    <row r="112" spans="1:25">
      <c r="A112" s="9">
        <v>44</v>
      </c>
      <c r="B112" s="9">
        <v>45723</v>
      </c>
      <c r="C112" s="9" t="str">
        <v>Cummins Technologis India Pvt Ltd</v>
      </c>
      <c r="D112" s="9" t="str">
        <v>phaltan</v>
      </c>
      <c r="E112" s="9" t="str">
        <v>Maintenance</v>
      </c>
      <c r="F112" s="9" t="str">
        <v>Anand Visal</v>
      </c>
      <c r="G112" s="9">
        <v>9881235724</v>
      </c>
      <c r="H112" s="9" t="str">
        <v>anand.v.visal@cummins.com</v>
      </c>
      <c r="I112" s="9" t="str">
        <v>16006746/001</v>
      </c>
      <c r="J112" s="9" t="str">
        <v>Relocation</v>
      </c>
      <c r="K112" s="9" t="str">
        <v>NO</v>
      </c>
      <c r="L112" s="9" t="str">
        <v>KAR/IND/RE/AB/25001</v>
      </c>
      <c r="M112" s="9">
        <v>45723</v>
      </c>
      <c r="N112" s="9">
        <v>365000</v>
      </c>
      <c r="O112" s="9" t="str">
        <v>March</v>
      </c>
      <c r="P112" s="9" t="str">
        <v>November</v>
      </c>
      <c r="Q112" s="9">
        <v>1</v>
      </c>
      <c r="R112" s="9" t="str">
        <v>IND8099766</v>
      </c>
      <c r="S112" s="9">
        <v>45404</v>
      </c>
      <c r="T112" s="9">
        <v>360000</v>
      </c>
      <c r="U112" s="9" t="str">
        <v>November</v>
      </c>
      <c r="V112" s="9">
        <v>0</v>
      </c>
      <c r="W112" s="9">
        <v>0</v>
      </c>
      <c r="X112" s="9">
        <v>0</v>
      </c>
      <c r="Y112" s="9">
        <v>0</v>
      </c>
    </row>
    <row r="113" spans="1:25">
      <c r="A113" s="9">
        <v>45</v>
      </c>
      <c r="B113" s="9">
        <v>45740</v>
      </c>
      <c r="C113" s="9" t="str">
        <v>Sandvik Coromant India Pvt Ltd</v>
      </c>
      <c r="D113" s="9" t="str">
        <v>Pune</v>
      </c>
      <c r="E113" s="9" t="str">
        <v>Round Tools</v>
      </c>
      <c r="F113" s="9" t="str">
        <v>Sunny Rangire</v>
      </c>
      <c r="G113" s="9">
        <v>9860084043</v>
      </c>
      <c r="H113" s="9" t="str">
        <v>sunny.rangire@sandvik.com</v>
      </c>
      <c r="I113" s="9">
        <v>136391</v>
      </c>
      <c r="J113" s="9" t="str">
        <v>Contract</v>
      </c>
      <c r="K113" s="9" t="str">
        <v>NO</v>
      </c>
      <c r="L113" s="9" t="str">
        <v>KXIND/W/MC/AB25015</v>
      </c>
      <c r="M113" s="9">
        <v>45740</v>
      </c>
      <c r="N113" s="9">
        <v>269660</v>
      </c>
      <c r="O113" s="9" t="str">
        <v>March</v>
      </c>
      <c r="P113" s="9" t="str">
        <v>April</v>
      </c>
      <c r="Q113" s="9">
        <v>1</v>
      </c>
      <c r="R113" s="9">
        <v>4512439844</v>
      </c>
      <c r="S113" s="9">
        <v>45750</v>
      </c>
      <c r="T113" s="9">
        <v>269660</v>
      </c>
      <c r="U113" s="9" t="str">
        <v>April</v>
      </c>
      <c r="V113" s="9">
        <v>0</v>
      </c>
      <c r="W113" s="9">
        <v>0</v>
      </c>
      <c r="X113" s="9">
        <v>0</v>
      </c>
      <c r="Y113" s="9">
        <v>0</v>
      </c>
    </row>
    <row r="114" spans="1:25">
      <c r="A114" s="9">
        <v>46</v>
      </c>
      <c r="B114" s="9">
        <v>45741</v>
      </c>
      <c r="C114" s="9" t="str">
        <v>GE India Industrial Pvt.Ltd.</v>
      </c>
      <c r="D114" s="9" t="str">
        <v>Pune</v>
      </c>
      <c r="E114" s="9" t="str">
        <v>Fixture</v>
      </c>
      <c r="F114" s="9" t="str">
        <v>vishal.khaware</v>
      </c>
      <c r="G114" s="9">
        <v>8975397991</v>
      </c>
      <c r="H114" s="9" t="str">
        <v>vishal.khaware@geaerospace.com</v>
      </c>
      <c r="I114" s="9" t="str">
        <v>16004510/001</v>
      </c>
      <c r="J114" s="9" t="str">
        <v>BD Spare</v>
      </c>
      <c r="K114" s="9" t="str">
        <v>YES</v>
      </c>
      <c r="L114" s="9" t="str">
        <v xml:space="preserve">KRIND/AB/SPP/BD/25001 </v>
      </c>
      <c r="M114" s="9">
        <v>45740</v>
      </c>
      <c r="N114" s="9">
        <v>146990</v>
      </c>
      <c r="O114" s="9" t="str">
        <v>March</v>
      </c>
      <c r="P114" s="9" t="str">
        <v>April</v>
      </c>
      <c r="Q114" s="9">
        <v>1</v>
      </c>
      <c r="R114" s="9">
        <v>2007022</v>
      </c>
      <c r="S114" s="9">
        <v>45748</v>
      </c>
      <c r="T114" s="9">
        <v>285160</v>
      </c>
      <c r="U114" s="9" t="str">
        <v>April</v>
      </c>
      <c r="V114" s="9">
        <v>0</v>
      </c>
      <c r="W114" s="9">
        <v>0</v>
      </c>
      <c r="X114" s="9">
        <v>0</v>
      </c>
      <c r="Y114" s="9">
        <v>0</v>
      </c>
    </row>
    <row r="115" spans="1:25">
      <c r="A115" s="9">
        <v>47</v>
      </c>
      <c r="B115" s="9">
        <v>45741</v>
      </c>
      <c r="C115" s="9" t="str">
        <v>Cummins Technologis India Pvt Ltd</v>
      </c>
      <c r="D115" s="9" t="str">
        <v>phaltan</v>
      </c>
      <c r="E115" s="9" t="str">
        <v>PCP2</v>
      </c>
      <c r="F115" s="9" t="str">
        <v>Bhushan Dhaigude</v>
      </c>
      <c r="G115" s="9">
        <v>19003779</v>
      </c>
      <c r="H115" s="9" t="str">
        <v>bhushan.dhaigude@cummins.com</v>
      </c>
      <c r="I115" s="9" t="str">
        <v>19003779/001</v>
      </c>
      <c r="J115" s="9" t="str">
        <v>Contract</v>
      </c>
      <c r="K115" s="9" t="str">
        <v>NO</v>
      </c>
      <c r="L115" s="9" t="str">
        <v>KRIND/SPP/AB24048</v>
      </c>
      <c r="M115" s="9">
        <v>45656</v>
      </c>
      <c r="N115" s="9">
        <v>80000</v>
      </c>
      <c r="O115" s="9" t="str">
        <v>March</v>
      </c>
      <c r="P115" s="9" t="str">
        <v>April</v>
      </c>
      <c r="Q115" s="9">
        <v>1</v>
      </c>
      <c r="R115" s="9" t="str">
        <v>IND8080663</v>
      </c>
      <c r="S115" s="9">
        <v>45750</v>
      </c>
      <c r="T115" s="9">
        <v>80000</v>
      </c>
      <c r="U115" s="9" t="str">
        <v>April</v>
      </c>
      <c r="V115" s="9">
        <v>0</v>
      </c>
      <c r="W115" s="9">
        <v>0</v>
      </c>
      <c r="X115" s="9">
        <v>0</v>
      </c>
      <c r="Y115" s="9">
        <v>0</v>
      </c>
    </row>
    <row r="116" spans="1:25">
      <c r="A116" s="9">
        <v>48</v>
      </c>
      <c r="B116" s="9">
        <v>45772</v>
      </c>
      <c r="C116" s="9" t="str">
        <v>Bajaj Auto Ltd</v>
      </c>
      <c r="D116" s="9" t="str">
        <v>Pune</v>
      </c>
      <c r="E116" s="9" t="str">
        <v>Stores</v>
      </c>
      <c r="F116" s="9" t="str">
        <v>N R PAtil</v>
      </c>
      <c r="G116" s="9">
        <v>9890500449</v>
      </c>
      <c r="H116" s="9" t="str">
        <v>nrpatil@bajajauto.co.in</v>
      </c>
      <c r="I116" s="9" t="str">
        <v>04005026/001</v>
      </c>
      <c r="J116" s="9" t="str">
        <v>Midlife Upgrade</v>
      </c>
      <c r="K116" s="9" t="str">
        <v>YES</v>
      </c>
      <c r="L116" s="9" t="str">
        <v>KRIND/AP/SPP/240043</v>
      </c>
      <c r="M116" s="9">
        <v>45567</v>
      </c>
      <c r="N116" s="9">
        <v>1153400</v>
      </c>
      <c r="O116" s="9" t="str">
        <v>April</v>
      </c>
      <c r="P116" s="9" t="str">
        <v>April</v>
      </c>
      <c r="Q116" s="9">
        <v>1</v>
      </c>
      <c r="R116" s="9">
        <v>7210030994</v>
      </c>
      <c r="S116" s="9">
        <v>45722</v>
      </c>
      <c r="T116" s="9">
        <v>1095730</v>
      </c>
      <c r="U116" s="9" t="str">
        <v>April</v>
      </c>
      <c r="V116" s="9">
        <v>0</v>
      </c>
      <c r="W116" s="9">
        <v>0</v>
      </c>
      <c r="X116" s="9">
        <v>0</v>
      </c>
      <c r="Y116" s="9">
        <v>0</v>
      </c>
    </row>
    <row r="117" spans="1:25">
      <c r="A117" s="9">
        <v>49</v>
      </c>
      <c r="B117" s="9">
        <v>45756</v>
      </c>
      <c r="C117" s="9" t="str">
        <v>Knorr-Bremse Systems for Commercial Vehicles</v>
      </c>
      <c r="D117" s="9" t="str">
        <v>Pune</v>
      </c>
      <c r="E117" s="9" t="str">
        <v>Stores</v>
      </c>
      <c r="F117" s="9" t="str">
        <v>Kiran Deo</v>
      </c>
      <c r="G117" s="9">
        <v>9907829409</v>
      </c>
      <c r="H117" s="9" t="str">
        <v>Kiran.Deo@knorr-bremse.com</v>
      </c>
      <c r="I117" s="9" t="str">
        <v>24000529/001</v>
      </c>
      <c r="J117" s="9" t="str">
        <v>Relocation</v>
      </c>
      <c r="K117" s="9" t="str">
        <v>NO</v>
      </c>
      <c r="L117" s="9" t="str">
        <v>KAR/IND/RE/AB/25003</v>
      </c>
      <c r="M117" s="9">
        <v>45756</v>
      </c>
      <c r="N117" s="9">
        <v>395000</v>
      </c>
      <c r="O117" s="9" t="str">
        <v>April</v>
      </c>
      <c r="P117" s="9" t="str">
        <v>June</v>
      </c>
      <c r="Q117" s="9">
        <v>1</v>
      </c>
      <c r="R117" s="9">
        <v>4503772757</v>
      </c>
      <c r="S117" s="9">
        <v>45817</v>
      </c>
      <c r="T117" s="9">
        <v>380000</v>
      </c>
      <c r="U117" s="9" t="str">
        <v>June</v>
      </c>
      <c r="V117" s="9">
        <v>0</v>
      </c>
      <c r="W117" s="9">
        <v>0</v>
      </c>
      <c r="X117" s="9">
        <v>0</v>
      </c>
      <c r="Y117" s="9">
        <v>0</v>
      </c>
    </row>
    <row r="118" spans="1:25">
      <c r="A118" s="9">
        <v>50</v>
      </c>
      <c r="B118" s="9">
        <v>45776</v>
      </c>
      <c r="C118" s="9" t="str">
        <v>Sandvik Coromant India Pvt Ltd</v>
      </c>
      <c r="D118" s="9" t="str">
        <v>Pune</v>
      </c>
      <c r="E118" s="9" t="str">
        <v>Round Tools</v>
      </c>
      <c r="F118" s="9" t="str">
        <v>Sunny Rangire</v>
      </c>
      <c r="G118" s="9">
        <v>9860084043</v>
      </c>
      <c r="H118" s="9" t="str">
        <v>sunny.rangire@sandvik.com</v>
      </c>
      <c r="I118" s="9" t="str">
        <v>18005569/001</v>
      </c>
      <c r="J118" s="9" t="str">
        <v>BD Spare</v>
      </c>
      <c r="K118" s="9" t="str">
        <v>NO</v>
      </c>
      <c r="L118" s="9" t="str">
        <v>KRIND/AB/BD/SPP/25007</v>
      </c>
      <c r="M118" s="9">
        <v>45776</v>
      </c>
      <c r="N118" s="9">
        <v>255000</v>
      </c>
      <c r="O118" s="9" t="str">
        <v>April</v>
      </c>
      <c r="P118" s="9" t="str">
        <v>May</v>
      </c>
      <c r="Q118" s="9">
        <v>1</v>
      </c>
      <c r="R118" s="9">
        <v>4512581674</v>
      </c>
      <c r="S118" s="9">
        <v>45785</v>
      </c>
      <c r="T118" s="9">
        <v>247350</v>
      </c>
      <c r="U118" s="9" t="str">
        <v>May</v>
      </c>
      <c r="V118" s="9">
        <v>0</v>
      </c>
      <c r="W118" s="9">
        <v>0</v>
      </c>
      <c r="X118" s="9">
        <v>0</v>
      </c>
      <c r="Y118" s="9">
        <v>0</v>
      </c>
    </row>
    <row r="119" spans="1:25">
      <c r="A119" s="9">
        <v>51</v>
      </c>
      <c r="B119" s="9">
        <v>45776</v>
      </c>
      <c r="C119" s="9" t="str">
        <v>Siemens Ltd.</v>
      </c>
      <c r="D119" s="9" t="str">
        <v>Mumbai</v>
      </c>
      <c r="E119" s="9" t="str">
        <v>SWG</v>
      </c>
      <c r="F119" s="9" t="str">
        <v>Datta Bagayatkar</v>
      </c>
      <c r="G119" s="9">
        <v>9819509486</v>
      </c>
      <c r="H119" s="9" t="str">
        <v>Ddataram.bagayatkar@siemens.com</v>
      </c>
      <c r="I119" s="9" t="str">
        <v>11004947/001</v>
      </c>
      <c r="J119" s="9" t="str">
        <v>SPP</v>
      </c>
      <c r="K119" s="9" t="str">
        <v>YES</v>
      </c>
      <c r="L119" s="9" t="str">
        <v>KRIND/W/SPP/AB25011</v>
      </c>
      <c r="M119" s="9">
        <v>45776</v>
      </c>
      <c r="N119" s="9">
        <v>1120351</v>
      </c>
      <c r="O119" s="9" t="str">
        <v>April</v>
      </c>
      <c r="P119" s="9" t="str">
        <v>June</v>
      </c>
      <c r="Q119" s="9">
        <v>1</v>
      </c>
      <c r="R119" s="9">
        <v>4513539130</v>
      </c>
      <c r="S119" s="9">
        <v>45825</v>
      </c>
      <c r="T119" s="9">
        <v>1164160</v>
      </c>
      <c r="U119" s="9" t="str">
        <v>June</v>
      </c>
      <c r="V119" s="9">
        <v>0</v>
      </c>
      <c r="W119" s="9">
        <v>0</v>
      </c>
      <c r="X119" s="9">
        <v>0</v>
      </c>
      <c r="Y119" s="9">
        <v>0</v>
      </c>
    </row>
    <row r="120" spans="1:25">
      <c r="A120" s="9">
        <v>52</v>
      </c>
      <c r="B120" s="9">
        <v>45776</v>
      </c>
      <c r="C120" s="9" t="str">
        <v>Siemens Ltd.</v>
      </c>
      <c r="D120" s="9" t="str">
        <v>Mumbai</v>
      </c>
      <c r="E120" s="9" t="str">
        <v>SWG</v>
      </c>
      <c r="F120" s="9" t="str">
        <v>Datta Bagayatkar</v>
      </c>
      <c r="G120" s="9">
        <v>9819509486</v>
      </c>
      <c r="H120" s="9" t="str">
        <v>Ddataram.bagayatkar@siemens.com</v>
      </c>
      <c r="I120" s="9" t="str">
        <v>05006083/001</v>
      </c>
      <c r="J120" s="9" t="str">
        <v>Midlife Upgrade</v>
      </c>
      <c r="K120" s="9" t="str">
        <v>YES</v>
      </c>
      <c r="L120" s="9" t="str">
        <v>KRIND/W/SPP/AB25011/MLU</v>
      </c>
      <c r="M120" s="9">
        <v>45776</v>
      </c>
      <c r="N120" s="9">
        <v>504980</v>
      </c>
      <c r="O120" s="9" t="str">
        <v>April</v>
      </c>
      <c r="P120" s="9" t="str">
        <v>June</v>
      </c>
      <c r="Q120" s="9">
        <v>1</v>
      </c>
      <c r="R120" s="9">
        <v>4513551713</v>
      </c>
      <c r="S120" s="9">
        <v>45834</v>
      </c>
      <c r="T120" s="9">
        <v>473960</v>
      </c>
      <c r="U120" s="9" t="str">
        <v>June</v>
      </c>
      <c r="V120" s="9">
        <v>0</v>
      </c>
      <c r="W120" s="9">
        <v>0</v>
      </c>
      <c r="X120" s="9">
        <v>0</v>
      </c>
      <c r="Y120" s="9">
        <v>0</v>
      </c>
    </row>
    <row r="121" spans="1:25">
      <c r="A121" s="9">
        <v>53</v>
      </c>
      <c r="B121" s="9">
        <v>45789</v>
      </c>
      <c r="C121" s="9" t="str">
        <v xml:space="preserve">PMT Machines LTD </v>
      </c>
      <c r="D121" s="9" t="str">
        <v>Pune</v>
      </c>
      <c r="E121" s="9" t="str">
        <v>Stores</v>
      </c>
      <c r="F121" s="9" t="str">
        <v>Akash Purohit</v>
      </c>
      <c r="G121" s="9">
        <v>0</v>
      </c>
      <c r="H121" s="9" t="str">
        <v>pmt_mnt@pmtmachines.com</v>
      </c>
      <c r="I121" s="9" t="str">
        <v>07006312/001</v>
      </c>
      <c r="J121" s="9" t="str">
        <v>SPP</v>
      </c>
      <c r="K121" s="9" t="str">
        <v>YES</v>
      </c>
      <c r="L121" s="9" t="str">
        <v>KRIND/W/SPP/AB25013</v>
      </c>
      <c r="M121" s="9">
        <v>45789</v>
      </c>
      <c r="N121" s="9">
        <v>532152</v>
      </c>
      <c r="O121" s="9" t="str">
        <v>May</v>
      </c>
      <c r="P121" s="9" t="str">
        <v>May</v>
      </c>
      <c r="Q121" s="9">
        <v>1</v>
      </c>
      <c r="R121" s="9">
        <v>64633</v>
      </c>
      <c r="S121" s="9">
        <v>45799</v>
      </c>
      <c r="T121" s="9">
        <v>210000</v>
      </c>
      <c r="U121" s="9" t="str">
        <v>May</v>
      </c>
      <c r="V121" s="9">
        <v>0</v>
      </c>
      <c r="W121" s="9">
        <v>0</v>
      </c>
      <c r="X121" s="9">
        <v>0</v>
      </c>
      <c r="Y121" s="9">
        <v>0</v>
      </c>
    </row>
    <row r="122" spans="1:25">
      <c r="A122" s="9">
        <v>54</v>
      </c>
      <c r="B122" s="9">
        <v>45789</v>
      </c>
      <c r="C122" s="9" t="str">
        <v>Seco Tools India PVT LTD</v>
      </c>
      <c r="D122" s="9" t="str">
        <v>Pune</v>
      </c>
      <c r="E122" s="9" t="str">
        <v>Tool Room</v>
      </c>
      <c r="F122" s="9" t="str">
        <v>Prasanna Godbole</v>
      </c>
      <c r="G122" s="9">
        <v>7774083585</v>
      </c>
      <c r="H122" s="9" t="str">
        <v>prasanna.godbole@secotools.com</v>
      </c>
      <c r="I122" s="9" t="str">
        <v>11010676/001</v>
      </c>
      <c r="J122" s="9" t="str">
        <v>SPP</v>
      </c>
      <c r="K122" s="9" t="str">
        <v>Yes</v>
      </c>
      <c r="L122" s="9" t="str">
        <v>KRIND/W/SPP/AB25014</v>
      </c>
      <c r="M122" s="9">
        <v>45789</v>
      </c>
      <c r="N122" s="9">
        <v>265652</v>
      </c>
      <c r="O122" s="9" t="str">
        <v>May</v>
      </c>
      <c r="P122" s="9" t="str">
        <v>June</v>
      </c>
      <c r="Q122" s="9">
        <v>1</v>
      </c>
      <c r="R122" s="9">
        <v>10093038</v>
      </c>
      <c r="S122" s="9">
        <v>45832</v>
      </c>
      <c r="T122" s="9">
        <v>246524</v>
      </c>
      <c r="U122" s="9" t="str">
        <v>June</v>
      </c>
      <c r="V122" s="9">
        <v>19128</v>
      </c>
      <c r="W122" s="9">
        <v>0</v>
      </c>
      <c r="X122" s="9">
        <v>0</v>
      </c>
      <c r="Y122" s="9">
        <v>0</v>
      </c>
    </row>
    <row r="123" spans="1:25">
      <c r="A123" s="9">
        <v>55</v>
      </c>
      <c r="B123" s="9">
        <v>45756</v>
      </c>
      <c r="C123" s="9" t="str">
        <v xml:space="preserve">Alfa Laval India LTD </v>
      </c>
      <c r="D123" s="9" t="str">
        <v>Pune</v>
      </c>
      <c r="E123" s="9" t="str">
        <v>HFH</v>
      </c>
      <c r="F123" s="9" t="str">
        <v>Sunil Shingote</v>
      </c>
      <c r="G123" s="9">
        <v>8805988365</v>
      </c>
      <c r="H123" s="9" t="str">
        <v>sunil.shingote@alfalaval.com</v>
      </c>
      <c r="I123" s="9" t="str">
        <v xml:space="preserve"> 22008500/002 </v>
      </c>
      <c r="J123" s="9" t="str">
        <v>Contract</v>
      </c>
      <c r="K123" s="9" t="str">
        <v>YES</v>
      </c>
      <c r="L123" s="9" t="str">
        <v>KXIND/W/MC/AB25016</v>
      </c>
      <c r="M123" s="9">
        <v>45756</v>
      </c>
      <c r="N123" s="9">
        <v>77500</v>
      </c>
      <c r="O123" s="9" t="str">
        <v>April</v>
      </c>
      <c r="P123" s="9" t="str">
        <v>June</v>
      </c>
      <c r="Q123" s="9">
        <v>1</v>
      </c>
      <c r="R123" s="9">
        <v>8176740</v>
      </c>
      <c r="S123" s="9">
        <v>45832</v>
      </c>
      <c r="T123" s="9">
        <v>77500</v>
      </c>
      <c r="U123" s="9" t="str">
        <v>June</v>
      </c>
      <c r="V123" s="9">
        <v>0</v>
      </c>
      <c r="W123" s="9">
        <v>0</v>
      </c>
      <c r="X123" s="9">
        <v>0</v>
      </c>
      <c r="Y123" s="9">
        <v>0</v>
      </c>
    </row>
    <row r="124" spans="1:25">
      <c r="A124" s="9">
        <v>55</v>
      </c>
      <c r="B124" s="9">
        <v>0</v>
      </c>
      <c r="C124" s="9" t="str">
        <v xml:space="preserve">Alfa Laval India LTD </v>
      </c>
      <c r="D124" s="9" t="str">
        <v>Pune</v>
      </c>
      <c r="E124" s="9" t="str">
        <v>HFH</v>
      </c>
      <c r="F124" s="9" t="str">
        <v>Sunil Shingote</v>
      </c>
      <c r="G124" s="9">
        <v>8805988365</v>
      </c>
      <c r="H124" s="9" t="str">
        <v>sunil.shingote@alfalaval.com</v>
      </c>
      <c r="I124" s="9" t="str">
        <v xml:space="preserve"> 22008500/003 </v>
      </c>
      <c r="J124" s="9" t="str">
        <v>Contract</v>
      </c>
      <c r="K124" s="9" t="str">
        <v>YES</v>
      </c>
      <c r="L124" s="9" t="str">
        <v>KXIND/W/MC/AB25016</v>
      </c>
      <c r="M124" s="9">
        <v>45756</v>
      </c>
      <c r="N124" s="9">
        <v>77500</v>
      </c>
      <c r="O124" s="9" t="str">
        <v>April</v>
      </c>
      <c r="P124" s="9" t="str">
        <v>June</v>
      </c>
      <c r="Q124" s="9">
        <v>1</v>
      </c>
      <c r="R124" s="9">
        <v>8176740</v>
      </c>
      <c r="S124" s="9">
        <v>45832</v>
      </c>
      <c r="T124" s="9">
        <v>77500</v>
      </c>
      <c r="U124" s="9" t="str">
        <v>June</v>
      </c>
      <c r="V124" s="9">
        <v>0</v>
      </c>
      <c r="W124" s="9">
        <v>0</v>
      </c>
      <c r="X124" s="9">
        <v>0</v>
      </c>
      <c r="Y124" s="9">
        <v>0</v>
      </c>
    </row>
    <row r="125" spans="1:25">
      <c r="A125" s="9">
        <v>56</v>
      </c>
      <c r="B125" s="9">
        <v>45802</v>
      </c>
      <c r="C125" s="9" t="str">
        <v>Sandvik Coromant India Pvt Ltd</v>
      </c>
      <c r="D125" s="9" t="str">
        <v>Pune</v>
      </c>
      <c r="E125" s="9" t="str">
        <v>Soft Tools</v>
      </c>
      <c r="F125" s="9" t="str">
        <v>Swapnil Jawalkar</v>
      </c>
      <c r="G125" s="9">
        <v>9890911016</v>
      </c>
      <c r="H125" s="9" t="str">
        <v>swapnil.jawalkar@sandvik.com</v>
      </c>
      <c r="I125" s="9" t="str">
        <v>11009067/001</v>
      </c>
      <c r="J125" s="9" t="str">
        <v>Contract</v>
      </c>
      <c r="K125" s="9" t="str">
        <v>NO</v>
      </c>
      <c r="L125" s="9" t="str">
        <v>KXIND/W/MC/AB250017</v>
      </c>
      <c r="M125" s="9">
        <v>45802</v>
      </c>
      <c r="N125" s="9">
        <v>46000</v>
      </c>
      <c r="O125" s="9" t="str">
        <v>May</v>
      </c>
      <c r="P125" s="9" t="str">
        <v>June</v>
      </c>
      <c r="Q125" s="9">
        <v>1</v>
      </c>
      <c r="R125" s="9">
        <v>4512862106</v>
      </c>
      <c r="S125" s="9">
        <v>45855</v>
      </c>
      <c r="T125" s="9">
        <v>46000</v>
      </c>
      <c r="U125" s="9" t="str">
        <v>July</v>
      </c>
      <c r="V125" s="9">
        <v>0</v>
      </c>
      <c r="W125" s="9">
        <v>0</v>
      </c>
      <c r="X125" s="9">
        <v>0</v>
      </c>
      <c r="Y125" s="9">
        <v>0</v>
      </c>
    </row>
    <row r="126" spans="1:25">
      <c r="A126" s="9">
        <v>56</v>
      </c>
      <c r="B126" s="9">
        <v>0</v>
      </c>
      <c r="C126" s="9" t="str">
        <v>Sandvik Coromant India Pvt Ltd</v>
      </c>
      <c r="D126" s="9" t="str">
        <v>Pune</v>
      </c>
      <c r="E126" s="9" t="str">
        <v>Soft Tools</v>
      </c>
      <c r="F126" s="9" t="str">
        <v>Swapnil Jawalkar</v>
      </c>
      <c r="G126" s="9">
        <v>9890911016</v>
      </c>
      <c r="H126" s="9" t="str">
        <v>swapnil.jawalkar@sandvik.com</v>
      </c>
      <c r="I126" s="9" t="str">
        <v>11006899/001</v>
      </c>
      <c r="J126" s="9" t="str">
        <v>Contract</v>
      </c>
      <c r="K126" s="9" t="str">
        <v>NO</v>
      </c>
      <c r="L126" s="9" t="str">
        <v>KXIND/W/MC/AB250017</v>
      </c>
      <c r="M126" s="9">
        <v>45802</v>
      </c>
      <c r="N126" s="9">
        <v>46000</v>
      </c>
      <c r="O126" s="9" t="str">
        <v>May</v>
      </c>
      <c r="P126" s="9" t="str">
        <v>June</v>
      </c>
      <c r="Q126" s="9">
        <v>1</v>
      </c>
      <c r="R126" s="9">
        <v>4512862106</v>
      </c>
      <c r="S126" s="9">
        <v>45855</v>
      </c>
      <c r="T126" s="9">
        <v>46000</v>
      </c>
      <c r="U126" s="9" t="str">
        <v>July</v>
      </c>
      <c r="V126" s="9">
        <v>0</v>
      </c>
      <c r="W126" s="9">
        <v>0</v>
      </c>
      <c r="X126" s="9">
        <v>0</v>
      </c>
      <c r="Y126" s="9">
        <v>0</v>
      </c>
    </row>
    <row r="127" spans="1:25">
      <c r="A127" s="9">
        <v>56</v>
      </c>
      <c r="B127" s="9">
        <v>0</v>
      </c>
      <c r="C127" s="9" t="str">
        <v>Sandvik Coromant India Pvt Ltd</v>
      </c>
      <c r="D127" s="9" t="str">
        <v>Pune</v>
      </c>
      <c r="E127" s="9" t="str">
        <v>Soft Tools</v>
      </c>
      <c r="F127" s="9" t="str">
        <v>Swapnil Jawalkar</v>
      </c>
      <c r="G127" s="9">
        <v>9890911016</v>
      </c>
      <c r="H127" s="9" t="str">
        <v>swapnil.jawalkar@sandvik.com</v>
      </c>
      <c r="I127" s="9" t="str">
        <v>11006367/001</v>
      </c>
      <c r="J127" s="9" t="str">
        <v>Contract</v>
      </c>
      <c r="K127" s="9" t="str">
        <v>NO</v>
      </c>
      <c r="L127" s="9" t="str">
        <v>KXIND/W/MC/AB250017</v>
      </c>
      <c r="M127" s="9">
        <v>45802</v>
      </c>
      <c r="N127" s="9">
        <v>46000</v>
      </c>
      <c r="O127" s="9" t="str">
        <v>May</v>
      </c>
      <c r="P127" s="9" t="str">
        <v>June</v>
      </c>
      <c r="Q127" s="9">
        <v>1</v>
      </c>
      <c r="R127" s="9">
        <v>4512862106</v>
      </c>
      <c r="S127" s="9">
        <v>45855</v>
      </c>
      <c r="T127" s="9">
        <v>46000</v>
      </c>
      <c r="U127" s="9" t="str">
        <v>July</v>
      </c>
      <c r="V127" s="9">
        <v>0</v>
      </c>
      <c r="W127" s="9">
        <v>0</v>
      </c>
      <c r="X127" s="9">
        <v>0</v>
      </c>
      <c r="Y127" s="9">
        <v>0</v>
      </c>
    </row>
    <row r="128" spans="1:25">
      <c r="A128" s="9">
        <v>56</v>
      </c>
      <c r="B128" s="9">
        <v>0</v>
      </c>
      <c r="C128" s="9" t="str">
        <v>Sandvik Coromant India Pvt Ltd</v>
      </c>
      <c r="D128" s="9" t="str">
        <v>Pune</v>
      </c>
      <c r="E128" s="9" t="str">
        <v>Soft Tools</v>
      </c>
      <c r="F128" s="9" t="str">
        <v>Swapnil Jawalkar</v>
      </c>
      <c r="G128" s="9">
        <v>9890911016</v>
      </c>
      <c r="H128" s="9" t="str">
        <v>swapnil.jawalkar@sandvik.com</v>
      </c>
      <c r="I128" s="9" t="str">
        <v>16005076/001</v>
      </c>
      <c r="J128" s="9" t="str">
        <v>Contract</v>
      </c>
      <c r="K128" s="9" t="str">
        <v>NO</v>
      </c>
      <c r="L128" s="9" t="str">
        <v>KXIND/W/MC/AB250017</v>
      </c>
      <c r="M128" s="9">
        <v>45802</v>
      </c>
      <c r="N128" s="9">
        <v>46000</v>
      </c>
      <c r="O128" s="9" t="str">
        <v>May</v>
      </c>
      <c r="P128" s="9" t="str">
        <v>June</v>
      </c>
      <c r="Q128" s="9">
        <v>1</v>
      </c>
      <c r="R128" s="9">
        <v>4512862106</v>
      </c>
      <c r="S128" s="9">
        <v>45855</v>
      </c>
      <c r="T128" s="9">
        <v>46000</v>
      </c>
      <c r="U128" s="9" t="str">
        <v>July</v>
      </c>
      <c r="V128" s="9">
        <v>0</v>
      </c>
      <c r="W128" s="9">
        <v>0</v>
      </c>
      <c r="X128" s="9">
        <v>0</v>
      </c>
      <c r="Y128" s="9">
        <v>0</v>
      </c>
    </row>
    <row r="129" spans="1:25">
      <c r="A129" s="9">
        <v>56</v>
      </c>
      <c r="B129" s="9">
        <v>0</v>
      </c>
      <c r="C129" s="9" t="str">
        <v>Sandvik Coromant India Pvt Ltd</v>
      </c>
      <c r="D129" s="9" t="str">
        <v>Pune</v>
      </c>
      <c r="E129" s="9" t="str">
        <v>Soft Tools</v>
      </c>
      <c r="F129" s="9" t="str">
        <v>Swapnil Jawalkar</v>
      </c>
      <c r="G129" s="9">
        <v>9890911016</v>
      </c>
      <c r="H129" s="9" t="str">
        <v>swapnil.jawalkar@sandvik.com</v>
      </c>
      <c r="I129" s="9" t="str">
        <v>14000098/001</v>
      </c>
      <c r="J129" s="9" t="str">
        <v>Contract</v>
      </c>
      <c r="K129" s="9" t="str">
        <v>NO</v>
      </c>
      <c r="L129" s="9" t="str">
        <v>KXIND/W/MC/AB250017</v>
      </c>
      <c r="M129" s="9">
        <v>45802</v>
      </c>
      <c r="N129" s="9">
        <v>46000</v>
      </c>
      <c r="O129" s="9" t="str">
        <v>May</v>
      </c>
      <c r="P129" s="9" t="str">
        <v>June</v>
      </c>
      <c r="Q129" s="9">
        <v>1</v>
      </c>
      <c r="R129" s="9">
        <v>4512862106</v>
      </c>
      <c r="S129" s="9">
        <v>45855</v>
      </c>
      <c r="T129" s="9">
        <v>46000</v>
      </c>
      <c r="U129" s="9" t="str">
        <v>July</v>
      </c>
      <c r="V129" s="9">
        <v>0</v>
      </c>
      <c r="W129" s="9">
        <v>0</v>
      </c>
      <c r="X129" s="9">
        <v>0</v>
      </c>
      <c r="Y129" s="9">
        <v>0</v>
      </c>
    </row>
    <row r="130" spans="1:25">
      <c r="A130" s="9">
        <v>56</v>
      </c>
      <c r="B130" s="9">
        <v>0</v>
      </c>
      <c r="C130" s="9" t="str">
        <v>Sandvik Coromant India Pvt Ltd</v>
      </c>
      <c r="D130" s="9" t="str">
        <v>Pune</v>
      </c>
      <c r="E130" s="9" t="str">
        <v>Soft Tools</v>
      </c>
      <c r="F130" s="9" t="str">
        <v>Swapnil Jawalkar</v>
      </c>
      <c r="G130" s="9">
        <v>9890911016</v>
      </c>
      <c r="H130" s="9" t="str">
        <v>swapnil.jawalkar@sandvik.com</v>
      </c>
      <c r="I130" s="9" t="str">
        <v>14000134/001</v>
      </c>
      <c r="J130" s="9" t="str">
        <v>Contract</v>
      </c>
      <c r="K130" s="9" t="str">
        <v>NO</v>
      </c>
      <c r="L130" s="9" t="str">
        <v>KXIND/W/MC/AB250017</v>
      </c>
      <c r="M130" s="9">
        <v>45802</v>
      </c>
      <c r="N130" s="9">
        <v>46000</v>
      </c>
      <c r="O130" s="9" t="str">
        <v>May</v>
      </c>
      <c r="P130" s="9" t="str">
        <v>June</v>
      </c>
      <c r="Q130" s="9">
        <v>1</v>
      </c>
      <c r="R130" s="9">
        <v>4512862106</v>
      </c>
      <c r="S130" s="9">
        <v>45855</v>
      </c>
      <c r="T130" s="9">
        <v>46000</v>
      </c>
      <c r="U130" s="9" t="str">
        <v>July</v>
      </c>
      <c r="V130" s="9">
        <v>0</v>
      </c>
      <c r="W130" s="9">
        <v>0</v>
      </c>
      <c r="X130" s="9">
        <v>0</v>
      </c>
      <c r="Y130" s="9">
        <v>0</v>
      </c>
    </row>
    <row r="131" spans="1:25">
      <c r="A131" s="9">
        <v>56</v>
      </c>
      <c r="B131" s="9">
        <v>0</v>
      </c>
      <c r="C131" s="9" t="str">
        <v>Sandvik Coromant India Pvt Ltd</v>
      </c>
      <c r="D131" s="9" t="str">
        <v>Pune</v>
      </c>
      <c r="E131" s="9" t="str">
        <v>Soft Tools</v>
      </c>
      <c r="F131" s="9" t="str">
        <v>Swapnil Jawalkar</v>
      </c>
      <c r="G131" s="9">
        <v>9890911016</v>
      </c>
      <c r="H131" s="9" t="str">
        <v>swapnil.jawalkar@sandvik.com</v>
      </c>
      <c r="I131" s="9" t="str">
        <v>16006844/001</v>
      </c>
      <c r="J131" s="9" t="str">
        <v>Contract</v>
      </c>
      <c r="K131" s="9" t="str">
        <v>NO</v>
      </c>
      <c r="L131" s="9" t="str">
        <v>KXIND/W/MC/AB250017</v>
      </c>
      <c r="M131" s="9">
        <v>45802</v>
      </c>
      <c r="N131" s="9">
        <v>46000</v>
      </c>
      <c r="O131" s="9" t="str">
        <v>May</v>
      </c>
      <c r="P131" s="9" t="str">
        <v>June</v>
      </c>
      <c r="Q131" s="9">
        <v>1</v>
      </c>
      <c r="R131" s="9">
        <v>4512862106</v>
      </c>
      <c r="S131" s="9">
        <v>45855</v>
      </c>
      <c r="T131" s="9">
        <v>46000</v>
      </c>
      <c r="U131" s="9" t="str">
        <v>July</v>
      </c>
      <c r="V131" s="9">
        <v>0</v>
      </c>
      <c r="W131" s="9">
        <v>0</v>
      </c>
      <c r="X131" s="9">
        <v>0</v>
      </c>
      <c r="Y131" s="9">
        <v>0</v>
      </c>
    </row>
    <row r="132" spans="1:25">
      <c r="A132" s="9">
        <v>56</v>
      </c>
      <c r="B132" s="9">
        <v>0</v>
      </c>
      <c r="C132" s="9" t="str">
        <v>Sandvik Coromant India Pvt Ltd</v>
      </c>
      <c r="D132" s="9" t="str">
        <v>Pune</v>
      </c>
      <c r="E132" s="9" t="str">
        <v>Soft Tools</v>
      </c>
      <c r="F132" s="9" t="str">
        <v>Swapnil Jawalkar</v>
      </c>
      <c r="G132" s="9">
        <v>9890911016</v>
      </c>
      <c r="H132" s="9" t="str">
        <v>swapnil.jawalkar@sandvik.com</v>
      </c>
      <c r="I132" s="9" t="str">
        <v>21002784/001</v>
      </c>
      <c r="J132" s="9" t="str">
        <v>Contract</v>
      </c>
      <c r="K132" s="9" t="str">
        <v>NO</v>
      </c>
      <c r="L132" s="9" t="str">
        <v>KXIND/W/MC/AB250017</v>
      </c>
      <c r="M132" s="9">
        <v>45802</v>
      </c>
      <c r="N132" s="9">
        <v>46000</v>
      </c>
      <c r="O132" s="9" t="str">
        <v>May</v>
      </c>
      <c r="P132" s="9" t="str">
        <v>June</v>
      </c>
      <c r="Q132" s="9">
        <v>1</v>
      </c>
      <c r="R132" s="9">
        <v>4512862106</v>
      </c>
      <c r="S132" s="9">
        <v>45855</v>
      </c>
      <c r="T132" s="9">
        <v>46000</v>
      </c>
      <c r="U132" s="9" t="str">
        <v>July</v>
      </c>
      <c r="V132" s="9">
        <v>0</v>
      </c>
      <c r="W132" s="9">
        <v>0</v>
      </c>
      <c r="X132" s="9">
        <v>0</v>
      </c>
      <c r="Y132" s="9">
        <v>0</v>
      </c>
    </row>
    <row r="133" spans="1:25">
      <c r="A133" s="9">
        <v>56</v>
      </c>
      <c r="B133" s="9">
        <v>0</v>
      </c>
      <c r="C133" s="9" t="str">
        <v>Sandvik Coromant India Pvt Ltd</v>
      </c>
      <c r="D133" s="9" t="str">
        <v>Pune</v>
      </c>
      <c r="E133" s="9" t="str">
        <v>Soft Tools</v>
      </c>
      <c r="F133" s="9" t="str">
        <v>Swapnil Jawalkar</v>
      </c>
      <c r="G133" s="9">
        <v>9890911016</v>
      </c>
      <c r="H133" s="9" t="str">
        <v>swapnil.jawalkar@sandvik.com</v>
      </c>
      <c r="I133" s="9" t="str">
        <v>21003645/001</v>
      </c>
      <c r="J133" s="9" t="str">
        <v>Contract</v>
      </c>
      <c r="K133" s="9" t="str">
        <v>NO</v>
      </c>
      <c r="L133" s="9" t="str">
        <v>KXIND/W/MC/AB250017</v>
      </c>
      <c r="M133" s="9">
        <v>45802</v>
      </c>
      <c r="N133" s="9">
        <v>46000</v>
      </c>
      <c r="O133" s="9" t="str">
        <v>May</v>
      </c>
      <c r="P133" s="9" t="str">
        <v>June</v>
      </c>
      <c r="Q133" s="9">
        <v>1</v>
      </c>
      <c r="R133" s="9">
        <v>4512862106</v>
      </c>
      <c r="S133" s="9">
        <v>45855</v>
      </c>
      <c r="T133" s="9">
        <v>46000</v>
      </c>
      <c r="U133" s="9" t="str">
        <v>July</v>
      </c>
      <c r="V133" s="9">
        <v>0</v>
      </c>
      <c r="W133" s="9">
        <v>0</v>
      </c>
      <c r="X133" s="9">
        <v>0</v>
      </c>
      <c r="Y133" s="9">
        <v>0</v>
      </c>
    </row>
    <row r="134" spans="1:25">
      <c r="A134" s="9">
        <v>56</v>
      </c>
      <c r="B134" s="9">
        <v>0</v>
      </c>
      <c r="C134" s="9" t="str">
        <v>Sandvik Coromant India Pvt Ltd</v>
      </c>
      <c r="D134" s="9" t="str">
        <v>Pune</v>
      </c>
      <c r="E134" s="9" t="str">
        <v>Soft Tools</v>
      </c>
      <c r="F134" s="9" t="str">
        <v>Swapnil Jawalkar</v>
      </c>
      <c r="G134" s="9">
        <v>9890911016</v>
      </c>
      <c r="H134" s="9" t="str">
        <v>swapnil.jawalkar@sandvik.com</v>
      </c>
      <c r="I134" s="9" t="str">
        <v>22003835/001</v>
      </c>
      <c r="J134" s="9" t="str">
        <v>Contract</v>
      </c>
      <c r="K134" s="9" t="str">
        <v>YES</v>
      </c>
      <c r="L134" s="9" t="str">
        <v>KXIND/W/MC/AB250017</v>
      </c>
      <c r="M134" s="9">
        <v>45802</v>
      </c>
      <c r="N134" s="9">
        <v>46000</v>
      </c>
      <c r="O134" s="9" t="str">
        <v>May</v>
      </c>
      <c r="P134" s="9" t="str">
        <v>June</v>
      </c>
      <c r="Q134" s="9">
        <v>1</v>
      </c>
      <c r="R134" s="9">
        <v>4512862106</v>
      </c>
      <c r="S134" s="9">
        <v>45855</v>
      </c>
      <c r="T134" s="9">
        <v>46000</v>
      </c>
      <c r="U134" s="9" t="str">
        <v>July</v>
      </c>
      <c r="V134" s="9">
        <v>0</v>
      </c>
      <c r="W134" s="9">
        <v>0</v>
      </c>
      <c r="X134" s="9">
        <v>0</v>
      </c>
      <c r="Y134" s="9">
        <v>0</v>
      </c>
    </row>
    <row r="135" spans="1:25">
      <c r="A135" s="9">
        <v>57</v>
      </c>
      <c r="B135" s="9">
        <v>45802</v>
      </c>
      <c r="C135" s="9" t="str">
        <v>Sandvik Coromant India Pvt Ltd</v>
      </c>
      <c r="D135" s="9" t="str">
        <v>Pune</v>
      </c>
      <c r="E135" s="9" t="str">
        <v>IVG4</v>
      </c>
      <c r="F135" s="9" t="str">
        <v>Sudhir Khade</v>
      </c>
      <c r="G135" s="9">
        <v>9552768600</v>
      </c>
      <c r="H135" s="9" t="str">
        <v>sudhir.khade@sandvik.com</v>
      </c>
      <c r="I135" s="9" t="str">
        <v>13004915/001</v>
      </c>
      <c r="J135" s="9" t="str">
        <v>Contract</v>
      </c>
      <c r="K135" s="9" t="str">
        <v>NO</v>
      </c>
      <c r="L135" s="9" t="str">
        <v>KXIND/W/MC/AB250018</v>
      </c>
      <c r="M135" s="9">
        <v>45802</v>
      </c>
      <c r="N135" s="9">
        <v>46000</v>
      </c>
      <c r="O135" s="9" t="str">
        <v>May</v>
      </c>
      <c r="P135" s="9" t="str">
        <v>June</v>
      </c>
      <c r="Q135" s="9">
        <v>1</v>
      </c>
      <c r="R135" s="9">
        <v>4512760492</v>
      </c>
      <c r="S135" s="9">
        <v>46192</v>
      </c>
      <c r="T135" s="9">
        <v>46000</v>
      </c>
      <c r="U135" s="9" t="str">
        <v>June</v>
      </c>
      <c r="V135" s="9">
        <v>0</v>
      </c>
      <c r="W135" s="9">
        <v>0</v>
      </c>
      <c r="X135" s="9">
        <v>0</v>
      </c>
      <c r="Y135" s="9">
        <v>0</v>
      </c>
    </row>
    <row r="136" spans="1:25">
      <c r="A136" s="9">
        <v>57</v>
      </c>
      <c r="B136" s="9">
        <v>0</v>
      </c>
      <c r="C136" s="9" t="str">
        <v>Sandvik Coromant India Pvt Ltd</v>
      </c>
      <c r="D136" s="9" t="str">
        <v>Pune</v>
      </c>
      <c r="E136" s="9" t="str">
        <v>IVG4</v>
      </c>
      <c r="F136" s="9" t="str">
        <v>Sudhir Khade</v>
      </c>
      <c r="G136" s="9">
        <v>9552768600</v>
      </c>
      <c r="H136" s="9" t="str">
        <v>sudhir.khade@sandvik.com</v>
      </c>
      <c r="I136" s="9" t="str">
        <v>13003205/001</v>
      </c>
      <c r="J136" s="9" t="str">
        <v>Contract</v>
      </c>
      <c r="K136" s="9" t="str">
        <v>NO</v>
      </c>
      <c r="L136" s="9" t="str">
        <v>KXIND/W/MC/AB250018</v>
      </c>
      <c r="M136" s="9">
        <v>45802</v>
      </c>
      <c r="N136" s="9">
        <v>46000</v>
      </c>
      <c r="O136" s="9" t="str">
        <v>May</v>
      </c>
      <c r="P136" s="9" t="str">
        <v>June</v>
      </c>
      <c r="Q136" s="9">
        <v>1</v>
      </c>
      <c r="R136" s="9">
        <v>4512760492</v>
      </c>
      <c r="S136" s="9">
        <v>45827</v>
      </c>
      <c r="T136" s="9">
        <v>46000</v>
      </c>
      <c r="U136" s="9" t="str">
        <v>June</v>
      </c>
      <c r="V136" s="9">
        <v>0</v>
      </c>
      <c r="W136" s="9">
        <v>0</v>
      </c>
      <c r="X136" s="9">
        <v>0</v>
      </c>
      <c r="Y136" s="9">
        <v>0</v>
      </c>
    </row>
    <row r="137" spans="1:25">
      <c r="A137" s="9">
        <v>58</v>
      </c>
      <c r="B137" s="9">
        <v>45698</v>
      </c>
      <c r="C137" s="9" t="str">
        <v>Tata Cummins Pvt Ltd</v>
      </c>
      <c r="D137" s="9" t="str">
        <v>phaltan</v>
      </c>
      <c r="E137" s="9" t="str">
        <v>Stores</v>
      </c>
      <c r="F137" s="9" t="str">
        <v>vijay Pawar</v>
      </c>
      <c r="G137" s="9">
        <v>7796646965</v>
      </c>
      <c r="H137" s="9" t="str">
        <v>vijay.pawar@cummins.com</v>
      </c>
      <c r="I137" s="9" t="str">
        <v>14006903/001</v>
      </c>
      <c r="J137" s="9" t="str">
        <v>Upgrade kit</v>
      </c>
      <c r="K137" s="9" t="str">
        <v>YES</v>
      </c>
      <c r="L137" s="9" t="str">
        <v>KRIND/W/SPP/AB25009</v>
      </c>
      <c r="M137" s="9">
        <v>45698</v>
      </c>
      <c r="N137" s="9">
        <v>45000</v>
      </c>
      <c r="O137" s="9" t="str">
        <v>May</v>
      </c>
      <c r="P137" s="9" t="str">
        <v>May</v>
      </c>
      <c r="Q137" s="9">
        <v>1</v>
      </c>
      <c r="R137" s="9">
        <v>50056292</v>
      </c>
      <c r="S137" s="9">
        <v>45783</v>
      </c>
      <c r="T137" s="9">
        <v>43650</v>
      </c>
      <c r="U137" s="9" t="str">
        <v>May</v>
      </c>
      <c r="V137" s="9">
        <v>0</v>
      </c>
      <c r="W137" s="9">
        <v>0</v>
      </c>
      <c r="X137" s="9">
        <v>0</v>
      </c>
      <c r="Y137" s="9">
        <v>0</v>
      </c>
    </row>
    <row r="138" spans="1:25">
      <c r="A138" s="9">
        <v>59</v>
      </c>
      <c r="B138" s="9">
        <v>45783</v>
      </c>
      <c r="C138" s="9" t="str">
        <v>Material Organisation</v>
      </c>
      <c r="D138" s="9" t="str">
        <v>Mumbai</v>
      </c>
      <c r="E138" s="9" t="str">
        <v>SH60</v>
      </c>
      <c r="F138" s="9" t="str">
        <v>Ankur Sharma</v>
      </c>
      <c r="G138" s="9">
        <v>0</v>
      </c>
      <c r="H138" s="9">
        <v>0</v>
      </c>
      <c r="I138" s="9" t="str">
        <v>07002407/002</v>
      </c>
      <c r="J138" s="9" t="str">
        <v>Contract</v>
      </c>
      <c r="K138" s="9" t="str">
        <v>NO</v>
      </c>
      <c r="L138" s="9" t="str">
        <v>GEM/2024/B/5242207</v>
      </c>
      <c r="M138" s="9">
        <v>45783</v>
      </c>
      <c r="N138" s="9">
        <v>234156.25</v>
      </c>
      <c r="O138" s="9" t="str">
        <v>May</v>
      </c>
      <c r="P138" s="9" t="str">
        <v>May</v>
      </c>
      <c r="Q138" s="9">
        <v>1</v>
      </c>
      <c r="R138" s="9" t="str">
        <v>GEMC-511687763086468</v>
      </c>
      <c r="S138" s="9">
        <v>45804</v>
      </c>
      <c r="T138" s="9">
        <v>234156.25</v>
      </c>
      <c r="U138" s="9" t="str">
        <v>May</v>
      </c>
      <c r="V138" s="9">
        <v>0</v>
      </c>
      <c r="W138" s="9">
        <v>0</v>
      </c>
      <c r="X138" s="9">
        <v>0</v>
      </c>
      <c r="Y138" s="9">
        <v>0</v>
      </c>
    </row>
    <row r="139" spans="1:25">
      <c r="A139" s="9">
        <v>59</v>
      </c>
      <c r="B139" s="9">
        <v>0</v>
      </c>
      <c r="C139" s="9" t="str">
        <v>Material Organisation</v>
      </c>
      <c r="D139" s="9" t="str">
        <v>Mumbai</v>
      </c>
      <c r="E139" s="9" t="str">
        <v>SH60</v>
      </c>
      <c r="F139" s="9" t="str">
        <v>Ankur Sharma</v>
      </c>
      <c r="G139" s="9">
        <v>0</v>
      </c>
      <c r="H139" s="9">
        <v>0</v>
      </c>
      <c r="I139" s="9" t="str">
        <v>07002407/001</v>
      </c>
      <c r="J139" s="9" t="str">
        <v>Contract</v>
      </c>
      <c r="K139" s="9" t="str">
        <v>NO</v>
      </c>
      <c r="L139" s="9" t="str">
        <v>GEM/2024/B/5242207</v>
      </c>
      <c r="M139" s="9">
        <v>45783</v>
      </c>
      <c r="N139" s="9">
        <v>234156.25</v>
      </c>
      <c r="O139" s="9" t="str">
        <v>May</v>
      </c>
      <c r="P139" s="9" t="str">
        <v>May</v>
      </c>
      <c r="Q139" s="9">
        <v>1</v>
      </c>
      <c r="R139" s="9" t="str">
        <v>GEMC-511687763086468</v>
      </c>
      <c r="S139" s="9">
        <v>45804</v>
      </c>
      <c r="T139" s="9">
        <v>234156.25</v>
      </c>
      <c r="U139" s="9" t="str">
        <v>May</v>
      </c>
      <c r="V139" s="9">
        <v>0</v>
      </c>
      <c r="W139" s="9">
        <v>0</v>
      </c>
      <c r="X139" s="9">
        <v>0</v>
      </c>
      <c r="Y139" s="9">
        <v>0</v>
      </c>
    </row>
    <row r="140" spans="1:25">
      <c r="A140" s="9">
        <v>59</v>
      </c>
      <c r="B140" s="9">
        <v>0</v>
      </c>
      <c r="C140" s="9" t="str">
        <v>Material Organisation</v>
      </c>
      <c r="D140" s="9" t="str">
        <v>Mumbai</v>
      </c>
      <c r="E140" s="9" t="str">
        <v>SH60</v>
      </c>
      <c r="F140" s="9" t="str">
        <v>Ankur Sharma</v>
      </c>
      <c r="G140" s="9">
        <v>0</v>
      </c>
      <c r="H140" s="9">
        <v>0</v>
      </c>
      <c r="I140" s="9" t="str">
        <v>07002393/001</v>
      </c>
      <c r="J140" s="9" t="str">
        <v>Contract</v>
      </c>
      <c r="K140" s="9" t="str">
        <v>NO</v>
      </c>
      <c r="L140" s="9" t="str">
        <v>GEM/2024/B/5242207</v>
      </c>
      <c r="M140" s="9">
        <v>45783</v>
      </c>
      <c r="N140" s="9">
        <v>234156.25</v>
      </c>
      <c r="O140" s="9" t="str">
        <v>May</v>
      </c>
      <c r="P140" s="9" t="str">
        <v>May</v>
      </c>
      <c r="Q140" s="9">
        <v>1</v>
      </c>
      <c r="R140" s="9" t="str">
        <v>GEMC-511687763086468</v>
      </c>
      <c r="S140" s="9">
        <v>45804</v>
      </c>
      <c r="T140" s="9">
        <v>234156.25</v>
      </c>
      <c r="U140" s="9" t="str">
        <v>May</v>
      </c>
      <c r="V140" s="9">
        <v>0</v>
      </c>
      <c r="W140" s="9">
        <v>0</v>
      </c>
      <c r="X140" s="9">
        <v>0</v>
      </c>
      <c r="Y140" s="9">
        <v>0</v>
      </c>
    </row>
    <row r="141" spans="1:25">
      <c r="A141" s="9">
        <v>59</v>
      </c>
      <c r="B141" s="9">
        <v>0</v>
      </c>
      <c r="C141" s="9" t="str">
        <v>Material Organisation</v>
      </c>
      <c r="D141" s="9" t="str">
        <v>Mumbai</v>
      </c>
      <c r="E141" s="9" t="str">
        <v>SH60</v>
      </c>
      <c r="F141" s="9" t="str">
        <v>Ankur Sharma</v>
      </c>
      <c r="G141" s="9">
        <v>0</v>
      </c>
      <c r="H141" s="9">
        <v>0</v>
      </c>
      <c r="I141" s="9" t="str">
        <v>07002393/002</v>
      </c>
      <c r="J141" s="9" t="str">
        <v>Contract</v>
      </c>
      <c r="K141" s="9" t="str">
        <v>NO</v>
      </c>
      <c r="L141" s="9" t="str">
        <v>GEM/2024/B/5242207</v>
      </c>
      <c r="M141" s="9">
        <v>45783</v>
      </c>
      <c r="N141" s="9">
        <v>234156.25</v>
      </c>
      <c r="O141" s="9" t="str">
        <v>May</v>
      </c>
      <c r="P141" s="9" t="str">
        <v>May</v>
      </c>
      <c r="Q141" s="9">
        <v>1</v>
      </c>
      <c r="R141" s="9" t="str">
        <v>GEMC-511687763086468</v>
      </c>
      <c r="S141" s="9">
        <v>45804</v>
      </c>
      <c r="T141" s="9">
        <v>234156.25</v>
      </c>
      <c r="U141" s="9" t="str">
        <v>May</v>
      </c>
      <c r="V141" s="9">
        <v>0</v>
      </c>
      <c r="W141" s="9">
        <v>0</v>
      </c>
      <c r="X141" s="9">
        <v>0</v>
      </c>
      <c r="Y141" s="9">
        <v>0</v>
      </c>
    </row>
    <row r="142" spans="1:25">
      <c r="A142" s="9">
        <v>59</v>
      </c>
      <c r="B142" s="9">
        <v>0</v>
      </c>
      <c r="C142" s="9" t="str">
        <v>Material Organisation</v>
      </c>
      <c r="D142" s="9" t="str">
        <v>Mumbai</v>
      </c>
      <c r="E142" s="9" t="str">
        <v>SH60</v>
      </c>
      <c r="F142" s="9" t="str">
        <v>Ankur Sharma</v>
      </c>
      <c r="G142" s="9">
        <v>0</v>
      </c>
      <c r="H142" s="9">
        <v>0</v>
      </c>
      <c r="I142" s="9" t="str">
        <v>07002393/003</v>
      </c>
      <c r="J142" s="9" t="str">
        <v>Contract</v>
      </c>
      <c r="K142" s="9" t="str">
        <v>NO</v>
      </c>
      <c r="L142" s="9" t="str">
        <v>GEM/2024/B/5242207</v>
      </c>
      <c r="M142" s="9">
        <v>45783</v>
      </c>
      <c r="N142" s="9">
        <v>234156.25</v>
      </c>
      <c r="O142" s="9" t="str">
        <v>May</v>
      </c>
      <c r="P142" s="9" t="str">
        <v>May</v>
      </c>
      <c r="Q142" s="9">
        <v>1</v>
      </c>
      <c r="R142" s="9" t="str">
        <v>GEMC-511687763086468</v>
      </c>
      <c r="S142" s="9">
        <v>45804</v>
      </c>
      <c r="T142" s="9">
        <v>234156.25</v>
      </c>
      <c r="U142" s="9" t="str">
        <v>May</v>
      </c>
      <c r="V142" s="9">
        <v>0</v>
      </c>
      <c r="W142" s="9">
        <v>0</v>
      </c>
      <c r="X142" s="9">
        <v>0</v>
      </c>
      <c r="Y142" s="9">
        <v>0</v>
      </c>
    </row>
    <row r="143" spans="1:25">
      <c r="A143" s="9">
        <v>59</v>
      </c>
      <c r="B143" s="9">
        <v>0</v>
      </c>
      <c r="C143" s="9" t="str">
        <v>Material Organisation</v>
      </c>
      <c r="D143" s="9" t="str">
        <v>Mumbai</v>
      </c>
      <c r="E143" s="9" t="str">
        <v>SH60</v>
      </c>
      <c r="F143" s="9" t="str">
        <v>Ankur Sharma</v>
      </c>
      <c r="G143" s="9">
        <v>0</v>
      </c>
      <c r="H143" s="9">
        <v>0</v>
      </c>
      <c r="I143" s="9" t="str">
        <v>07002393/004</v>
      </c>
      <c r="J143" s="9" t="str">
        <v>Contract</v>
      </c>
      <c r="K143" s="9" t="str">
        <v>NO</v>
      </c>
      <c r="L143" s="9" t="str">
        <v>GEM/2024/B/5242207</v>
      </c>
      <c r="M143" s="9">
        <v>45783</v>
      </c>
      <c r="N143" s="9">
        <v>234156.25</v>
      </c>
      <c r="O143" s="9" t="str">
        <v>May</v>
      </c>
      <c r="P143" s="9" t="str">
        <v>May</v>
      </c>
      <c r="Q143" s="9">
        <v>1</v>
      </c>
      <c r="R143" s="9" t="str">
        <v>GEMC-511687763086468</v>
      </c>
      <c r="S143" s="9">
        <v>45804</v>
      </c>
      <c r="T143" s="9">
        <v>234156.25</v>
      </c>
      <c r="U143" s="9" t="str">
        <v>May</v>
      </c>
      <c r="V143" s="9">
        <v>0</v>
      </c>
      <c r="W143" s="9">
        <v>0</v>
      </c>
      <c r="X143" s="9">
        <v>0</v>
      </c>
      <c r="Y143" s="9">
        <v>0</v>
      </c>
    </row>
    <row r="144" spans="1:25">
      <c r="A144" s="9">
        <v>59</v>
      </c>
      <c r="B144" s="9">
        <v>0</v>
      </c>
      <c r="C144" s="9" t="str">
        <v>Material Organisation</v>
      </c>
      <c r="D144" s="9" t="str">
        <v>Mumbai</v>
      </c>
      <c r="E144" s="9" t="str">
        <v>SH60</v>
      </c>
      <c r="F144" s="9" t="str">
        <v>Ankur Sharma</v>
      </c>
      <c r="G144" s="9">
        <v>0</v>
      </c>
      <c r="H144" s="9">
        <v>0</v>
      </c>
      <c r="I144" s="9" t="str">
        <v>07002393/005</v>
      </c>
      <c r="J144" s="9" t="str">
        <v>Contract</v>
      </c>
      <c r="K144" s="9" t="str">
        <v>NO</v>
      </c>
      <c r="L144" s="9" t="str">
        <v>GEM/2024/B/5242207</v>
      </c>
      <c r="M144" s="9">
        <v>45783</v>
      </c>
      <c r="N144" s="9">
        <v>234156.25</v>
      </c>
      <c r="O144" s="9" t="str">
        <v>May</v>
      </c>
      <c r="P144" s="9" t="str">
        <v>May</v>
      </c>
      <c r="Q144" s="9">
        <v>1</v>
      </c>
      <c r="R144" s="9" t="str">
        <v>GEMC-511687763086468</v>
      </c>
      <c r="S144" s="9">
        <v>45804</v>
      </c>
      <c r="T144" s="9">
        <v>234156.25</v>
      </c>
      <c r="U144" s="9" t="str">
        <v>May</v>
      </c>
      <c r="V144" s="9">
        <v>0</v>
      </c>
      <c r="W144" s="9">
        <v>0</v>
      </c>
      <c r="X144" s="9">
        <v>0</v>
      </c>
      <c r="Y144" s="9">
        <v>0</v>
      </c>
    </row>
    <row r="145" spans="1:25">
      <c r="A145" s="9">
        <v>59</v>
      </c>
      <c r="B145" s="9">
        <v>0</v>
      </c>
      <c r="C145" s="9" t="str">
        <v>Material Organisation</v>
      </c>
      <c r="D145" s="9" t="str">
        <v>Mumbai</v>
      </c>
      <c r="E145" s="9" t="str">
        <v>SH60</v>
      </c>
      <c r="F145" s="9" t="str">
        <v>Ankur Sharma</v>
      </c>
      <c r="G145" s="9">
        <v>0</v>
      </c>
      <c r="H145" s="9">
        <v>0</v>
      </c>
      <c r="I145" s="9" t="str">
        <v>07002393/006</v>
      </c>
      <c r="J145" s="9" t="str">
        <v>Contract</v>
      </c>
      <c r="K145" s="9" t="str">
        <v>NO</v>
      </c>
      <c r="L145" s="9" t="str">
        <v>GEM/2024/B/5242207</v>
      </c>
      <c r="M145" s="9">
        <v>45783</v>
      </c>
      <c r="N145" s="9">
        <v>234156.25</v>
      </c>
      <c r="O145" s="9" t="str">
        <v>May</v>
      </c>
      <c r="P145" s="9" t="str">
        <v>May</v>
      </c>
      <c r="Q145" s="9">
        <v>1</v>
      </c>
      <c r="R145" s="9" t="str">
        <v>GEMC-511687763086468</v>
      </c>
      <c r="S145" s="9">
        <v>45804</v>
      </c>
      <c r="T145" s="9">
        <v>234156.25</v>
      </c>
      <c r="U145" s="9" t="str">
        <v>May</v>
      </c>
      <c r="V145" s="9">
        <v>0</v>
      </c>
      <c r="W145" s="9">
        <v>0</v>
      </c>
      <c r="X145" s="9">
        <v>0</v>
      </c>
      <c r="Y145" s="9">
        <v>0</v>
      </c>
    </row>
    <row r="146" spans="1:25">
      <c r="A146" s="9">
        <v>59</v>
      </c>
      <c r="B146" s="9">
        <v>0</v>
      </c>
      <c r="C146" s="9" t="str">
        <v>Material Organisation</v>
      </c>
      <c r="D146" s="9" t="str">
        <v>Mumbai</v>
      </c>
      <c r="E146" s="9" t="str">
        <v>SH60</v>
      </c>
      <c r="F146" s="9" t="str">
        <v>Ankur Sharma</v>
      </c>
      <c r="G146" s="9">
        <v>0</v>
      </c>
      <c r="H146" s="9">
        <v>0</v>
      </c>
      <c r="I146" s="9" t="str">
        <v>07002397/001</v>
      </c>
      <c r="J146" s="9" t="str">
        <v>Contract</v>
      </c>
      <c r="K146" s="9" t="str">
        <v>NO</v>
      </c>
      <c r="L146" s="9" t="str">
        <v>GEM/2024/B/5242207</v>
      </c>
      <c r="M146" s="9">
        <v>45783</v>
      </c>
      <c r="N146" s="9">
        <v>234156.25</v>
      </c>
      <c r="O146" s="9" t="str">
        <v>May</v>
      </c>
      <c r="P146" s="9" t="str">
        <v>May</v>
      </c>
      <c r="Q146" s="9">
        <v>1</v>
      </c>
      <c r="R146" s="9" t="str">
        <v>GEMC-511687763086468</v>
      </c>
      <c r="S146" s="9">
        <v>45804</v>
      </c>
      <c r="T146" s="9">
        <v>234156.25</v>
      </c>
      <c r="U146" s="9" t="str">
        <v>May</v>
      </c>
      <c r="V146" s="9">
        <v>0</v>
      </c>
      <c r="W146" s="9">
        <v>0</v>
      </c>
      <c r="X146" s="9">
        <v>0</v>
      </c>
      <c r="Y146" s="9">
        <v>0</v>
      </c>
    </row>
    <row r="147" spans="1:25">
      <c r="A147" s="9">
        <v>59</v>
      </c>
      <c r="B147" s="9">
        <v>0</v>
      </c>
      <c r="C147" s="9" t="str">
        <v>Material Organisation</v>
      </c>
      <c r="D147" s="9" t="str">
        <v>Mumbai</v>
      </c>
      <c r="E147" s="9" t="str">
        <v>SH60</v>
      </c>
      <c r="F147" s="9" t="str">
        <v>Ankur Sharma</v>
      </c>
      <c r="G147" s="9">
        <v>0</v>
      </c>
      <c r="H147" s="9">
        <v>0</v>
      </c>
      <c r="I147" s="9" t="str">
        <v>07002397/002</v>
      </c>
      <c r="J147" s="9" t="str">
        <v>Contract</v>
      </c>
      <c r="K147" s="9" t="str">
        <v>NO</v>
      </c>
      <c r="L147" s="9" t="str">
        <v>GEM/2024/B/5242207</v>
      </c>
      <c r="M147" s="9">
        <v>45783</v>
      </c>
      <c r="N147" s="9">
        <v>234156.25</v>
      </c>
      <c r="O147" s="9" t="str">
        <v>May</v>
      </c>
      <c r="P147" s="9" t="str">
        <v>May</v>
      </c>
      <c r="Q147" s="9">
        <v>1</v>
      </c>
      <c r="R147" s="9" t="str">
        <v>GEMC-511687763086468</v>
      </c>
      <c r="S147" s="9">
        <v>45804</v>
      </c>
      <c r="T147" s="9">
        <v>234156.25</v>
      </c>
      <c r="U147" s="9" t="str">
        <v>May</v>
      </c>
      <c r="V147" s="9">
        <v>0</v>
      </c>
      <c r="W147" s="9">
        <v>0</v>
      </c>
      <c r="X147" s="9">
        <v>0</v>
      </c>
      <c r="Y147" s="9">
        <v>0</v>
      </c>
    </row>
    <row r="148" spans="1:25">
      <c r="A148" s="9">
        <v>59</v>
      </c>
      <c r="B148" s="9">
        <v>0</v>
      </c>
      <c r="C148" s="9" t="str">
        <v>Material Organisation</v>
      </c>
      <c r="D148" s="9" t="str">
        <v>Mumbai</v>
      </c>
      <c r="E148" s="9" t="str">
        <v>SH60</v>
      </c>
      <c r="F148" s="9" t="str">
        <v>Ankur Sharma</v>
      </c>
      <c r="G148" s="9">
        <v>0</v>
      </c>
      <c r="H148" s="9">
        <v>0</v>
      </c>
      <c r="I148" s="9" t="str">
        <v>07002397/003</v>
      </c>
      <c r="J148" s="9" t="str">
        <v>Contract</v>
      </c>
      <c r="K148" s="9" t="str">
        <v>NO</v>
      </c>
      <c r="L148" s="9" t="str">
        <v>GEM/2024/B/5242207</v>
      </c>
      <c r="M148" s="9">
        <v>45783</v>
      </c>
      <c r="N148" s="9">
        <v>234156.25</v>
      </c>
      <c r="O148" s="9" t="str">
        <v>May</v>
      </c>
      <c r="P148" s="9" t="str">
        <v>May</v>
      </c>
      <c r="Q148" s="9">
        <v>1</v>
      </c>
      <c r="R148" s="9" t="str">
        <v>GEMC-511687763086468</v>
      </c>
      <c r="S148" s="9">
        <v>45804</v>
      </c>
      <c r="T148" s="9">
        <v>234156.25</v>
      </c>
      <c r="U148" s="9" t="str">
        <v>May</v>
      </c>
      <c r="V148" s="9">
        <v>0</v>
      </c>
      <c r="W148" s="9">
        <v>0</v>
      </c>
      <c r="X148" s="9">
        <v>0</v>
      </c>
      <c r="Y148" s="9">
        <v>0</v>
      </c>
    </row>
    <row r="149" spans="1:25">
      <c r="A149" s="9">
        <v>59</v>
      </c>
      <c r="B149" s="9">
        <v>0</v>
      </c>
      <c r="C149" s="9" t="str">
        <v>Material Organisation</v>
      </c>
      <c r="D149" s="9" t="str">
        <v>Mumbai</v>
      </c>
      <c r="E149" s="9" t="str">
        <v>SH60</v>
      </c>
      <c r="F149" s="9" t="str">
        <v>Ankur Sharma</v>
      </c>
      <c r="G149" s="9">
        <v>0</v>
      </c>
      <c r="H149" s="9">
        <v>0</v>
      </c>
      <c r="I149" s="9" t="str">
        <v>07002397/004</v>
      </c>
      <c r="J149" s="9" t="str">
        <v>Contract</v>
      </c>
      <c r="K149" s="9" t="str">
        <v>NO</v>
      </c>
      <c r="L149" s="9" t="str">
        <v>GEM/2024/B/5242207</v>
      </c>
      <c r="M149" s="9">
        <v>45783</v>
      </c>
      <c r="N149" s="9">
        <v>234156.25</v>
      </c>
      <c r="O149" s="9" t="str">
        <v>May</v>
      </c>
      <c r="P149" s="9" t="str">
        <v>May</v>
      </c>
      <c r="Q149" s="9">
        <v>1</v>
      </c>
      <c r="R149" s="9" t="str">
        <v>GEMC-511687763086468</v>
      </c>
      <c r="S149" s="9">
        <v>45804</v>
      </c>
      <c r="T149" s="9">
        <v>234156.25</v>
      </c>
      <c r="U149" s="9" t="str">
        <v>May</v>
      </c>
      <c r="V149" s="9">
        <v>0</v>
      </c>
      <c r="W149" s="9">
        <v>0</v>
      </c>
      <c r="X149" s="9">
        <v>0</v>
      </c>
      <c r="Y149" s="9">
        <v>0</v>
      </c>
    </row>
    <row r="150" spans="1:25">
      <c r="A150" s="9">
        <v>59</v>
      </c>
      <c r="B150" s="9">
        <v>0</v>
      </c>
      <c r="C150" s="9" t="str">
        <v>Material Organisation</v>
      </c>
      <c r="D150" s="9" t="str">
        <v>Mumbai</v>
      </c>
      <c r="E150" s="9" t="str">
        <v>SH60</v>
      </c>
      <c r="F150" s="9" t="str">
        <v>Ankur Sharma</v>
      </c>
      <c r="G150" s="9">
        <v>0</v>
      </c>
      <c r="H150" s="9">
        <v>0</v>
      </c>
      <c r="I150" s="9" t="str">
        <v>07002397/005</v>
      </c>
      <c r="J150" s="9" t="str">
        <v>Contract</v>
      </c>
      <c r="K150" s="9" t="str">
        <v>NO</v>
      </c>
      <c r="L150" s="9" t="str">
        <v>GEM/2024/B/5242207</v>
      </c>
      <c r="M150" s="9">
        <v>45783</v>
      </c>
      <c r="N150" s="9">
        <v>234156.25</v>
      </c>
      <c r="O150" s="9" t="str">
        <v>May</v>
      </c>
      <c r="P150" s="9" t="str">
        <v>May</v>
      </c>
      <c r="Q150" s="9">
        <v>1</v>
      </c>
      <c r="R150" s="9" t="str">
        <v>GEMC-511687763086468</v>
      </c>
      <c r="S150" s="9">
        <v>45804</v>
      </c>
      <c r="T150" s="9">
        <v>234156.25</v>
      </c>
      <c r="U150" s="9" t="str">
        <v>May</v>
      </c>
      <c r="V150" s="9">
        <v>0</v>
      </c>
      <c r="W150" s="9">
        <v>0</v>
      </c>
      <c r="X150" s="9">
        <v>0</v>
      </c>
      <c r="Y150" s="9">
        <v>0</v>
      </c>
    </row>
    <row r="151" spans="1:25">
      <c r="A151" s="9">
        <v>59</v>
      </c>
      <c r="B151" s="9">
        <v>0</v>
      </c>
      <c r="C151" s="9" t="str">
        <v>Material Organisation</v>
      </c>
      <c r="D151" s="9" t="str">
        <v>Mumbai</v>
      </c>
      <c r="E151" s="9" t="str">
        <v>SH60</v>
      </c>
      <c r="F151" s="9" t="str">
        <v>Ankur Sharma</v>
      </c>
      <c r="G151" s="9">
        <v>0</v>
      </c>
      <c r="H151" s="9">
        <v>0</v>
      </c>
      <c r="I151" s="9" t="str">
        <v>07002397/006</v>
      </c>
      <c r="J151" s="9" t="str">
        <v>Contract</v>
      </c>
      <c r="K151" s="9" t="str">
        <v>NO</v>
      </c>
      <c r="L151" s="9" t="str">
        <v>GEM/2024/B/5242207</v>
      </c>
      <c r="M151" s="9">
        <v>45783</v>
      </c>
      <c r="N151" s="9">
        <v>234156.25</v>
      </c>
      <c r="O151" s="9" t="str">
        <v>May</v>
      </c>
      <c r="P151" s="9" t="str">
        <v>May</v>
      </c>
      <c r="Q151" s="9">
        <v>1</v>
      </c>
      <c r="R151" s="9" t="str">
        <v>GEMC-511687763086468</v>
      </c>
      <c r="S151" s="9">
        <v>45804</v>
      </c>
      <c r="T151" s="9">
        <v>234156.25</v>
      </c>
      <c r="U151" s="9" t="str">
        <v>May</v>
      </c>
      <c r="V151" s="9">
        <v>0</v>
      </c>
      <c r="W151" s="9">
        <v>0</v>
      </c>
      <c r="X151" s="9">
        <v>0</v>
      </c>
      <c r="Y151" s="9">
        <v>0</v>
      </c>
    </row>
    <row r="152" spans="1:25">
      <c r="A152" s="9">
        <v>59</v>
      </c>
      <c r="B152" s="9">
        <v>0</v>
      </c>
      <c r="C152" s="9" t="str">
        <v>Material Organisation</v>
      </c>
      <c r="D152" s="9" t="str">
        <v>Mumbai</v>
      </c>
      <c r="E152" s="9" t="str">
        <v>SH60</v>
      </c>
      <c r="F152" s="9" t="str">
        <v>Ankur Sharma</v>
      </c>
      <c r="G152" s="9">
        <v>0</v>
      </c>
      <c r="H152" s="9">
        <v>0</v>
      </c>
      <c r="I152" s="9" t="str">
        <v>07002397/007</v>
      </c>
      <c r="J152" s="9" t="str">
        <v>Contract</v>
      </c>
      <c r="K152" s="9" t="str">
        <v>NO</v>
      </c>
      <c r="L152" s="9" t="str">
        <v>GEM/2024/B/5242207</v>
      </c>
      <c r="M152" s="9">
        <v>45783</v>
      </c>
      <c r="N152" s="9">
        <v>234156.25</v>
      </c>
      <c r="O152" s="9" t="str">
        <v>May</v>
      </c>
      <c r="P152" s="9" t="str">
        <v>May</v>
      </c>
      <c r="Q152" s="9">
        <v>1</v>
      </c>
      <c r="R152" s="9" t="str">
        <v>GEMC-511687763086468</v>
      </c>
      <c r="S152" s="9">
        <v>45804</v>
      </c>
      <c r="T152" s="9">
        <v>234156.25</v>
      </c>
      <c r="U152" s="9" t="str">
        <v>May</v>
      </c>
      <c r="V152" s="9">
        <v>0</v>
      </c>
      <c r="W152" s="9">
        <v>0</v>
      </c>
      <c r="X152" s="9">
        <v>0</v>
      </c>
      <c r="Y152" s="9">
        <v>0</v>
      </c>
    </row>
    <row r="153" spans="1:25">
      <c r="A153" s="9">
        <v>59</v>
      </c>
      <c r="B153" s="9">
        <v>0</v>
      </c>
      <c r="C153" s="9" t="str">
        <v>Material Organisation</v>
      </c>
      <c r="D153" s="9" t="str">
        <v>Mumbai</v>
      </c>
      <c r="E153" s="9" t="str">
        <v>SH60</v>
      </c>
      <c r="F153" s="9" t="str">
        <v>Ankur Sharma</v>
      </c>
      <c r="G153" s="9">
        <v>0</v>
      </c>
      <c r="H153" s="9">
        <v>0</v>
      </c>
      <c r="I153" s="9" t="str">
        <v>07002397/008</v>
      </c>
      <c r="J153" s="9" t="str">
        <v>Contract</v>
      </c>
      <c r="K153" s="9" t="str">
        <v>NO</v>
      </c>
      <c r="L153" s="9" t="str">
        <v>GEM/2024/B/5242207</v>
      </c>
      <c r="M153" s="9">
        <v>45783</v>
      </c>
      <c r="N153" s="9">
        <v>234156.25</v>
      </c>
      <c r="O153" s="9" t="str">
        <v>May</v>
      </c>
      <c r="P153" s="9" t="str">
        <v>May</v>
      </c>
      <c r="Q153" s="9">
        <v>1</v>
      </c>
      <c r="R153" s="9" t="str">
        <v>GEMC-511687763086468</v>
      </c>
      <c r="S153" s="9">
        <v>45804</v>
      </c>
      <c r="T153" s="9">
        <v>234156.25</v>
      </c>
      <c r="U153" s="9" t="str">
        <v>May</v>
      </c>
      <c r="V153" s="9">
        <v>0</v>
      </c>
      <c r="W153" s="9">
        <v>0</v>
      </c>
      <c r="X153" s="9">
        <v>0</v>
      </c>
      <c r="Y153" s="9">
        <v>0</v>
      </c>
    </row>
    <row r="154" spans="1:25">
      <c r="A154" s="9">
        <v>60</v>
      </c>
      <c r="B154" s="9">
        <v>45810</v>
      </c>
      <c r="C154" s="9" t="str">
        <v>Bharat Electronics Ltd</v>
      </c>
      <c r="D154" s="9" t="str">
        <v>Navi Mumbai</v>
      </c>
      <c r="E154" s="9" t="str">
        <v>Store</v>
      </c>
      <c r="F154" s="9" t="str">
        <v>AB THAKUR</v>
      </c>
      <c r="G154" s="9">
        <v>7021200426</v>
      </c>
      <c r="H154" s="9" t="str">
        <v>abthakur@bel.co.in</v>
      </c>
      <c r="I154" s="9" t="str">
        <v>09004316/001</v>
      </c>
      <c r="J154" s="9" t="str">
        <v>Relocation</v>
      </c>
      <c r="K154" s="9" t="str">
        <v>NO</v>
      </c>
      <c r="L154" s="9" t="str">
        <v>RFx 7000535947</v>
      </c>
      <c r="M154" s="9">
        <v>45810</v>
      </c>
      <c r="N154" s="9">
        <v>250000</v>
      </c>
      <c r="O154" s="9" t="str">
        <v>June</v>
      </c>
      <c r="P154" s="9" t="str">
        <v>June</v>
      </c>
      <c r="Q154" s="9">
        <v>1</v>
      </c>
      <c r="R154" s="9">
        <v>4800088597</v>
      </c>
      <c r="S154" s="9">
        <v>45822</v>
      </c>
      <c r="T154" s="9">
        <v>240000</v>
      </c>
      <c r="U154" s="9" t="str">
        <v>June</v>
      </c>
      <c r="V154" s="9">
        <v>0</v>
      </c>
      <c r="W154" s="9">
        <v>0</v>
      </c>
      <c r="X154" s="9">
        <v>0</v>
      </c>
      <c r="Y154" s="9">
        <v>0</v>
      </c>
    </row>
    <row r="155" spans="1:25">
      <c r="A155" s="9">
        <v>61</v>
      </c>
      <c r="B155" s="9">
        <v>45812</v>
      </c>
      <c r="C155" s="9" t="str">
        <v>Bharat Electronics Ltd</v>
      </c>
      <c r="D155" s="9" t="str">
        <v>Navi Mumbai</v>
      </c>
      <c r="E155" s="9" t="str">
        <v>Stores</v>
      </c>
      <c r="F155" s="9" t="str">
        <v>Vishal Kulkarni</v>
      </c>
      <c r="G155" s="9">
        <v>9766935985</v>
      </c>
      <c r="H155" s="9" t="str">
        <v>vishal.kulkarni@bel.co.in</v>
      </c>
      <c r="I155" s="9" t="str">
        <v>09004316/001</v>
      </c>
      <c r="J155" s="9" t="str">
        <v>Contract</v>
      </c>
      <c r="K155" s="9" t="str">
        <v>NO</v>
      </c>
      <c r="L155" s="9" t="str">
        <v>RFx7000539929</v>
      </c>
      <c r="M155" s="9">
        <v>45812</v>
      </c>
      <c r="N155" s="9">
        <v>56100</v>
      </c>
      <c r="O155" s="9" t="str">
        <v>June</v>
      </c>
      <c r="P155" s="9" t="str">
        <v>June</v>
      </c>
      <c r="Q155" s="9">
        <v>1</v>
      </c>
      <c r="R155" s="9">
        <v>4800089189</v>
      </c>
      <c r="S155" s="9">
        <v>45862</v>
      </c>
      <c r="T155" s="9">
        <v>55000</v>
      </c>
      <c r="U155" s="9" t="str">
        <v>July</v>
      </c>
      <c r="V155" s="9">
        <v>0</v>
      </c>
      <c r="W155" s="9">
        <v>0</v>
      </c>
      <c r="X155" s="9">
        <v>0</v>
      </c>
      <c r="Y155" s="9">
        <v>0</v>
      </c>
    </row>
    <row r="156" spans="1:25">
      <c r="A156" s="9">
        <v>61</v>
      </c>
      <c r="B156" s="9">
        <v>0</v>
      </c>
      <c r="C156" s="9" t="str">
        <v>Bharat Electronics Ltd</v>
      </c>
      <c r="D156" s="9" t="str">
        <v>Navi Mumbai</v>
      </c>
      <c r="E156" s="9" t="str">
        <v>Stores</v>
      </c>
      <c r="F156" s="9" t="str">
        <v>Vishal Kulkarni</v>
      </c>
      <c r="G156" s="9">
        <v>9766935985</v>
      </c>
      <c r="H156" s="9" t="str">
        <v>vishal.kulkarni@bel.co.in</v>
      </c>
      <c r="I156" s="9" t="str">
        <v>11001981/001</v>
      </c>
      <c r="J156" s="9" t="str">
        <v>Contract</v>
      </c>
      <c r="K156" s="9" t="str">
        <v>NO</v>
      </c>
      <c r="L156" s="9" t="str">
        <v>RFx7000539929</v>
      </c>
      <c r="M156" s="9">
        <v>45812</v>
      </c>
      <c r="N156" s="9">
        <v>56100</v>
      </c>
      <c r="O156" s="9" t="str">
        <v>June</v>
      </c>
      <c r="P156" s="9" t="str">
        <v>June</v>
      </c>
      <c r="Q156" s="9">
        <v>1</v>
      </c>
      <c r="R156" s="9">
        <v>4800089189</v>
      </c>
      <c r="S156" s="9">
        <v>45862</v>
      </c>
      <c r="T156" s="9">
        <v>55000</v>
      </c>
      <c r="U156" s="9" t="str">
        <v>July</v>
      </c>
      <c r="V156" s="9">
        <v>0</v>
      </c>
      <c r="W156" s="9">
        <v>0</v>
      </c>
      <c r="X156" s="9">
        <v>0</v>
      </c>
      <c r="Y156" s="9">
        <v>0</v>
      </c>
    </row>
    <row r="157" spans="1:25">
      <c r="A157" s="9">
        <v>61</v>
      </c>
      <c r="B157" s="9">
        <v>0</v>
      </c>
      <c r="C157" s="9" t="str">
        <v>Bharat Electronics Ltd</v>
      </c>
      <c r="D157" s="9" t="str">
        <v>Navi Mumbai</v>
      </c>
      <c r="E157" s="9" t="str">
        <v>Stores</v>
      </c>
      <c r="F157" s="9" t="str">
        <v>Vishal Kulkarni</v>
      </c>
      <c r="G157" s="9">
        <v>9766935985</v>
      </c>
      <c r="H157" s="9" t="str">
        <v>vishal.kulkarni@bel.co.in</v>
      </c>
      <c r="I157" s="9" t="str">
        <v>11001982/001</v>
      </c>
      <c r="J157" s="9" t="str">
        <v>Contract</v>
      </c>
      <c r="K157" s="9" t="str">
        <v>NO</v>
      </c>
      <c r="L157" s="9" t="str">
        <v>RFx7000539929</v>
      </c>
      <c r="M157" s="9">
        <v>45812</v>
      </c>
      <c r="N157" s="9">
        <v>56100</v>
      </c>
      <c r="O157" s="9" t="str">
        <v>June</v>
      </c>
      <c r="P157" s="9" t="str">
        <v>June</v>
      </c>
      <c r="Q157" s="9">
        <v>1</v>
      </c>
      <c r="R157" s="9">
        <v>4800089189</v>
      </c>
      <c r="S157" s="9">
        <v>45862</v>
      </c>
      <c r="T157" s="9">
        <v>55000</v>
      </c>
      <c r="U157" s="9" t="str">
        <v>July</v>
      </c>
      <c r="V157" s="9">
        <v>0</v>
      </c>
      <c r="W157" s="9">
        <v>0</v>
      </c>
      <c r="X157" s="9">
        <v>0</v>
      </c>
      <c r="Y157" s="9">
        <v>0</v>
      </c>
    </row>
    <row r="158" spans="1:25">
      <c r="A158" s="9">
        <v>61</v>
      </c>
      <c r="B158" s="9">
        <v>0</v>
      </c>
      <c r="C158" s="9" t="str">
        <v>Bharat Electronics Ltd</v>
      </c>
      <c r="D158" s="9" t="str">
        <v>Navi Mumbai</v>
      </c>
      <c r="E158" s="9" t="str">
        <v>Stores</v>
      </c>
      <c r="F158" s="9" t="str">
        <v>Vishal Kulkarni</v>
      </c>
      <c r="G158" s="9">
        <v>9766935985</v>
      </c>
      <c r="H158" s="9" t="str">
        <v>vishal.kulkarni@bel.co.in</v>
      </c>
      <c r="I158" s="9" t="str">
        <v>14000071/001</v>
      </c>
      <c r="J158" s="9" t="str">
        <v>Contract</v>
      </c>
      <c r="K158" s="9" t="str">
        <v>NO</v>
      </c>
      <c r="L158" s="9" t="str">
        <v>RFx7000539929</v>
      </c>
      <c r="M158" s="9">
        <v>45812</v>
      </c>
      <c r="N158" s="9">
        <v>56100</v>
      </c>
      <c r="O158" s="9" t="str">
        <v>June</v>
      </c>
      <c r="P158" s="9" t="str">
        <v>June</v>
      </c>
      <c r="Q158" s="9">
        <v>1</v>
      </c>
      <c r="R158" s="9">
        <v>4800089189</v>
      </c>
      <c r="S158" s="9">
        <v>45862</v>
      </c>
      <c r="T158" s="9">
        <v>55000</v>
      </c>
      <c r="U158" s="9" t="str">
        <v>July</v>
      </c>
      <c r="V158" s="9">
        <v>0</v>
      </c>
      <c r="W158" s="9">
        <v>0</v>
      </c>
      <c r="X158" s="9">
        <v>0</v>
      </c>
      <c r="Y158" s="9">
        <v>0</v>
      </c>
    </row>
    <row r="159" spans="1:25">
      <c r="A159" s="9">
        <v>62</v>
      </c>
      <c r="B159" s="9">
        <v>45812</v>
      </c>
      <c r="C159" s="9" t="str">
        <v xml:space="preserve">Yamazaki Mazak India PVT LTD </v>
      </c>
      <c r="D159" s="9" t="str">
        <v>Pune</v>
      </c>
      <c r="E159" s="9" t="str">
        <v>Stores</v>
      </c>
      <c r="F159" s="9" t="str">
        <v>Nilesh T</v>
      </c>
      <c r="G159" s="9">
        <v>9970002053</v>
      </c>
      <c r="H159" s="9" t="str">
        <v>nilesh.talawdekar@mazak.in</v>
      </c>
      <c r="I159" s="9" t="str">
        <v>10008824/001</v>
      </c>
      <c r="J159" s="9" t="str">
        <v>Contract</v>
      </c>
      <c r="K159" s="9" t="str">
        <v>NO</v>
      </c>
      <c r="L159" s="9" t="str">
        <v>KRIND/W/MC/AB/250020</v>
      </c>
      <c r="M159" s="9">
        <v>45812</v>
      </c>
      <c r="N159" s="9">
        <v>85000</v>
      </c>
      <c r="O159" s="9" t="str">
        <v>June</v>
      </c>
      <c r="P159" s="9" t="str">
        <v>June</v>
      </c>
      <c r="Q159" s="9">
        <v>1</v>
      </c>
      <c r="R159" s="9" t="str">
        <v>PO25260547</v>
      </c>
      <c r="S159" s="9">
        <v>45852</v>
      </c>
      <c r="T159" s="9">
        <v>78000</v>
      </c>
      <c r="U159" s="9" t="str">
        <v>July</v>
      </c>
      <c r="V159" s="9">
        <v>0</v>
      </c>
      <c r="W159" s="9">
        <v>0</v>
      </c>
      <c r="X159" s="9">
        <v>0</v>
      </c>
      <c r="Y159" s="9">
        <v>0</v>
      </c>
    </row>
    <row r="160" spans="1:25">
      <c r="A160" s="9">
        <v>63</v>
      </c>
      <c r="B160" s="9">
        <v>45812</v>
      </c>
      <c r="C160" s="9" t="str">
        <v xml:space="preserve">Alfa Laval India LTD </v>
      </c>
      <c r="D160" s="9" t="str">
        <v>Pune</v>
      </c>
      <c r="E160" s="9" t="str">
        <v xml:space="preserve">DLC </v>
      </c>
      <c r="F160" s="9" t="str">
        <v>Ranjit Shinde</v>
      </c>
      <c r="G160" s="9">
        <v>7045525011</v>
      </c>
      <c r="H160" s="9" t="str">
        <v>ranjit.shinde@alfalaval.com</v>
      </c>
      <c r="I160" s="9" t="str">
        <v>07010871/001</v>
      </c>
      <c r="J160" s="9" t="str">
        <v>Midlife Upgrade</v>
      </c>
      <c r="K160" s="9" t="str">
        <v>NO</v>
      </c>
      <c r="L160" s="9" t="str">
        <v>KRIND/W/SPP/AB/25015</v>
      </c>
      <c r="M160" s="9">
        <v>45812</v>
      </c>
      <c r="N160" s="9">
        <v>550271</v>
      </c>
      <c r="O160" s="9" t="str">
        <v>June</v>
      </c>
      <c r="P160" s="9" t="str">
        <v>November</v>
      </c>
      <c r="Q160" s="9">
        <v>0.5</v>
      </c>
      <c r="R160" s="9">
        <v>0</v>
      </c>
      <c r="S160" s="9">
        <v>0</v>
      </c>
      <c r="T160" s="9">
        <v>0</v>
      </c>
      <c r="U160" s="9">
        <v>0</v>
      </c>
      <c r="V160" s="9">
        <v>550271</v>
      </c>
      <c r="W160" s="9">
        <v>0</v>
      </c>
      <c r="X160" s="9">
        <v>0</v>
      </c>
      <c r="Y160" s="9">
        <v>0</v>
      </c>
    </row>
    <row r="161" spans="1:25">
      <c r="A161" s="9">
        <v>64</v>
      </c>
      <c r="B161" s="9">
        <v>45829</v>
      </c>
      <c r="C161" s="9" t="str">
        <v xml:space="preserve">Cummins India Ltd </v>
      </c>
      <c r="D161" s="9" t="str">
        <v>Pune</v>
      </c>
      <c r="E161" s="9" t="str">
        <v>NHNT</v>
      </c>
      <c r="F161" s="9" t="str">
        <v>Anadi Das</v>
      </c>
      <c r="G161" s="9">
        <v>0</v>
      </c>
      <c r="H161" s="9" t="str">
        <v>anadi.das@cummins.com</v>
      </c>
      <c r="I161" s="9" t="str">
        <v>00009908/004</v>
      </c>
      <c r="J161" s="9" t="str">
        <v>BD Spare</v>
      </c>
      <c r="K161" s="9" t="str">
        <v>NO</v>
      </c>
      <c r="L161" s="9" t="str">
        <v>KRIND/W/SPP/AB25017</v>
      </c>
      <c r="M161" s="9">
        <v>0</v>
      </c>
      <c r="N161" s="9">
        <v>470000</v>
      </c>
      <c r="O161" s="9" t="str">
        <v>June</v>
      </c>
      <c r="P161" s="9" t="str">
        <v>June</v>
      </c>
      <c r="Q161" s="9">
        <v>1</v>
      </c>
      <c r="R161" s="9" t="str">
        <v>IND8161924</v>
      </c>
      <c r="S161" s="9">
        <v>45831</v>
      </c>
      <c r="T161" s="9">
        <v>208550</v>
      </c>
      <c r="U161" s="9" t="str">
        <v>June</v>
      </c>
      <c r="V161" s="9">
        <v>261450</v>
      </c>
      <c r="W161" s="9">
        <v>0</v>
      </c>
      <c r="X161" s="9">
        <v>0</v>
      </c>
      <c r="Y161" s="9">
        <v>0</v>
      </c>
    </row>
    <row r="162" spans="1:25">
      <c r="A162" s="9">
        <v>65</v>
      </c>
      <c r="B162" s="9">
        <v>45838</v>
      </c>
      <c r="C162" s="9" t="str">
        <v>Siemens Ltd.</v>
      </c>
      <c r="D162" s="9" t="str">
        <v>Mumbai</v>
      </c>
      <c r="E162" s="9" t="str">
        <v>Switchboard</v>
      </c>
      <c r="F162" s="9" t="str">
        <v>Prasad Mayekar</v>
      </c>
      <c r="G162" s="9">
        <v>2268558345</v>
      </c>
      <c r="H162" s="9" t="str">
        <v>prasad.mayekar@siemens.com</v>
      </c>
      <c r="I162" s="9" t="str">
        <v>07004410/001</v>
      </c>
      <c r="J162" s="9" t="str">
        <v>Midlife Upgrade</v>
      </c>
      <c r="K162" s="9" t="str">
        <v>YES</v>
      </c>
      <c r="L162" s="9" t="str">
        <v>KRIND/W/SPP/AB25019_Si</v>
      </c>
      <c r="M162" s="9">
        <v>45838</v>
      </c>
      <c r="N162" s="9">
        <v>760616</v>
      </c>
      <c r="O162" s="9" t="str">
        <v>June</v>
      </c>
      <c r="P162" s="9" t="str">
        <v>August</v>
      </c>
      <c r="Q162" s="9">
        <v>1</v>
      </c>
      <c r="R162" s="9">
        <v>9709277663</v>
      </c>
      <c r="S162" s="9">
        <v>45887</v>
      </c>
      <c r="T162" s="9">
        <v>737797</v>
      </c>
      <c r="U162" s="9" t="str">
        <v>August</v>
      </c>
      <c r="V162" s="9">
        <v>0</v>
      </c>
      <c r="W162" s="9">
        <v>0</v>
      </c>
      <c r="X162" s="9">
        <v>0</v>
      </c>
      <c r="Y162" s="9">
        <v>0</v>
      </c>
    </row>
    <row r="163" spans="1:25">
      <c r="A163" s="9">
        <v>66</v>
      </c>
      <c r="B163" s="9">
        <v>45840</v>
      </c>
      <c r="C163" s="9" t="str">
        <v>Sedmac Mechatronics Pvt.Ltd.</v>
      </c>
      <c r="D163" s="9" t="str">
        <v>Pune</v>
      </c>
      <c r="E163" s="9" t="str">
        <v>Stores</v>
      </c>
      <c r="F163" s="9" t="str">
        <v>Amol Inamdar</v>
      </c>
      <c r="G163" s="9">
        <v>9689900920</v>
      </c>
      <c r="H163" s="9" t="str">
        <v>amol.inamdar@sedemac.com</v>
      </c>
      <c r="I163" s="9" t="str">
        <v>18008976/001</v>
      </c>
      <c r="J163" s="9" t="str">
        <v>Retrofit kit</v>
      </c>
      <c r="K163" s="9" t="str">
        <v>YES</v>
      </c>
      <c r="L163" s="9" t="str">
        <v>KRIND/W/SPP/AB25016</v>
      </c>
      <c r="M163" s="9">
        <v>45829</v>
      </c>
      <c r="N163" s="9">
        <v>2625000</v>
      </c>
      <c r="O163" s="9" t="str">
        <v>June</v>
      </c>
      <c r="P163" s="9" t="str">
        <v>November</v>
      </c>
      <c r="Q163" s="9">
        <v>0.5</v>
      </c>
      <c r="R163" s="9">
        <v>0</v>
      </c>
      <c r="S163" s="9">
        <v>0</v>
      </c>
      <c r="T163" s="9">
        <v>0</v>
      </c>
      <c r="U163" s="9">
        <v>0</v>
      </c>
      <c r="V163" s="9">
        <v>2625000</v>
      </c>
      <c r="W163" s="9">
        <v>0</v>
      </c>
      <c r="X163" s="9">
        <v>0</v>
      </c>
      <c r="Y163" s="9">
        <v>0</v>
      </c>
    </row>
    <row r="164" spans="1:25">
      <c r="A164" s="9">
        <v>67</v>
      </c>
      <c r="B164" s="9">
        <v>45810</v>
      </c>
      <c r="C164" s="9" t="str">
        <v xml:space="preserve">Kirloskar brothers LTD </v>
      </c>
      <c r="D164" s="9" t="str">
        <v>Kirloskawadi</v>
      </c>
      <c r="E164" s="9" t="str">
        <v>LPD</v>
      </c>
      <c r="F164" s="9" t="str">
        <v>Amit Gotkhindikar</v>
      </c>
      <c r="G164" s="9">
        <v>8459230159</v>
      </c>
      <c r="H164" s="9" t="str">
        <v>amit.gotkhindikar@kbl.co.in</v>
      </c>
      <c r="I164" s="9" t="str">
        <v>11006582/001</v>
      </c>
      <c r="J164" s="9" t="str">
        <v>Contract</v>
      </c>
      <c r="K164" s="9" t="str">
        <v>NO</v>
      </c>
      <c r="L164" s="9" t="str">
        <v>KAR/IND/AB/AMC/240021</v>
      </c>
      <c r="M164" s="9">
        <v>45840</v>
      </c>
      <c r="N164" s="9">
        <v>82000</v>
      </c>
      <c r="O164" s="9" t="str">
        <v>July</v>
      </c>
      <c r="P164" s="9" t="str">
        <v>July</v>
      </c>
      <c r="Q164" s="9">
        <v>1</v>
      </c>
      <c r="R164" s="9">
        <v>1600034060</v>
      </c>
      <c r="S164" s="9">
        <v>45867</v>
      </c>
      <c r="T164" s="9">
        <v>79540</v>
      </c>
      <c r="U164" s="9" t="str">
        <v>July</v>
      </c>
      <c r="V164" s="9">
        <v>0</v>
      </c>
      <c r="W164" s="9">
        <v>0</v>
      </c>
      <c r="X164" s="9">
        <v>0</v>
      </c>
      <c r="Y164" s="9">
        <v>0</v>
      </c>
    </row>
    <row r="165" spans="1:25">
      <c r="A165" s="9">
        <v>67</v>
      </c>
      <c r="B165" s="9">
        <v>0</v>
      </c>
      <c r="C165" s="9" t="str">
        <v xml:space="preserve">Kirloskar brothers LTD </v>
      </c>
      <c r="D165" s="9" t="str">
        <v>Kirloskawadi</v>
      </c>
      <c r="E165" s="9" t="str">
        <v>SMPD</v>
      </c>
      <c r="F165" s="9" t="str">
        <v>Amit Gotkhindikar</v>
      </c>
      <c r="G165" s="9">
        <v>8459230159</v>
      </c>
      <c r="H165" s="9" t="str">
        <v>amit.gotkhindikar@kbl.co.in</v>
      </c>
      <c r="I165" s="9" t="str">
        <v>11006583/001</v>
      </c>
      <c r="J165" s="9" t="str">
        <v>Contract</v>
      </c>
      <c r="K165" s="9" t="str">
        <v>NO</v>
      </c>
      <c r="L165" s="9" t="str">
        <v>KAR/IND/AB/AMC/240021</v>
      </c>
      <c r="M165" s="9">
        <v>45840</v>
      </c>
      <c r="N165" s="9">
        <v>82000</v>
      </c>
      <c r="O165" s="9" t="str">
        <v>July</v>
      </c>
      <c r="P165" s="9" t="str">
        <v>July</v>
      </c>
      <c r="Q165" s="9">
        <v>1</v>
      </c>
      <c r="R165" s="9">
        <v>1600034060</v>
      </c>
      <c r="S165" s="9">
        <v>45867</v>
      </c>
      <c r="T165" s="9">
        <v>79540</v>
      </c>
      <c r="U165" s="9" t="str">
        <v>July</v>
      </c>
      <c r="V165" s="9">
        <v>0</v>
      </c>
      <c r="W165" s="9">
        <v>0</v>
      </c>
      <c r="X165" s="9">
        <v>0</v>
      </c>
      <c r="Y165" s="9">
        <v>0</v>
      </c>
    </row>
    <row r="166" spans="1:25">
      <c r="A166" s="9">
        <v>68</v>
      </c>
      <c r="B166" s="9">
        <v>45840</v>
      </c>
      <c r="C166" s="9" t="str">
        <v>Sandvik Mining and Rock Technology India Pvt Ltd</v>
      </c>
      <c r="D166" s="9" t="str">
        <v>Pune</v>
      </c>
      <c r="E166" s="9" t="str">
        <v>Stores</v>
      </c>
      <c r="F166" s="9" t="str">
        <v>Ajay Jadhav</v>
      </c>
      <c r="G166" s="9">
        <v>9767455949</v>
      </c>
      <c r="H166" s="9" t="str">
        <v>ajay.shivaji_jadhav@sandvik.com</v>
      </c>
      <c r="I166" s="9" t="str">
        <v>11007104/001</v>
      </c>
      <c r="J166" s="9" t="str">
        <v>Contract</v>
      </c>
      <c r="K166" s="9" t="str">
        <v>NO</v>
      </c>
      <c r="L166" s="9" t="str">
        <v>KXIND/W/MC/AB25022</v>
      </c>
      <c r="M166" s="9">
        <v>45840</v>
      </c>
      <c r="N166" s="9">
        <v>46000</v>
      </c>
      <c r="O166" s="9" t="str">
        <v>July</v>
      </c>
      <c r="P166" s="9" t="str">
        <v>July</v>
      </c>
      <c r="Q166" s="9">
        <v>1</v>
      </c>
      <c r="R166" s="9">
        <v>4400012768</v>
      </c>
      <c r="S166" s="9">
        <v>45845</v>
      </c>
      <c r="T166" s="9">
        <v>46000</v>
      </c>
      <c r="U166" s="9" t="str">
        <v>July</v>
      </c>
      <c r="V166" s="9">
        <v>0</v>
      </c>
      <c r="W166" s="9">
        <v>0</v>
      </c>
      <c r="X166" s="9">
        <v>0</v>
      </c>
      <c r="Y166" s="9">
        <v>0</v>
      </c>
    </row>
    <row r="167" spans="1:25">
      <c r="A167" s="9">
        <v>69</v>
      </c>
      <c r="B167" s="9">
        <v>45839</v>
      </c>
      <c r="C167" s="9" t="str">
        <v xml:space="preserve">KSPG Automotive India PVT LTD </v>
      </c>
      <c r="D167" s="9" t="str">
        <v>Pune</v>
      </c>
      <c r="E167" s="9" t="str">
        <v>Stores</v>
      </c>
      <c r="F167" s="9" t="str">
        <v>Atul Raut</v>
      </c>
      <c r="G167" s="9">
        <v>0</v>
      </c>
      <c r="H167" s="9" t="str">
        <v>Atul.Raut@in.rheinmetall.com</v>
      </c>
      <c r="I167" s="9" t="str">
        <v>19002522/001</v>
      </c>
      <c r="J167" s="9" t="str">
        <v>Relocation</v>
      </c>
      <c r="K167" s="9" t="str">
        <v>NO</v>
      </c>
      <c r="L167" s="9" t="str">
        <v>KAR/IND/RE/AB/25005</v>
      </c>
      <c r="M167" s="9">
        <v>45839</v>
      </c>
      <c r="N167" s="9">
        <v>395000</v>
      </c>
      <c r="O167" s="9" t="str">
        <v>July</v>
      </c>
      <c r="P167" s="9" t="str">
        <v>July</v>
      </c>
      <c r="Q167" s="9">
        <v>1</v>
      </c>
      <c r="R167" s="9" t="str">
        <v>IN4/1443020928</v>
      </c>
      <c r="S167" s="9">
        <v>45852</v>
      </c>
      <c r="T167" s="9">
        <v>390000</v>
      </c>
      <c r="U167" s="9" t="str">
        <v>July</v>
      </c>
      <c r="V167" s="9">
        <v>0</v>
      </c>
      <c r="W167" s="9">
        <v>0</v>
      </c>
      <c r="X167" s="9">
        <v>0</v>
      </c>
      <c r="Y167" s="9">
        <v>0</v>
      </c>
    </row>
    <row r="168" spans="1:25">
      <c r="A168" s="9">
        <v>70</v>
      </c>
      <c r="B168" s="9">
        <v>45834</v>
      </c>
      <c r="C168" s="9" t="str">
        <v>Tata Cummins Pvt Ltd</v>
      </c>
      <c r="D168" s="9" t="str">
        <v>phaltan</v>
      </c>
      <c r="E168" s="9" t="str">
        <v>stores</v>
      </c>
      <c r="F168" s="9" t="str">
        <v>vijay Pawar</v>
      </c>
      <c r="G168" s="9">
        <v>7796646965</v>
      </c>
      <c r="H168" s="9" t="str">
        <v>vijay.pawar@cummins.com</v>
      </c>
      <c r="I168" s="9" t="str">
        <v>14006903/001</v>
      </c>
      <c r="J168" s="9" t="str">
        <v>SPP</v>
      </c>
      <c r="K168" s="9" t="str">
        <v>YES</v>
      </c>
      <c r="L168" s="9" t="str">
        <v>KRIND/W/SPP/AB25018</v>
      </c>
      <c r="M168" s="9">
        <v>45834</v>
      </c>
      <c r="N168" s="9">
        <v>587640</v>
      </c>
      <c r="O168" s="9" t="str">
        <v>July</v>
      </c>
      <c r="P168" s="9" t="str">
        <v>November</v>
      </c>
      <c r="Q168" s="9">
        <v>0.5</v>
      </c>
      <c r="R168" s="9">
        <v>0</v>
      </c>
      <c r="S168" s="9">
        <v>0</v>
      </c>
      <c r="T168" s="9">
        <v>0</v>
      </c>
      <c r="U168" s="9">
        <v>0</v>
      </c>
      <c r="V168" s="9">
        <v>587640</v>
      </c>
      <c r="W168" s="9">
        <v>0</v>
      </c>
      <c r="X168" s="9">
        <v>0</v>
      </c>
      <c r="Y168" s="9">
        <v>0</v>
      </c>
    </row>
    <row r="169" spans="1:25">
      <c r="A169" s="9">
        <v>71</v>
      </c>
      <c r="B169" s="9">
        <v>45859</v>
      </c>
      <c r="C169" s="9" t="str">
        <v xml:space="preserve">Cummins India Ltd </v>
      </c>
      <c r="D169" s="9" t="str">
        <v>Pune</v>
      </c>
      <c r="E169" s="9" t="str">
        <v>KN Stores</v>
      </c>
      <c r="F169" s="9" t="str">
        <v>Yogesh Hardule</v>
      </c>
      <c r="G169" s="9">
        <v>9881128312</v>
      </c>
      <c r="H169" s="9" t="str">
        <v>yogesh.hardule@cummins.com</v>
      </c>
      <c r="I169" s="9" t="str">
        <v>00009908/001</v>
      </c>
      <c r="J169" s="9" t="str">
        <v>SPP</v>
      </c>
      <c r="K169" s="9" t="str">
        <v>YES</v>
      </c>
      <c r="L169" s="9" t="str">
        <v>KRIND/W/SPP/MLU/AB25019</v>
      </c>
      <c r="M169" s="9">
        <v>45859</v>
      </c>
      <c r="N169" s="9">
        <v>171548</v>
      </c>
      <c r="O169" s="9" t="str">
        <v>July</v>
      </c>
      <c r="P169" s="9" t="str">
        <v>August</v>
      </c>
      <c r="Q169" s="9">
        <v>1</v>
      </c>
      <c r="R169" s="9" t="str">
        <v>IND8248277</v>
      </c>
      <c r="S169" s="9">
        <v>45919</v>
      </c>
      <c r="T169" s="9">
        <v>208550</v>
      </c>
      <c r="U169" s="9" t="str">
        <v>September</v>
      </c>
      <c r="V169" s="9">
        <v>0</v>
      </c>
      <c r="W169" s="9">
        <v>0</v>
      </c>
      <c r="X169" s="9">
        <v>0</v>
      </c>
      <c r="Y169" s="9">
        <v>0</v>
      </c>
    </row>
    <row r="170" spans="1:25">
      <c r="A170" s="9">
        <v>72</v>
      </c>
      <c r="B170" s="9">
        <v>45869</v>
      </c>
      <c r="C170" s="9" t="str">
        <v>Seco Tools India PVT LTD</v>
      </c>
      <c r="D170" s="9" t="str">
        <v>Pune</v>
      </c>
      <c r="E170" s="9" t="str">
        <v>Coating</v>
      </c>
      <c r="F170" s="9" t="str">
        <v>Avinash Kulkarni</v>
      </c>
      <c r="G170" s="9">
        <v>0</v>
      </c>
      <c r="H170" s="9" t="str">
        <v>avinash.kulkarni@secotools.com</v>
      </c>
      <c r="I170" s="9" t="str">
        <v>13001978/001</v>
      </c>
      <c r="J170" s="9" t="str">
        <v>Relocation</v>
      </c>
      <c r="K170" s="9" t="str">
        <v>No</v>
      </c>
      <c r="L170" s="9" t="str">
        <v>KAR/IND/RE/AB/25006</v>
      </c>
      <c r="M170" s="9">
        <v>45869</v>
      </c>
      <c r="N170" s="9">
        <v>395000</v>
      </c>
      <c r="O170" s="9" t="str">
        <v>July</v>
      </c>
      <c r="P170" s="9" t="str">
        <v>August</v>
      </c>
      <c r="Q170" s="9">
        <v>1</v>
      </c>
      <c r="R170" s="9">
        <v>10095414</v>
      </c>
      <c r="S170" s="9">
        <v>45875</v>
      </c>
      <c r="T170" s="9">
        <v>375250</v>
      </c>
      <c r="U170" s="9" t="str">
        <v>August</v>
      </c>
      <c r="V170" s="9">
        <v>0</v>
      </c>
      <c r="W170" s="9">
        <v>0</v>
      </c>
      <c r="X170" s="9">
        <v>0</v>
      </c>
      <c r="Y170" s="9">
        <v>0</v>
      </c>
    </row>
    <row r="171" spans="1:25">
      <c r="A171" s="9">
        <v>73</v>
      </c>
      <c r="B171" s="9">
        <v>45870</v>
      </c>
      <c r="C171" s="9" t="str">
        <v>Subros Ltd.</v>
      </c>
      <c r="D171" s="9" t="str">
        <v>Pune</v>
      </c>
      <c r="E171" s="9" t="str">
        <v>Stores</v>
      </c>
      <c r="F171" s="9" t="str">
        <v>Yogesh Panchal</v>
      </c>
      <c r="G171" s="9">
        <v>9552546923</v>
      </c>
      <c r="H171" s="9" t="str">
        <v>yogesh.panchal@subros.com</v>
      </c>
      <c r="I171" s="9" t="str">
        <v>12004504/001</v>
      </c>
      <c r="J171" s="9" t="str">
        <v>Contract</v>
      </c>
      <c r="K171" s="9" t="str">
        <v>No</v>
      </c>
      <c r="L171" s="9" t="str">
        <v>KXIND/W/MC/AB25025</v>
      </c>
      <c r="M171" s="9">
        <v>45870</v>
      </c>
      <c r="N171" s="9">
        <v>75000</v>
      </c>
      <c r="O171" s="9" t="str">
        <v>August</v>
      </c>
      <c r="P171" s="9" t="str">
        <v>October</v>
      </c>
      <c r="Q171" s="9">
        <v>1</v>
      </c>
      <c r="R171" s="9">
        <v>1100035470</v>
      </c>
      <c r="S171" s="9">
        <v>45959</v>
      </c>
      <c r="T171" s="9">
        <v>67000</v>
      </c>
      <c r="U171" s="9" t="str">
        <v>October</v>
      </c>
      <c r="V171" s="9">
        <v>0</v>
      </c>
      <c r="W171" s="9">
        <v>0</v>
      </c>
      <c r="X171" s="9">
        <v>0</v>
      </c>
      <c r="Y171" s="9">
        <v>0</v>
      </c>
    </row>
    <row r="172" spans="1:25">
      <c r="A172" s="9">
        <v>73</v>
      </c>
      <c r="B172" s="9">
        <v>0</v>
      </c>
      <c r="C172" s="9" t="str">
        <v>Subros Ltd.</v>
      </c>
      <c r="D172" s="9" t="str">
        <v>Pune</v>
      </c>
      <c r="E172" s="9" t="str">
        <v>Stores</v>
      </c>
      <c r="F172" s="9" t="str">
        <v>Yogesh Panchal</v>
      </c>
      <c r="G172" s="9">
        <v>9552546923</v>
      </c>
      <c r="H172" s="9" t="str">
        <v>yogesh.panchal@subros.com</v>
      </c>
      <c r="I172" s="9" t="str">
        <v>12004505/001</v>
      </c>
      <c r="J172" s="9" t="str">
        <v>Contract</v>
      </c>
      <c r="K172" s="9" t="str">
        <v>No</v>
      </c>
      <c r="L172" s="9" t="str">
        <v>KXIND/W/MC/AB25025</v>
      </c>
      <c r="M172" s="9">
        <v>45870</v>
      </c>
      <c r="N172" s="9">
        <v>75000</v>
      </c>
      <c r="O172" s="9" t="str">
        <v>August</v>
      </c>
      <c r="P172" s="9" t="str">
        <v>October</v>
      </c>
      <c r="Q172" s="9">
        <v>1</v>
      </c>
      <c r="R172" s="9">
        <v>1100035470</v>
      </c>
      <c r="S172" s="9">
        <v>45959</v>
      </c>
      <c r="T172" s="9">
        <v>67000</v>
      </c>
      <c r="U172" s="9" t="str">
        <v>October</v>
      </c>
      <c r="V172" s="9">
        <v>0</v>
      </c>
      <c r="W172" s="9">
        <v>0</v>
      </c>
      <c r="X172" s="9">
        <v>0</v>
      </c>
      <c r="Y172" s="9">
        <v>0</v>
      </c>
    </row>
    <row r="173" spans="1:25">
      <c r="A173" s="9">
        <v>74</v>
      </c>
      <c r="B173" s="9">
        <v>45837</v>
      </c>
      <c r="C173" s="9" t="str">
        <v>Cummins Technologis India Pvt Ltd</v>
      </c>
      <c r="D173" s="9" t="str">
        <v>phaltan</v>
      </c>
      <c r="E173" s="9" t="str">
        <v>stores</v>
      </c>
      <c r="F173" s="9" t="str">
        <v>Suyog Unde</v>
      </c>
      <c r="G173" s="9">
        <v>0</v>
      </c>
      <c r="H173" s="9" t="str">
        <v>suyog.unde@cummins.com</v>
      </c>
      <c r="I173" s="9" t="str">
        <v>13001233/001</v>
      </c>
      <c r="J173" s="9" t="str">
        <v>Contract</v>
      </c>
      <c r="K173" s="9" t="str">
        <v>NO</v>
      </c>
      <c r="L173" s="9" t="str">
        <v>KXIND/W/MC/AB25024</v>
      </c>
      <c r="M173" s="9">
        <v>45837</v>
      </c>
      <c r="N173" s="9">
        <v>80000</v>
      </c>
      <c r="O173" s="9" t="str">
        <v>July</v>
      </c>
      <c r="P173" s="9" t="str">
        <v>September</v>
      </c>
      <c r="Q173" s="9">
        <v>1</v>
      </c>
      <c r="R173" s="9" t="str">
        <v>IND8246930</v>
      </c>
      <c r="S173" s="9" t="str">
        <v>18/09/2025</v>
      </c>
      <c r="T173" s="9">
        <v>80000</v>
      </c>
      <c r="U173" s="9" t="str">
        <v>September</v>
      </c>
      <c r="V173" s="9">
        <v>0</v>
      </c>
      <c r="W173" s="9">
        <v>0</v>
      </c>
      <c r="X173" s="9">
        <v>0</v>
      </c>
      <c r="Y173" s="9">
        <v>0</v>
      </c>
    </row>
    <row r="174" spans="1:25">
      <c r="A174" s="9">
        <v>74</v>
      </c>
      <c r="B174" s="9">
        <v>0</v>
      </c>
      <c r="C174" s="9" t="str">
        <v>Cummins Technologis India Pvt Ltd</v>
      </c>
      <c r="D174" s="9" t="str">
        <v>phaltan</v>
      </c>
      <c r="E174" s="9" t="str">
        <v>stores</v>
      </c>
      <c r="F174" s="9" t="str">
        <v>Suyog Unde</v>
      </c>
      <c r="G174" s="9">
        <v>0</v>
      </c>
      <c r="H174" s="9" t="str">
        <v>suyog.unde@cummins.com</v>
      </c>
      <c r="I174" s="9">
        <v>0</v>
      </c>
      <c r="J174" s="9" t="str">
        <v>Contract</v>
      </c>
      <c r="K174" s="9" t="str">
        <v>No</v>
      </c>
      <c r="L174" s="9" t="str">
        <v>KXIND/W/MC/AB25024</v>
      </c>
      <c r="M174" s="9">
        <v>45837</v>
      </c>
      <c r="N174" s="9">
        <v>80000</v>
      </c>
      <c r="O174" s="9" t="str">
        <v>July</v>
      </c>
      <c r="P174" s="9" t="str">
        <v>September</v>
      </c>
      <c r="Q174" s="9">
        <v>1</v>
      </c>
      <c r="R174" s="9" t="str">
        <v>IND8246930</v>
      </c>
      <c r="S174" s="9" t="str">
        <v>18/09/2026</v>
      </c>
      <c r="T174" s="9">
        <v>80000</v>
      </c>
      <c r="U174" s="9" t="str">
        <v>September</v>
      </c>
      <c r="V174" s="9">
        <v>0</v>
      </c>
      <c r="W174" s="9">
        <v>0</v>
      </c>
      <c r="X174" s="9">
        <v>0</v>
      </c>
      <c r="Y174" s="9">
        <v>0</v>
      </c>
    </row>
    <row r="175" spans="1:25">
      <c r="A175" s="9">
        <v>75</v>
      </c>
      <c r="B175" s="9">
        <v>45837</v>
      </c>
      <c r="C175" s="9" t="str">
        <v xml:space="preserve">KSB Pumps LTD </v>
      </c>
      <c r="D175" s="9" t="str">
        <v>Pune</v>
      </c>
      <c r="E175" s="9" t="str">
        <v>Stores</v>
      </c>
      <c r="F175" s="9" t="str">
        <v>Sarang Budale</v>
      </c>
      <c r="G175" s="9">
        <v>9763858155</v>
      </c>
      <c r="H175" s="9" t="str">
        <v>Sarang.Budale@ksb.com</v>
      </c>
      <c r="I175" s="9" t="str">
        <v>13004342/001</v>
      </c>
      <c r="J175" s="9" t="str">
        <v>Contract</v>
      </c>
      <c r="K175" s="9" t="str">
        <v>NO</v>
      </c>
      <c r="L175" s="9" t="str">
        <v>KXIND/W/MC/AB25023</v>
      </c>
      <c r="M175" s="9">
        <v>45867</v>
      </c>
      <c r="N175" s="9">
        <v>92000</v>
      </c>
      <c r="O175" s="9" t="str">
        <v>July</v>
      </c>
      <c r="P175" s="9" t="str">
        <v>August</v>
      </c>
      <c r="Q175" s="9">
        <v>1</v>
      </c>
      <c r="R175" s="9">
        <v>4507666140</v>
      </c>
      <c r="S175" s="9">
        <v>45895</v>
      </c>
      <c r="T175" s="9">
        <v>90000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>
      <c r="A176" s="9">
        <v>75</v>
      </c>
      <c r="B176" s="9">
        <v>0</v>
      </c>
      <c r="C176" s="9" t="str">
        <v xml:space="preserve">KSB Pumps LTD </v>
      </c>
      <c r="D176" s="9" t="str">
        <v>Pune</v>
      </c>
      <c r="E176" s="9" t="str">
        <v>Stores</v>
      </c>
      <c r="F176" s="9" t="str">
        <v>Sarang Budale</v>
      </c>
      <c r="G176" s="9">
        <v>9763858155</v>
      </c>
      <c r="H176" s="9" t="str">
        <v>Sarang.Budale@ksb.com</v>
      </c>
      <c r="I176" s="9" t="str">
        <v>13004317/001</v>
      </c>
      <c r="J176" s="9" t="str">
        <v>Contract</v>
      </c>
      <c r="K176" s="9" t="str">
        <v>NO</v>
      </c>
      <c r="L176" s="9" t="str">
        <v>KXIND/W/MC/AB25023</v>
      </c>
      <c r="M176" s="9">
        <v>45867</v>
      </c>
      <c r="N176" s="9">
        <v>92000</v>
      </c>
      <c r="O176" s="9" t="str">
        <v>July</v>
      </c>
      <c r="P176" s="9" t="str">
        <v>August</v>
      </c>
      <c r="Q176" s="9">
        <v>1</v>
      </c>
      <c r="R176" s="9">
        <v>4507666140</v>
      </c>
      <c r="S176" s="9">
        <v>45895</v>
      </c>
      <c r="T176" s="9">
        <v>90000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>
      <c r="A177" s="9">
        <v>75</v>
      </c>
      <c r="B177" s="9">
        <v>0</v>
      </c>
      <c r="C177" s="9" t="str">
        <v xml:space="preserve">KSB Pumps LTD </v>
      </c>
      <c r="D177" s="9" t="str">
        <v>Pune</v>
      </c>
      <c r="E177" s="9" t="str">
        <v>Stores</v>
      </c>
      <c r="F177" s="9" t="str">
        <v>Sarang Budale</v>
      </c>
      <c r="G177" s="9">
        <v>9763858155</v>
      </c>
      <c r="H177" s="9" t="str">
        <v>Sarang.Budale@ksb.com</v>
      </c>
      <c r="I177" s="9" t="str">
        <v>14005058/001</v>
      </c>
      <c r="J177" s="9" t="str">
        <v>Contract</v>
      </c>
      <c r="K177" s="9" t="str">
        <v>NO</v>
      </c>
      <c r="L177" s="9" t="str">
        <v>KXIND/W/MC/AB25023</v>
      </c>
      <c r="M177" s="9">
        <v>45867</v>
      </c>
      <c r="N177" s="9">
        <v>92000</v>
      </c>
      <c r="O177" s="9" t="str">
        <v>July</v>
      </c>
      <c r="P177" s="9" t="str">
        <v>August</v>
      </c>
      <c r="Q177" s="9">
        <v>1</v>
      </c>
      <c r="R177" s="9">
        <v>4507666140</v>
      </c>
      <c r="S177" s="9">
        <v>45895</v>
      </c>
      <c r="T177" s="9">
        <v>90000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>
      <c r="A178" s="9">
        <v>75</v>
      </c>
      <c r="B178" s="9">
        <v>0</v>
      </c>
      <c r="C178" s="9" t="str">
        <v xml:space="preserve">KSB Pumps LTD </v>
      </c>
      <c r="D178" s="9" t="str">
        <v>Pune</v>
      </c>
      <c r="E178" s="9" t="str">
        <v>Stores</v>
      </c>
      <c r="F178" s="9" t="str">
        <v>Sarang Budale</v>
      </c>
      <c r="G178" s="9">
        <v>9763858155</v>
      </c>
      <c r="H178" s="9" t="str">
        <v>Sarang.Budale@ksb.com</v>
      </c>
      <c r="I178" s="9" t="str">
        <v>14005057/001</v>
      </c>
      <c r="J178" s="9" t="str">
        <v>Contract</v>
      </c>
      <c r="K178" s="9" t="str">
        <v>NO</v>
      </c>
      <c r="L178" s="9" t="str">
        <v>KXIND/W/MC/AB25023</v>
      </c>
      <c r="M178" s="9">
        <v>45867</v>
      </c>
      <c r="N178" s="9">
        <v>92000</v>
      </c>
      <c r="O178" s="9" t="str">
        <v>July</v>
      </c>
      <c r="P178" s="9" t="str">
        <v>August</v>
      </c>
      <c r="Q178" s="9">
        <v>1</v>
      </c>
      <c r="R178" s="9">
        <v>4507666140</v>
      </c>
      <c r="S178" s="9">
        <v>45895</v>
      </c>
      <c r="T178" s="9">
        <v>90000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>
      <c r="A179" s="9">
        <v>75</v>
      </c>
      <c r="B179" s="9">
        <v>0</v>
      </c>
      <c r="C179" s="9" t="str">
        <v xml:space="preserve">KSB Pumps LTD </v>
      </c>
      <c r="D179" s="9" t="str">
        <v>Pune</v>
      </c>
      <c r="E179" s="9" t="str">
        <v>Stores</v>
      </c>
      <c r="F179" s="9" t="str">
        <v>Sarang Budale</v>
      </c>
      <c r="G179" s="9">
        <v>9763858155</v>
      </c>
      <c r="H179" s="9" t="str">
        <v>Sarang.Budale@ksb.com</v>
      </c>
      <c r="I179" s="9" t="str">
        <v>22004920/001</v>
      </c>
      <c r="J179" s="9" t="str">
        <v>Contract</v>
      </c>
      <c r="K179" s="9" t="str">
        <v>NO</v>
      </c>
      <c r="L179" s="9" t="str">
        <v>KXIND/W/MC/AB25023</v>
      </c>
      <c r="M179" s="9">
        <v>45867</v>
      </c>
      <c r="N179" s="9">
        <v>92000</v>
      </c>
      <c r="O179" s="9" t="str">
        <v>July</v>
      </c>
      <c r="P179" s="9" t="str">
        <v>August</v>
      </c>
      <c r="Q179" s="9">
        <v>1</v>
      </c>
      <c r="R179" s="9">
        <v>4507666140</v>
      </c>
      <c r="S179" s="9">
        <v>45895</v>
      </c>
      <c r="T179" s="9">
        <v>90000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>
      <c r="A180" s="9">
        <v>75</v>
      </c>
      <c r="B180" s="9">
        <v>0</v>
      </c>
      <c r="C180" s="9" t="str">
        <v xml:space="preserve">KSB Pumps LTD </v>
      </c>
      <c r="D180" s="9" t="str">
        <v>Pune</v>
      </c>
      <c r="E180" s="9" t="str">
        <v>Stores</v>
      </c>
      <c r="F180" s="9" t="str">
        <v>Sarang Budale</v>
      </c>
      <c r="G180" s="9">
        <v>9763858155</v>
      </c>
      <c r="H180" s="9" t="str">
        <v>Sarang.Budale@ksb.com</v>
      </c>
      <c r="I180" s="9" t="str">
        <v>22004920/002</v>
      </c>
      <c r="J180" s="9" t="str">
        <v>Contract</v>
      </c>
      <c r="K180" s="9" t="str">
        <v>NO</v>
      </c>
      <c r="L180" s="9" t="str">
        <v>KXIND/W/MC/AB25023</v>
      </c>
      <c r="M180" s="9">
        <v>45867</v>
      </c>
      <c r="N180" s="9">
        <v>92000</v>
      </c>
      <c r="O180" s="9" t="str">
        <v>July</v>
      </c>
      <c r="P180" s="9" t="str">
        <v>August</v>
      </c>
      <c r="Q180" s="9">
        <v>1</v>
      </c>
      <c r="R180" s="9">
        <v>4507666140</v>
      </c>
      <c r="S180" s="9">
        <v>45895</v>
      </c>
      <c r="T180" s="9">
        <v>90000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>
      <c r="A181" s="9">
        <v>76</v>
      </c>
      <c r="B181" s="9">
        <v>45837</v>
      </c>
      <c r="C181" s="9" t="str">
        <v xml:space="preserve">Kirloskar brothers LTD </v>
      </c>
      <c r="D181" s="9" t="str">
        <v>Kirloskawadi</v>
      </c>
      <c r="E181" s="9" t="str">
        <v>SMPD</v>
      </c>
      <c r="F181" s="9" t="str">
        <v>Amit Gotkhindikar</v>
      </c>
      <c r="G181" s="9">
        <v>8459230159</v>
      </c>
      <c r="H181" s="9" t="str">
        <v>amit.gotkhindikar@kbl.co.in</v>
      </c>
      <c r="I181" s="9" t="str">
        <v>11006583/001</v>
      </c>
      <c r="J181" s="9" t="str">
        <v>SPP</v>
      </c>
      <c r="K181" s="9" t="str">
        <v>Yes</v>
      </c>
      <c r="L181" s="9" t="str">
        <v>KRIND/W/SPP/AB25019</v>
      </c>
      <c r="M181" s="9">
        <v>45837</v>
      </c>
      <c r="N181" s="9">
        <v>353593</v>
      </c>
      <c r="O181" s="9" t="str">
        <v>July</v>
      </c>
      <c r="P181" s="9" t="str">
        <v>November</v>
      </c>
      <c r="Q181" s="9">
        <v>1</v>
      </c>
      <c r="R181" s="9">
        <v>1300449292</v>
      </c>
      <c r="S181" s="9">
        <v>45996</v>
      </c>
      <c r="T181" s="9">
        <v>308783</v>
      </c>
      <c r="U181" s="9" t="str">
        <v>December</v>
      </c>
      <c r="V181" s="9">
        <v>0</v>
      </c>
      <c r="W181" s="9">
        <v>0</v>
      </c>
      <c r="X181" s="9">
        <v>0</v>
      </c>
      <c r="Y181" s="9">
        <v>0</v>
      </c>
    </row>
    <row r="182" spans="1:25">
      <c r="A182" s="9">
        <v>77</v>
      </c>
      <c r="B182" s="9">
        <v>45868</v>
      </c>
      <c r="C182" s="9" t="str">
        <v>GE India Industrial Pvt.Ltd.</v>
      </c>
      <c r="D182" s="9" t="str">
        <v>Pune</v>
      </c>
      <c r="E182" s="9" t="str">
        <v>Fixture</v>
      </c>
      <c r="F182" s="9" t="str">
        <v>vishal.khaware</v>
      </c>
      <c r="G182" s="9">
        <v>8975397991</v>
      </c>
      <c r="H182" s="9" t="str">
        <v>vishal.khaware@geaerospace.com</v>
      </c>
      <c r="I182" s="9" t="str">
        <v>16004510/001</v>
      </c>
      <c r="J182" s="9" t="str">
        <v>SPP</v>
      </c>
      <c r="K182" s="9" t="str">
        <v>YES</v>
      </c>
      <c r="L182" s="9" t="str">
        <v>KRIND/W/SPP/AB25020</v>
      </c>
      <c r="M182" s="9">
        <v>45868</v>
      </c>
      <c r="N182" s="9">
        <v>229696</v>
      </c>
      <c r="O182" s="9" t="str">
        <v>July</v>
      </c>
      <c r="P182" s="9" t="str">
        <v>August</v>
      </c>
      <c r="Q182" s="9">
        <v>1</v>
      </c>
      <c r="R182" s="9">
        <v>2009936</v>
      </c>
      <c r="S182" s="9">
        <v>45881</v>
      </c>
      <c r="T182" s="9">
        <v>229696</v>
      </c>
      <c r="U182" s="9" t="str">
        <v>August</v>
      </c>
      <c r="V182" s="9">
        <v>0</v>
      </c>
      <c r="W182" s="9">
        <v>0</v>
      </c>
      <c r="X182" s="9">
        <v>0</v>
      </c>
      <c r="Y182" s="9">
        <v>0</v>
      </c>
    </row>
    <row r="183" spans="1:25">
      <c r="A183" s="9">
        <v>78</v>
      </c>
      <c r="B183" s="9">
        <v>45873</v>
      </c>
      <c r="C183" s="9" t="str">
        <v xml:space="preserve">Mahindra &amp; Mahindra LTD </v>
      </c>
      <c r="D183" s="9" t="str">
        <v>Mumbai</v>
      </c>
      <c r="E183" s="9" t="str">
        <v>Stores</v>
      </c>
      <c r="F183" s="9" t="str">
        <v>Gade Atul</v>
      </c>
      <c r="G183" s="9">
        <v>9923496979</v>
      </c>
      <c r="H183" s="9" t="str">
        <v>GADE.ATUL@mahindra.com</v>
      </c>
      <c r="I183" s="9" t="str">
        <v>11010141/001</v>
      </c>
      <c r="J183" s="9" t="str">
        <v>Contract</v>
      </c>
      <c r="K183" s="9" t="str">
        <v>No</v>
      </c>
      <c r="L183" s="9" t="str">
        <v>KXIND/W/MC/AB25026</v>
      </c>
      <c r="M183" s="9">
        <v>45873</v>
      </c>
      <c r="N183" s="9">
        <v>68000</v>
      </c>
      <c r="O183" s="9" t="str">
        <v>August</v>
      </c>
      <c r="P183" s="9" t="str">
        <v>August</v>
      </c>
      <c r="Q183" s="9">
        <v>1</v>
      </c>
      <c r="R183" s="9" t="str">
        <v xml:space="preserve"> A002/A3P/3400825766</v>
      </c>
      <c r="S183" s="9">
        <v>45973</v>
      </c>
      <c r="T183" s="9">
        <v>68000</v>
      </c>
      <c r="U183" s="9" t="str">
        <v>November</v>
      </c>
      <c r="V183" s="9">
        <v>0</v>
      </c>
      <c r="W183" s="9">
        <v>0</v>
      </c>
      <c r="X183" s="9">
        <v>0</v>
      </c>
      <c r="Y183" s="9">
        <v>0</v>
      </c>
    </row>
    <row r="184" spans="1:25">
      <c r="A184" s="9">
        <v>78</v>
      </c>
      <c r="B184" s="9">
        <v>0</v>
      </c>
      <c r="C184" s="9" t="str">
        <v xml:space="preserve">Mahindra &amp; Mahindra LTD </v>
      </c>
      <c r="D184" s="9" t="str">
        <v>Mumbai</v>
      </c>
      <c r="E184" s="9" t="str">
        <v>Stores</v>
      </c>
      <c r="F184" s="9" t="str">
        <v>Gade Atul</v>
      </c>
      <c r="G184" s="9">
        <v>9923496979</v>
      </c>
      <c r="H184" s="9" t="str">
        <v>GADE.ATUL@mahindra.com</v>
      </c>
      <c r="I184" s="9" t="str">
        <v>11010626/001</v>
      </c>
      <c r="J184" s="9" t="str">
        <v>Contract</v>
      </c>
      <c r="K184" s="9" t="str">
        <v>No</v>
      </c>
      <c r="L184" s="9" t="str">
        <v>KXIND/W/MC/AB25026</v>
      </c>
      <c r="M184" s="9">
        <v>45873</v>
      </c>
      <c r="N184" s="9">
        <v>68000</v>
      </c>
      <c r="O184" s="9" t="str">
        <v>August</v>
      </c>
      <c r="P184" s="9" t="str">
        <v>August</v>
      </c>
      <c r="Q184" s="9">
        <v>1</v>
      </c>
      <c r="R184" s="9" t="str">
        <v xml:space="preserve"> A002/A3P/3400825766</v>
      </c>
      <c r="S184" s="9">
        <v>45973</v>
      </c>
      <c r="T184" s="9">
        <v>68000</v>
      </c>
      <c r="U184" s="9" t="str">
        <v>November</v>
      </c>
      <c r="V184" s="9">
        <v>0</v>
      </c>
      <c r="W184" s="9">
        <v>0</v>
      </c>
      <c r="X184" s="9">
        <v>0</v>
      </c>
      <c r="Y184" s="9">
        <v>0</v>
      </c>
    </row>
    <row r="185" spans="1:25">
      <c r="A185" s="9">
        <v>78</v>
      </c>
      <c r="B185" s="9">
        <v>0</v>
      </c>
      <c r="C185" s="9" t="str">
        <v xml:space="preserve">Mahindra &amp; Mahindra LTD </v>
      </c>
      <c r="D185" s="9" t="str">
        <v>Mumbai</v>
      </c>
      <c r="E185" s="9" t="str">
        <v>Stores</v>
      </c>
      <c r="F185" s="9" t="str">
        <v>Gade Atul</v>
      </c>
      <c r="G185" s="9">
        <v>9923496979</v>
      </c>
      <c r="H185" s="9" t="str">
        <v>GADE.ATUL@mahindra.com</v>
      </c>
      <c r="I185" s="9" t="str">
        <v>11010119/001</v>
      </c>
      <c r="J185" s="9" t="str">
        <v>Contract</v>
      </c>
      <c r="K185" s="9" t="str">
        <v>No</v>
      </c>
      <c r="L185" s="9" t="str">
        <v>KXIND/W/MC/AB25026</v>
      </c>
      <c r="M185" s="9">
        <v>45873</v>
      </c>
      <c r="N185" s="9">
        <v>68000</v>
      </c>
      <c r="O185" s="9" t="str">
        <v>August</v>
      </c>
      <c r="P185" s="9" t="str">
        <v>August</v>
      </c>
      <c r="Q185" s="9">
        <v>1</v>
      </c>
      <c r="R185" s="9" t="str">
        <v xml:space="preserve"> A002/A3P/3400825766</v>
      </c>
      <c r="S185" s="9">
        <v>45973</v>
      </c>
      <c r="T185" s="9">
        <v>68000</v>
      </c>
      <c r="U185" s="9" t="str">
        <v>November</v>
      </c>
      <c r="V185" s="9">
        <v>0</v>
      </c>
      <c r="W185" s="9">
        <v>0</v>
      </c>
      <c r="X185" s="9">
        <v>0</v>
      </c>
      <c r="Y185" s="9">
        <v>0</v>
      </c>
    </row>
    <row r="186" spans="1:25">
      <c r="A186" s="9">
        <v>79</v>
      </c>
      <c r="B186" s="9">
        <v>45873</v>
      </c>
      <c r="C186" s="9" t="str">
        <v>Siemens Ltd.</v>
      </c>
      <c r="D186" s="9" t="str">
        <v>Mumbai</v>
      </c>
      <c r="E186" s="9" t="str">
        <v>Stores</v>
      </c>
      <c r="F186" s="9" t="str">
        <v>Anup harne</v>
      </c>
      <c r="G186" s="9">
        <v>9860139763</v>
      </c>
      <c r="H186" s="9" t="str">
        <v>anup.harne@siemens.com</v>
      </c>
      <c r="I186" s="9" t="str">
        <v>12006597/001</v>
      </c>
      <c r="J186" s="9" t="str">
        <v>Relocation</v>
      </c>
      <c r="K186" s="9" t="str">
        <v>No</v>
      </c>
      <c r="L186" s="9" t="str">
        <v>KAR/IND/RE/AB/25007</v>
      </c>
      <c r="M186" s="9">
        <v>45873</v>
      </c>
      <c r="N186" s="9">
        <v>785000</v>
      </c>
      <c r="O186" s="9" t="str">
        <v>August</v>
      </c>
      <c r="P186" s="9" t="str">
        <v>September</v>
      </c>
      <c r="Q186" s="9">
        <v>1</v>
      </c>
      <c r="R186" s="9">
        <v>4513650065</v>
      </c>
      <c r="S186" s="9">
        <v>45909</v>
      </c>
      <c r="T186" s="9">
        <v>785000</v>
      </c>
      <c r="U186" s="9" t="str">
        <v>September</v>
      </c>
      <c r="V186" s="9">
        <v>0</v>
      </c>
      <c r="W186" s="9">
        <v>0</v>
      </c>
      <c r="X186" s="9">
        <v>0</v>
      </c>
      <c r="Y186" s="9">
        <v>0</v>
      </c>
    </row>
    <row r="187" spans="1:25">
      <c r="A187" s="9">
        <v>80</v>
      </c>
      <c r="B187" s="9">
        <v>45888</v>
      </c>
      <c r="C187" s="9" t="str">
        <v>Seco Tools India PVT LTD</v>
      </c>
      <c r="D187" s="9" t="str">
        <v>pune</v>
      </c>
      <c r="E187" s="9" t="str">
        <v>Coating</v>
      </c>
      <c r="F187" s="9" t="str">
        <v>Arun kadam</v>
      </c>
      <c r="G187" s="9">
        <v>9552579436</v>
      </c>
      <c r="H187" s="9" t="str">
        <v>Arun.Kadam@secotools.com</v>
      </c>
      <c r="I187" s="9" t="str">
        <v>22005009/001</v>
      </c>
      <c r="J187" s="9" t="str">
        <v>Upgrade kit</v>
      </c>
      <c r="K187" s="9" t="str">
        <v>Yes</v>
      </c>
      <c r="L187" s="9" t="str">
        <v>KRIND/W/SPP/AB25021</v>
      </c>
      <c r="M187" s="9">
        <v>45888</v>
      </c>
      <c r="N187" s="9">
        <v>339000</v>
      </c>
      <c r="O187" s="9" t="str">
        <v>August</v>
      </c>
      <c r="P187" s="9" t="str">
        <v>October</v>
      </c>
      <c r="Q187" s="9">
        <v>1</v>
      </c>
      <c r="R187" s="9">
        <v>10100049</v>
      </c>
      <c r="S187" s="9" t="str">
        <v>28/10/2025</v>
      </c>
      <c r="T187" s="9">
        <v>328830</v>
      </c>
      <c r="U187" s="9" t="str">
        <v>October</v>
      </c>
      <c r="V187" s="9">
        <v>0</v>
      </c>
      <c r="W187" s="9">
        <v>0</v>
      </c>
      <c r="X187" s="9">
        <v>0</v>
      </c>
      <c r="Y187" s="9">
        <v>0</v>
      </c>
    </row>
    <row r="188" spans="1:25">
      <c r="A188" s="9">
        <v>81</v>
      </c>
      <c r="B188" s="9">
        <v>45898</v>
      </c>
      <c r="C188" s="9" t="str">
        <v xml:space="preserve">Alfa Laval India LTD </v>
      </c>
      <c r="D188" s="9" t="str">
        <v>Pune</v>
      </c>
      <c r="E188" s="9" t="str">
        <v>HSS</v>
      </c>
      <c r="F188" s="9" t="str">
        <v>Mangesh A</v>
      </c>
      <c r="G188" s="9">
        <v>8605008368</v>
      </c>
      <c r="H188" s="9" t="str">
        <v>mangesh.andhorikar@alfalaval.com</v>
      </c>
      <c r="I188" s="9" t="str">
        <v>05008611/001</v>
      </c>
      <c r="J188" s="9" t="str">
        <v>Retrofit kit</v>
      </c>
      <c r="K188" s="9" t="str">
        <v>Yes</v>
      </c>
      <c r="L188" s="9" t="str">
        <v>KRIND/W/RF/AB25024</v>
      </c>
      <c r="M188" s="9">
        <v>45898</v>
      </c>
      <c r="N188" s="9">
        <v>2720000</v>
      </c>
      <c r="O188" s="9" t="str">
        <v>August</v>
      </c>
      <c r="P188" s="9" t="str">
        <v>December</v>
      </c>
      <c r="Q188" s="9">
        <v>0.5</v>
      </c>
      <c r="R188" s="9">
        <v>0</v>
      </c>
      <c r="S188" s="9">
        <v>0</v>
      </c>
      <c r="T188" s="9">
        <v>0</v>
      </c>
      <c r="U188" s="9">
        <v>0</v>
      </c>
      <c r="V188" s="9">
        <v>2720000</v>
      </c>
      <c r="W188" s="9">
        <v>0</v>
      </c>
      <c r="X188" s="9">
        <v>0</v>
      </c>
      <c r="Y188" s="9">
        <v>0</v>
      </c>
    </row>
    <row r="189" spans="1:25">
      <c r="A189" s="9">
        <v>82</v>
      </c>
      <c r="B189" s="9">
        <v>45922</v>
      </c>
      <c r="C189" s="9" t="str">
        <v xml:space="preserve">Wartsila India LTD </v>
      </c>
      <c r="D189" s="9" t="str">
        <v>Pune</v>
      </c>
      <c r="E189" s="9" t="str">
        <v>stores</v>
      </c>
      <c r="F189" s="9" t="str">
        <v>Anil Joshi</v>
      </c>
      <c r="G189" s="9">
        <v>9324907818</v>
      </c>
      <c r="H189" s="9" t="str">
        <v>anil.joshi@wartsila.com</v>
      </c>
      <c r="I189" s="9" t="str">
        <v>08011451/001</v>
      </c>
      <c r="J189" s="9" t="str">
        <v>SPP</v>
      </c>
      <c r="K189" s="9" t="str">
        <v>Yes</v>
      </c>
      <c r="L189" s="9" t="str">
        <v>KRIND/W/SPP/AB/25025</v>
      </c>
      <c r="M189" s="9">
        <v>45922</v>
      </c>
      <c r="N189" s="9">
        <v>137000</v>
      </c>
      <c r="O189" s="9" t="str">
        <v>September</v>
      </c>
      <c r="P189" s="9" t="str">
        <v>September</v>
      </c>
      <c r="Q189" s="9">
        <v>1</v>
      </c>
      <c r="R189" s="9">
        <v>4506059211</v>
      </c>
      <c r="S189" s="9">
        <v>45924</v>
      </c>
      <c r="T189" s="9">
        <v>70255</v>
      </c>
      <c r="U189" s="9" t="str">
        <v>September</v>
      </c>
      <c r="V189" s="9">
        <v>66745</v>
      </c>
      <c r="W189" s="9">
        <v>0</v>
      </c>
      <c r="X189" s="9">
        <v>0</v>
      </c>
      <c r="Y189" s="9">
        <v>0</v>
      </c>
    </row>
    <row r="190" spans="1:25">
      <c r="A190" s="9">
        <v>83</v>
      </c>
      <c r="B190" s="9">
        <v>45925</v>
      </c>
      <c r="C190" s="9" t="str">
        <v xml:space="preserve">Alfa Laval India LTD </v>
      </c>
      <c r="D190" s="9" t="str">
        <v>Pune</v>
      </c>
      <c r="E190" s="9" t="str">
        <v>Decanter</v>
      </c>
      <c r="F190" s="9" t="str">
        <v>Sagar Pawar</v>
      </c>
      <c r="G190" s="9">
        <v>7798824040</v>
      </c>
      <c r="H190" s="9" t="str">
        <v>Sagar.Pawar@alfalaval.com</v>
      </c>
      <c r="I190" s="9" t="str">
        <v>05004742/001</v>
      </c>
      <c r="J190" s="9" t="str">
        <v>SPP</v>
      </c>
      <c r="K190" s="9" t="str">
        <v>YES</v>
      </c>
      <c r="L190" s="9" t="str">
        <v>KRIND/W/SPP/AB25026_R1</v>
      </c>
      <c r="M190" s="9">
        <v>45925</v>
      </c>
      <c r="N190" s="9">
        <v>862591</v>
      </c>
      <c r="O190" s="9" t="str">
        <v>September</v>
      </c>
      <c r="P190" s="9" t="str">
        <v>November</v>
      </c>
      <c r="Q190" s="9">
        <v>0.5</v>
      </c>
      <c r="R190" s="9">
        <v>0</v>
      </c>
      <c r="S190" s="9">
        <v>0</v>
      </c>
      <c r="T190" s="9">
        <v>0</v>
      </c>
      <c r="U190" s="9">
        <v>0</v>
      </c>
      <c r="V190" s="9">
        <v>862591</v>
      </c>
      <c r="W190" s="9">
        <v>0</v>
      </c>
      <c r="X190" s="9">
        <v>0</v>
      </c>
      <c r="Y190" s="9">
        <v>0</v>
      </c>
    </row>
    <row r="191" spans="1:25">
      <c r="A191" s="9">
        <v>84</v>
      </c>
      <c r="B191" s="9">
        <v>45922</v>
      </c>
      <c r="C191" s="9" t="str">
        <v>Subros Ltd.</v>
      </c>
      <c r="D191" s="9" t="str">
        <v>Pune</v>
      </c>
      <c r="E191" s="9" t="str">
        <v>Stores</v>
      </c>
      <c r="F191" s="9" t="str">
        <v>shahrukh Kazi</v>
      </c>
      <c r="G191" s="9">
        <v>8888980936</v>
      </c>
      <c r="H191" s="9" t="str">
        <v>shaharukh.kazi@subros.com</v>
      </c>
      <c r="I191" s="9" t="str">
        <v>12004504/001</v>
      </c>
      <c r="J191" s="9" t="str">
        <v>Upgrade kit</v>
      </c>
      <c r="K191" s="9" t="str">
        <v>Yes</v>
      </c>
      <c r="L191" s="9" t="str">
        <v>KRIND/W/SPP/AB250027</v>
      </c>
      <c r="M191" s="9">
        <v>45922</v>
      </c>
      <c r="N191" s="9">
        <v>1221242</v>
      </c>
      <c r="O191" s="9" t="str">
        <v>September</v>
      </c>
      <c r="P191" s="9" t="str">
        <v>December</v>
      </c>
      <c r="Q191" s="9">
        <v>0.5</v>
      </c>
      <c r="R191" s="9">
        <v>0</v>
      </c>
      <c r="S191" s="9">
        <v>0</v>
      </c>
      <c r="T191" s="9">
        <v>0</v>
      </c>
      <c r="U191" s="9">
        <v>0</v>
      </c>
      <c r="V191" s="9">
        <v>1221242</v>
      </c>
      <c r="W191" s="9">
        <v>0</v>
      </c>
      <c r="X191" s="9">
        <v>0</v>
      </c>
      <c r="Y191" s="9">
        <v>0</v>
      </c>
    </row>
    <row r="192" spans="1:25">
      <c r="A192" s="9">
        <v>85</v>
      </c>
      <c r="B192" s="9">
        <v>45925</v>
      </c>
      <c r="C192" s="9" t="str">
        <v>Tata Cummins Pvt Ltd</v>
      </c>
      <c r="D192" s="9" t="str">
        <v>phaltan</v>
      </c>
      <c r="E192" s="9" t="str">
        <v>stores</v>
      </c>
      <c r="F192" s="9" t="str">
        <v>vijay Pawar</v>
      </c>
      <c r="G192" s="9">
        <v>7796646965</v>
      </c>
      <c r="H192" s="9" t="str">
        <v>vijay.pawar@cummins.com</v>
      </c>
      <c r="I192" s="9" t="str">
        <v>14006903/001</v>
      </c>
      <c r="J192" s="9" t="str">
        <v>Upgrade kit</v>
      </c>
      <c r="K192" s="9" t="str">
        <v>Yes</v>
      </c>
      <c r="L192" s="9" t="str">
        <v>KRIND/W/SPP/AB25028</v>
      </c>
      <c r="M192" s="9">
        <v>45925</v>
      </c>
      <c r="N192" s="9">
        <v>516900</v>
      </c>
      <c r="O192" s="9" t="str">
        <v>September</v>
      </c>
      <c r="P192" s="9" t="str">
        <v>November</v>
      </c>
      <c r="Q192" s="9">
        <v>0.5</v>
      </c>
      <c r="R192" s="9">
        <v>0</v>
      </c>
      <c r="S192" s="9">
        <v>0</v>
      </c>
      <c r="T192" s="9">
        <v>0</v>
      </c>
      <c r="U192" s="9">
        <v>0</v>
      </c>
      <c r="V192" s="9">
        <v>516900</v>
      </c>
      <c r="W192" s="9">
        <v>0</v>
      </c>
      <c r="X192" s="9">
        <v>0</v>
      </c>
      <c r="Y192" s="9">
        <v>0</v>
      </c>
    </row>
    <row r="193" spans="1:25">
      <c r="A193" s="9">
        <v>86</v>
      </c>
      <c r="B193" s="9">
        <v>45929</v>
      </c>
      <c r="C193" s="9" t="str">
        <v>Sansera Engineering Ltd</v>
      </c>
      <c r="D193" s="9" t="str">
        <v>Pune</v>
      </c>
      <c r="E193" s="9" t="str">
        <v>stores</v>
      </c>
      <c r="F193" s="9" t="str">
        <v>zubair khan</v>
      </c>
      <c r="G193" s="9">
        <v>9923097043</v>
      </c>
      <c r="H193" s="9" t="str">
        <v>zubair_khan@sansera.in</v>
      </c>
      <c r="I193" s="9" t="str">
        <v>11004676/001</v>
      </c>
      <c r="J193" s="9" t="str">
        <v>Midlife Upgrade</v>
      </c>
      <c r="K193" s="9" t="str">
        <v>Yes</v>
      </c>
      <c r="L193" s="9" t="str">
        <v>KRIND/W/SPP/AB250029</v>
      </c>
      <c r="M193" s="9">
        <v>45806</v>
      </c>
      <c r="N193" s="9">
        <v>741800</v>
      </c>
      <c r="O193" s="9" t="str">
        <v>September</v>
      </c>
      <c r="P193" s="9" t="str">
        <v>November</v>
      </c>
      <c r="Q193" s="9">
        <v>1</v>
      </c>
      <c r="R193" s="9">
        <v>1250047197</v>
      </c>
      <c r="S193" s="9">
        <v>45995</v>
      </c>
      <c r="T193" s="9">
        <v>264325</v>
      </c>
      <c r="U193" s="9" t="str">
        <v>December</v>
      </c>
      <c r="V193" s="9">
        <v>0</v>
      </c>
      <c r="W193" s="9">
        <v>0</v>
      </c>
      <c r="X193" s="9">
        <v>0</v>
      </c>
      <c r="Y193" s="9">
        <v>0</v>
      </c>
    </row>
    <row r="194" spans="1:25">
      <c r="A194" s="9">
        <v>87</v>
      </c>
      <c r="B194" s="9">
        <v>45898</v>
      </c>
      <c r="C194" s="9" t="str">
        <v>Firmenich Aerometics I Pvt.ltd.</v>
      </c>
      <c r="D194" s="9" t="str">
        <v>Mumbai</v>
      </c>
      <c r="E194" s="9" t="str">
        <v>Ingredients</v>
      </c>
      <c r="F194" s="9" t="str">
        <v>Shalaka Aparaj</v>
      </c>
      <c r="G194" s="9">
        <v>9136424956</v>
      </c>
      <c r="H194" s="9" t="str">
        <v>shalaka.aparaj@dsm-firmenich.com</v>
      </c>
      <c r="I194" s="9" t="str">
        <v>18007782/001</v>
      </c>
      <c r="J194" s="9" t="str">
        <v>Contract</v>
      </c>
      <c r="K194" s="9" t="str">
        <v>No</v>
      </c>
      <c r="L194" s="9" t="str">
        <v>KRIND/W/MC/AB/250030</v>
      </c>
      <c r="M194" s="9">
        <v>45898</v>
      </c>
      <c r="N194" s="9">
        <v>58000</v>
      </c>
      <c r="O194" s="9" t="str">
        <v>August</v>
      </c>
      <c r="P194" s="9" t="str">
        <v>September</v>
      </c>
      <c r="Q194" s="9">
        <v>1</v>
      </c>
      <c r="R194" s="9">
        <v>3800035834</v>
      </c>
      <c r="S194" s="9">
        <v>45803</v>
      </c>
      <c r="T194" s="9">
        <v>58000</v>
      </c>
      <c r="U194" s="9" t="str">
        <v>September</v>
      </c>
      <c r="V194" s="9">
        <v>0</v>
      </c>
      <c r="W194" s="9">
        <v>0</v>
      </c>
      <c r="X194" s="9">
        <v>0</v>
      </c>
      <c r="Y194" s="9">
        <v>0</v>
      </c>
    </row>
    <row r="195" spans="1:25">
      <c r="A195" s="9">
        <v>88</v>
      </c>
      <c r="B195" s="9">
        <v>45898</v>
      </c>
      <c r="C195" s="9" t="str">
        <v>Firmenich Aerometics I Pvt.ltd.</v>
      </c>
      <c r="D195" s="9" t="str">
        <v>Mumbai</v>
      </c>
      <c r="E195" s="9" t="str">
        <v>Perfumes</v>
      </c>
      <c r="F195" s="9" t="str">
        <v xml:space="preserve">Sujay Pujari </v>
      </c>
      <c r="G195" s="9">
        <v>9892946492</v>
      </c>
      <c r="H195" s="9" t="str">
        <v>sujay.pujari@dsm-firmenich.com</v>
      </c>
      <c r="I195" s="9" t="str">
        <v>18007779/001</v>
      </c>
      <c r="J195" s="9" t="str">
        <v>Contract</v>
      </c>
      <c r="K195" s="9" t="str">
        <v>No</v>
      </c>
      <c r="L195" s="9" t="str">
        <v>KXIND/W/MC/AB250029</v>
      </c>
      <c r="M195" s="9">
        <v>45898</v>
      </c>
      <c r="N195" s="9">
        <v>58000</v>
      </c>
      <c r="O195" s="9" t="str">
        <v>August</v>
      </c>
      <c r="P195" s="9" t="str">
        <v>November</v>
      </c>
      <c r="Q195" s="9">
        <v>1</v>
      </c>
      <c r="R195" s="9">
        <v>3800044370</v>
      </c>
      <c r="S195" s="9">
        <v>45964</v>
      </c>
      <c r="T195" s="9">
        <v>58000</v>
      </c>
      <c r="U195" s="9" t="str">
        <v>November</v>
      </c>
      <c r="V195" s="9">
        <v>0</v>
      </c>
      <c r="W195" s="9">
        <v>0</v>
      </c>
      <c r="X195" s="9">
        <v>0</v>
      </c>
      <c r="Y195" s="9">
        <v>0</v>
      </c>
    </row>
    <row r="196" spans="1:25">
      <c r="A196" s="9">
        <v>88</v>
      </c>
      <c r="B196" s="9">
        <v>0</v>
      </c>
      <c r="C196" s="9" t="str">
        <v>Firmenich Aerometics I Pvt.ltd.</v>
      </c>
      <c r="D196" s="9" t="str">
        <v>Mumbai</v>
      </c>
      <c r="E196" s="9" t="str">
        <v>Perfumes</v>
      </c>
      <c r="F196" s="9" t="str">
        <v xml:space="preserve">Sujay Pujari </v>
      </c>
      <c r="G196" s="9">
        <v>9892946492</v>
      </c>
      <c r="H196" s="9" t="str">
        <v>sujay.pujari@dsm-firmenich.com</v>
      </c>
      <c r="I196" s="9" t="str">
        <v>18007777/001</v>
      </c>
      <c r="J196" s="9" t="str">
        <v>Contract</v>
      </c>
      <c r="K196" s="9" t="str">
        <v>No</v>
      </c>
      <c r="L196" s="9" t="str">
        <v>KXIND/W/MC/AB250029</v>
      </c>
      <c r="M196" s="9">
        <v>45898</v>
      </c>
      <c r="N196" s="9">
        <v>58000</v>
      </c>
      <c r="O196" s="9" t="str">
        <v>August</v>
      </c>
      <c r="P196" s="9" t="str">
        <v>November</v>
      </c>
      <c r="Q196" s="9">
        <v>1</v>
      </c>
      <c r="R196" s="9">
        <v>3800044370</v>
      </c>
      <c r="S196" s="9">
        <v>45964</v>
      </c>
      <c r="T196" s="9">
        <v>58000</v>
      </c>
      <c r="U196" s="9" t="str">
        <v>November</v>
      </c>
      <c r="V196" s="9">
        <v>0</v>
      </c>
      <c r="W196" s="9">
        <v>0</v>
      </c>
      <c r="X196" s="9">
        <v>0</v>
      </c>
      <c r="Y196" s="9">
        <v>0</v>
      </c>
    </row>
    <row r="197" spans="1:25">
      <c r="A197" s="9">
        <v>89</v>
      </c>
      <c r="B197" s="9">
        <v>45929</v>
      </c>
      <c r="C197" s="9" t="str">
        <v>Wirtgen India Pvt.Ltd.</v>
      </c>
      <c r="D197" s="9" t="str">
        <v>Pune</v>
      </c>
      <c r="E197" s="9" t="str">
        <v xml:space="preserve">Kleenman </v>
      </c>
      <c r="F197" s="9" t="str">
        <v>Sagar Brijpuriya</v>
      </c>
      <c r="G197" s="9">
        <v>8956509715</v>
      </c>
      <c r="H197" s="9" t="str">
        <v>sagar.brijpuriya@wirtgen-group.com</v>
      </c>
      <c r="I197" s="9" t="str">
        <v>16004741/002</v>
      </c>
      <c r="J197" s="9" t="str">
        <v>Contract</v>
      </c>
      <c r="K197" s="9" t="str">
        <v>No</v>
      </c>
      <c r="L197" s="9" t="str">
        <v>KXIND/W/MC/AB/25028</v>
      </c>
      <c r="M197" s="9">
        <v>45898</v>
      </c>
      <c r="N197" s="9">
        <v>65000</v>
      </c>
      <c r="O197" s="9" t="str">
        <v>August</v>
      </c>
      <c r="P197" s="9" t="str">
        <v>December</v>
      </c>
      <c r="Q197" s="9">
        <v>0.5</v>
      </c>
      <c r="R197" s="9">
        <v>0</v>
      </c>
      <c r="S197" s="9">
        <v>0</v>
      </c>
      <c r="T197" s="9">
        <v>0</v>
      </c>
      <c r="U197" s="9">
        <v>0</v>
      </c>
      <c r="V197" s="9">
        <v>65000</v>
      </c>
      <c r="W197" s="9">
        <v>0</v>
      </c>
      <c r="X197" s="9">
        <v>0</v>
      </c>
      <c r="Y197" s="9">
        <v>0</v>
      </c>
    </row>
    <row r="198" spans="1:25">
      <c r="A198" s="9">
        <v>89</v>
      </c>
      <c r="B198" s="9">
        <v>0</v>
      </c>
      <c r="C198" s="9" t="str">
        <v>Wirtgen India Pvt.Ltd.</v>
      </c>
      <c r="D198" s="9" t="str">
        <v>Pune</v>
      </c>
      <c r="E198" s="9" t="str">
        <v xml:space="preserve">Kleenman </v>
      </c>
      <c r="F198" s="9" t="str">
        <v>Sagar Brijpuriya</v>
      </c>
      <c r="G198" s="9">
        <v>8956509715</v>
      </c>
      <c r="H198" s="9" t="str">
        <v>sagar.brijpuriya@wirtgen-group.com</v>
      </c>
      <c r="I198" s="9" t="str">
        <v>16004741/002</v>
      </c>
      <c r="J198" s="9" t="str">
        <v>Contract</v>
      </c>
      <c r="K198" s="9" t="str">
        <v>No</v>
      </c>
      <c r="L198" s="9" t="str">
        <v>KXIND/W/MC/AB/25028</v>
      </c>
      <c r="M198" s="9">
        <v>45898</v>
      </c>
      <c r="N198" s="9">
        <v>65000</v>
      </c>
      <c r="O198" s="9" t="str">
        <v>August</v>
      </c>
      <c r="P198" s="9" t="str">
        <v>December</v>
      </c>
      <c r="Q198" s="9">
        <v>0.5</v>
      </c>
      <c r="R198" s="9">
        <v>0</v>
      </c>
      <c r="S198" s="9">
        <v>0</v>
      </c>
      <c r="T198" s="9">
        <v>0</v>
      </c>
      <c r="U198" s="9">
        <v>0</v>
      </c>
      <c r="V198" s="9">
        <v>65000</v>
      </c>
      <c r="W198" s="9">
        <v>0</v>
      </c>
      <c r="X198" s="9">
        <v>0</v>
      </c>
      <c r="Y198" s="9">
        <v>0</v>
      </c>
    </row>
    <row r="199" spans="1:25">
      <c r="A199" s="9">
        <v>90</v>
      </c>
      <c r="B199" s="9">
        <v>45881</v>
      </c>
      <c r="C199" s="9" t="str">
        <v>Sandvik Coromant India Pvt Ltd</v>
      </c>
      <c r="D199" s="9" t="str">
        <v>Pune</v>
      </c>
      <c r="E199" s="9" t="str">
        <v>Round Tools</v>
      </c>
      <c r="F199" s="9" t="str">
        <v>Sunny Rangire</v>
      </c>
      <c r="G199" s="9">
        <v>9860084043</v>
      </c>
      <c r="H199" s="9" t="str">
        <v>sunny.rangire@sandvik.com</v>
      </c>
      <c r="I199" s="9" t="str">
        <v>08000865/001</v>
      </c>
      <c r="J199" s="9" t="str">
        <v>Contract</v>
      </c>
      <c r="K199" s="9" t="str">
        <v>NO</v>
      </c>
      <c r="L199" s="9" t="str">
        <v>KXIND/W/MC/AB24027</v>
      </c>
      <c r="M199" s="9">
        <v>45881</v>
      </c>
      <c r="N199" s="9">
        <v>46000</v>
      </c>
      <c r="O199" s="9" t="str">
        <v>August</v>
      </c>
      <c r="P199" s="9" t="str">
        <v>August</v>
      </c>
      <c r="Q199" s="9">
        <v>1</v>
      </c>
      <c r="R199" s="9">
        <v>4513032914</v>
      </c>
      <c r="S199" s="9">
        <v>45895</v>
      </c>
      <c r="T199" s="9">
        <v>46000</v>
      </c>
      <c r="U199" s="9" t="str">
        <v>August</v>
      </c>
      <c r="V199" s="9">
        <v>0</v>
      </c>
      <c r="W199" s="9">
        <v>0</v>
      </c>
      <c r="X199" s="9">
        <v>0</v>
      </c>
      <c r="Y199" s="9">
        <v>0</v>
      </c>
    </row>
    <row r="200" spans="1:25">
      <c r="A200" s="9">
        <v>90</v>
      </c>
      <c r="B200" s="9">
        <v>0</v>
      </c>
      <c r="C200" s="9" t="str">
        <v>Sandvik Coromant India Pvt Ltd</v>
      </c>
      <c r="D200" s="9" t="str">
        <v>Pune</v>
      </c>
      <c r="E200" s="9" t="str">
        <v>Round Tools</v>
      </c>
      <c r="F200" s="9" t="str">
        <v>Sunny Rangire</v>
      </c>
      <c r="G200" s="9">
        <v>9860084043</v>
      </c>
      <c r="H200" s="9" t="str">
        <v>sunny.rangire@sandvik.com</v>
      </c>
      <c r="I200" s="9" t="str">
        <v>08000865/002</v>
      </c>
      <c r="J200" s="9" t="str">
        <v>Contract</v>
      </c>
      <c r="K200" s="9" t="str">
        <v>NO</v>
      </c>
      <c r="L200" s="9" t="str">
        <v>KXIND/W/MC/AB24027</v>
      </c>
      <c r="M200" s="9">
        <v>45881</v>
      </c>
      <c r="N200" s="9">
        <v>46000</v>
      </c>
      <c r="O200" s="9" t="str">
        <v>August</v>
      </c>
      <c r="P200" s="9" t="str">
        <v>August</v>
      </c>
      <c r="Q200" s="9">
        <v>1</v>
      </c>
      <c r="R200" s="9">
        <v>4513032914</v>
      </c>
      <c r="S200" s="9">
        <v>45895</v>
      </c>
      <c r="T200" s="9">
        <v>46000</v>
      </c>
      <c r="U200" s="9" t="str">
        <v>August</v>
      </c>
      <c r="V200" s="9">
        <v>0</v>
      </c>
      <c r="W200" s="9">
        <v>0</v>
      </c>
      <c r="X200" s="9">
        <v>0</v>
      </c>
      <c r="Y200" s="9">
        <v>0</v>
      </c>
    </row>
    <row r="201" spans="1:25">
      <c r="A201" s="9">
        <v>90</v>
      </c>
      <c r="B201" s="9">
        <v>0</v>
      </c>
      <c r="C201" s="9" t="str">
        <v>Sandvik Coromant India Pvt Ltd</v>
      </c>
      <c r="D201" s="9" t="str">
        <v>Pune</v>
      </c>
      <c r="E201" s="9" t="str">
        <v>Round Tools</v>
      </c>
      <c r="F201" s="9" t="str">
        <v>Sunny Rangire</v>
      </c>
      <c r="G201" s="9">
        <v>9860084043</v>
      </c>
      <c r="H201" s="9" t="str">
        <v>sunny.rangire@sandvik.com</v>
      </c>
      <c r="I201" s="9" t="str">
        <v>12000976/001</v>
      </c>
      <c r="J201" s="9" t="str">
        <v>Contract</v>
      </c>
      <c r="K201" s="9" t="str">
        <v>NO</v>
      </c>
      <c r="L201" s="9" t="str">
        <v>KXIND/W/MC/AB24027</v>
      </c>
      <c r="M201" s="9">
        <v>45881</v>
      </c>
      <c r="N201" s="9">
        <v>46000</v>
      </c>
      <c r="O201" s="9" t="str">
        <v>August</v>
      </c>
      <c r="P201" s="9" t="str">
        <v>August</v>
      </c>
      <c r="Q201" s="9">
        <v>1</v>
      </c>
      <c r="R201" s="9">
        <v>4513032914</v>
      </c>
      <c r="S201" s="9">
        <v>45895</v>
      </c>
      <c r="T201" s="9">
        <v>46000</v>
      </c>
      <c r="U201" s="9" t="str">
        <v>August</v>
      </c>
      <c r="V201" s="9">
        <v>0</v>
      </c>
      <c r="W201" s="9">
        <v>0</v>
      </c>
      <c r="X201" s="9">
        <v>0</v>
      </c>
      <c r="Y201" s="9">
        <v>0</v>
      </c>
    </row>
    <row r="202" spans="1:25">
      <c r="A202" s="9">
        <v>90</v>
      </c>
      <c r="B202" s="9">
        <v>0</v>
      </c>
      <c r="C202" s="9" t="str">
        <v>Sandvik Coromant India Pvt Ltd</v>
      </c>
      <c r="D202" s="9" t="str">
        <v>Pune</v>
      </c>
      <c r="E202" s="9" t="str">
        <v>Round Tools</v>
      </c>
      <c r="F202" s="9" t="str">
        <v>Sunny Rangire</v>
      </c>
      <c r="G202" s="9">
        <v>9860084043</v>
      </c>
      <c r="H202" s="9" t="str">
        <v>sunny.rangire@sandvik.com</v>
      </c>
      <c r="I202" s="9" t="str">
        <v>12000975/001</v>
      </c>
      <c r="J202" s="9" t="str">
        <v>Contract</v>
      </c>
      <c r="K202" s="9" t="str">
        <v>NO</v>
      </c>
      <c r="L202" s="9" t="str">
        <v>KXIND/W/MC/AB24027</v>
      </c>
      <c r="M202" s="9">
        <v>45881</v>
      </c>
      <c r="N202" s="9">
        <v>46000</v>
      </c>
      <c r="O202" s="9" t="str">
        <v>August</v>
      </c>
      <c r="P202" s="9" t="str">
        <v>August</v>
      </c>
      <c r="Q202" s="9">
        <v>1</v>
      </c>
      <c r="R202" s="9">
        <v>4513032914</v>
      </c>
      <c r="S202" s="9">
        <v>45895</v>
      </c>
      <c r="T202" s="9">
        <v>46000</v>
      </c>
      <c r="U202" s="9" t="str">
        <v>August</v>
      </c>
      <c r="V202" s="9">
        <v>0</v>
      </c>
      <c r="W202" s="9">
        <v>0</v>
      </c>
      <c r="X202" s="9">
        <v>0</v>
      </c>
      <c r="Y202" s="9">
        <v>0</v>
      </c>
    </row>
    <row r="203" spans="1:25">
      <c r="A203" s="9">
        <v>90</v>
      </c>
      <c r="B203" s="9">
        <v>0</v>
      </c>
      <c r="C203" s="9" t="str">
        <v>Sandvik Coromant India Pvt Ltd</v>
      </c>
      <c r="D203" s="9" t="str">
        <v>Pune</v>
      </c>
      <c r="E203" s="9" t="str">
        <v>Round Tools</v>
      </c>
      <c r="F203" s="9" t="str">
        <v>Sunny Rangire</v>
      </c>
      <c r="G203" s="9">
        <v>9860084043</v>
      </c>
      <c r="H203" s="9" t="str">
        <v>sunny.rangire@sandvik.com</v>
      </c>
      <c r="I203" s="9" t="str">
        <v>15006359/001</v>
      </c>
      <c r="J203" s="9" t="str">
        <v>Contract</v>
      </c>
      <c r="K203" s="9" t="str">
        <v>NO</v>
      </c>
      <c r="L203" s="9" t="str">
        <v>KXIND/W/MC/AB24027</v>
      </c>
      <c r="M203" s="9">
        <v>45881</v>
      </c>
      <c r="N203" s="9">
        <v>46000</v>
      </c>
      <c r="O203" s="9" t="str">
        <v>August</v>
      </c>
      <c r="P203" s="9" t="str">
        <v>August</v>
      </c>
      <c r="Q203" s="9">
        <v>1</v>
      </c>
      <c r="R203" s="9">
        <v>4513032914</v>
      </c>
      <c r="S203" s="9">
        <v>45895</v>
      </c>
      <c r="T203" s="9">
        <v>46000</v>
      </c>
      <c r="U203" s="9" t="str">
        <v>August</v>
      </c>
      <c r="V203" s="9">
        <v>0</v>
      </c>
      <c r="W203" s="9">
        <v>0</v>
      </c>
      <c r="X203" s="9">
        <v>0</v>
      </c>
      <c r="Y203" s="9">
        <v>0</v>
      </c>
    </row>
    <row r="204" spans="1:25">
      <c r="A204" s="9">
        <v>90</v>
      </c>
      <c r="B204" s="9">
        <v>0</v>
      </c>
      <c r="C204" s="9" t="str">
        <v>Sandvik Coromant India Pvt Ltd</v>
      </c>
      <c r="D204" s="9" t="str">
        <v>Pune</v>
      </c>
      <c r="E204" s="9" t="str">
        <v>Round Tools</v>
      </c>
      <c r="F204" s="9" t="str">
        <v>Sunny Rangire</v>
      </c>
      <c r="G204" s="9">
        <v>9860084043</v>
      </c>
      <c r="H204" s="9" t="str">
        <v>sunny.rangire@sandvik.com</v>
      </c>
      <c r="I204" s="9" t="str">
        <v>13002607/001</v>
      </c>
      <c r="J204" s="9" t="str">
        <v>Contract</v>
      </c>
      <c r="K204" s="9" t="str">
        <v>NO</v>
      </c>
      <c r="L204" s="9" t="str">
        <v>KXIND/W/MC/AB24027</v>
      </c>
      <c r="M204" s="9">
        <v>45881</v>
      </c>
      <c r="N204" s="9">
        <v>46000</v>
      </c>
      <c r="O204" s="9" t="str">
        <v>August</v>
      </c>
      <c r="P204" s="9" t="str">
        <v>August</v>
      </c>
      <c r="Q204" s="9">
        <v>1</v>
      </c>
      <c r="R204" s="9">
        <v>4513032914</v>
      </c>
      <c r="S204" s="9">
        <v>45895</v>
      </c>
      <c r="T204" s="9">
        <v>46000</v>
      </c>
      <c r="U204" s="9" t="str">
        <v>August</v>
      </c>
      <c r="V204" s="9">
        <v>0</v>
      </c>
      <c r="W204" s="9">
        <v>0</v>
      </c>
      <c r="X204" s="9">
        <v>0</v>
      </c>
      <c r="Y204" s="9">
        <v>0</v>
      </c>
    </row>
    <row r="205" spans="1:25">
      <c r="A205" s="9">
        <v>90</v>
      </c>
      <c r="B205" s="9">
        <v>0</v>
      </c>
      <c r="C205" s="9" t="str">
        <v>Sandvik Coromant India Pvt Ltd</v>
      </c>
      <c r="D205" s="9" t="str">
        <v>Pune</v>
      </c>
      <c r="E205" s="9" t="str">
        <v>Round Tools</v>
      </c>
      <c r="F205" s="9" t="str">
        <v>Sunny Rangire</v>
      </c>
      <c r="G205" s="9">
        <v>9860084043</v>
      </c>
      <c r="H205" s="9" t="str">
        <v>sunny.rangire@sandvik.com</v>
      </c>
      <c r="I205" s="9" t="str">
        <v>12010472/001</v>
      </c>
      <c r="J205" s="9" t="str">
        <v>Contract</v>
      </c>
      <c r="K205" s="9" t="str">
        <v>NO</v>
      </c>
      <c r="L205" s="9" t="str">
        <v>KXIND/W/MC/AB24027</v>
      </c>
      <c r="M205" s="9">
        <v>45881</v>
      </c>
      <c r="N205" s="9">
        <v>46000</v>
      </c>
      <c r="O205" s="9" t="str">
        <v>August</v>
      </c>
      <c r="P205" s="9" t="str">
        <v>August</v>
      </c>
      <c r="Q205" s="9">
        <v>1</v>
      </c>
      <c r="R205" s="9">
        <v>4513032914</v>
      </c>
      <c r="S205" s="9">
        <v>45895</v>
      </c>
      <c r="T205" s="9">
        <v>46000</v>
      </c>
      <c r="U205" s="9" t="str">
        <v>August</v>
      </c>
      <c r="V205" s="9">
        <v>0</v>
      </c>
      <c r="W205" s="9">
        <v>0</v>
      </c>
      <c r="X205" s="9">
        <v>0</v>
      </c>
      <c r="Y205" s="9">
        <v>0</v>
      </c>
    </row>
    <row r="206" spans="1:25">
      <c r="A206" s="9">
        <v>90</v>
      </c>
      <c r="B206" s="9">
        <v>0</v>
      </c>
      <c r="C206" s="9" t="str">
        <v>Sandvik Coromant India Pvt Ltd</v>
      </c>
      <c r="D206" s="9" t="str">
        <v>Pune</v>
      </c>
      <c r="E206" s="9" t="str">
        <v>Round Tools</v>
      </c>
      <c r="F206" s="9" t="str">
        <v>Sunny Rangire</v>
      </c>
      <c r="G206" s="9">
        <v>9860084043</v>
      </c>
      <c r="H206" s="9" t="str">
        <v>sunny.rangire@sandvik.com</v>
      </c>
      <c r="I206" s="9" t="str">
        <v>16001770/001</v>
      </c>
      <c r="J206" s="9" t="str">
        <v>Contract</v>
      </c>
      <c r="K206" s="9" t="str">
        <v>NO</v>
      </c>
      <c r="L206" s="9" t="str">
        <v>KXIND/W/MC/AB24027</v>
      </c>
      <c r="M206" s="9">
        <v>45881</v>
      </c>
      <c r="N206" s="9">
        <v>46000</v>
      </c>
      <c r="O206" s="9" t="str">
        <v>August</v>
      </c>
      <c r="P206" s="9" t="str">
        <v>August</v>
      </c>
      <c r="Q206" s="9">
        <v>1</v>
      </c>
      <c r="R206" s="9">
        <v>4513032914</v>
      </c>
      <c r="S206" s="9">
        <v>45895</v>
      </c>
      <c r="T206" s="9">
        <v>46000</v>
      </c>
      <c r="U206" s="9" t="str">
        <v>August</v>
      </c>
      <c r="V206" s="9">
        <v>0</v>
      </c>
      <c r="W206" s="9">
        <v>0</v>
      </c>
      <c r="X206" s="9">
        <v>0</v>
      </c>
      <c r="Y206" s="9">
        <v>0</v>
      </c>
    </row>
    <row r="207" spans="1:25">
      <c r="A207" s="9">
        <v>90</v>
      </c>
      <c r="B207" s="9">
        <v>0</v>
      </c>
      <c r="C207" s="9" t="str">
        <v>Sandvik Coromant India Pvt Ltd</v>
      </c>
      <c r="D207" s="9" t="str">
        <v>Pune</v>
      </c>
      <c r="E207" s="9" t="str">
        <v>Round Tools</v>
      </c>
      <c r="F207" s="9" t="str">
        <v>Sunny Rangire</v>
      </c>
      <c r="G207" s="9">
        <v>9860084043</v>
      </c>
      <c r="H207" s="9" t="str">
        <v>sunny.rangire@sandvik.com</v>
      </c>
      <c r="I207" s="9" t="str">
        <v>16001770/002</v>
      </c>
      <c r="J207" s="9" t="str">
        <v>Contract</v>
      </c>
      <c r="K207" s="9" t="str">
        <v>NO</v>
      </c>
      <c r="L207" s="9" t="str">
        <v>KXIND/W/MC/AB24027</v>
      </c>
      <c r="M207" s="9">
        <v>45881</v>
      </c>
      <c r="N207" s="9">
        <v>46000</v>
      </c>
      <c r="O207" s="9" t="str">
        <v>August</v>
      </c>
      <c r="P207" s="9" t="str">
        <v>August</v>
      </c>
      <c r="Q207" s="9">
        <v>1</v>
      </c>
      <c r="R207" s="9">
        <v>4513032914</v>
      </c>
      <c r="S207" s="9">
        <v>45895</v>
      </c>
      <c r="T207" s="9">
        <v>46000</v>
      </c>
      <c r="U207" s="9" t="str">
        <v>August</v>
      </c>
      <c r="V207" s="9">
        <v>0</v>
      </c>
      <c r="W207" s="9">
        <v>0</v>
      </c>
      <c r="X207" s="9">
        <v>0</v>
      </c>
      <c r="Y207" s="9">
        <v>0</v>
      </c>
    </row>
    <row r="208" spans="1:25">
      <c r="A208" s="9">
        <v>90</v>
      </c>
      <c r="B208" s="9">
        <v>0</v>
      </c>
      <c r="C208" s="9" t="str">
        <v>Sandvik Coromant India Pvt Ltd</v>
      </c>
      <c r="D208" s="9" t="str">
        <v>Pune</v>
      </c>
      <c r="E208" s="9" t="str">
        <v>Round Tools</v>
      </c>
      <c r="F208" s="9" t="str">
        <v>Sunny Rangire</v>
      </c>
      <c r="G208" s="9">
        <v>9860084043</v>
      </c>
      <c r="H208" s="9" t="str">
        <v>sunny.rangire@sandvik.com</v>
      </c>
      <c r="I208" s="9" t="str">
        <v>18003276/001</v>
      </c>
      <c r="J208" s="9" t="str">
        <v>Contract</v>
      </c>
      <c r="K208" s="9" t="str">
        <v>NO</v>
      </c>
      <c r="L208" s="9" t="str">
        <v>KXIND/W/MC/AB24027</v>
      </c>
      <c r="M208" s="9">
        <v>45881</v>
      </c>
      <c r="N208" s="9">
        <v>46000</v>
      </c>
      <c r="O208" s="9" t="str">
        <v>August</v>
      </c>
      <c r="P208" s="9" t="str">
        <v>August</v>
      </c>
      <c r="Q208" s="9">
        <v>1</v>
      </c>
      <c r="R208" s="9">
        <v>4513032914</v>
      </c>
      <c r="S208" s="9">
        <v>45895</v>
      </c>
      <c r="T208" s="9">
        <v>46000</v>
      </c>
      <c r="U208" s="9" t="str">
        <v>August</v>
      </c>
      <c r="V208" s="9">
        <v>0</v>
      </c>
      <c r="W208" s="9">
        <v>0</v>
      </c>
      <c r="X208" s="9">
        <v>0</v>
      </c>
      <c r="Y208" s="9">
        <v>0</v>
      </c>
    </row>
    <row r="209" spans="1:25">
      <c r="A209" s="9">
        <v>90</v>
      </c>
      <c r="B209" s="9">
        <v>0</v>
      </c>
      <c r="C209" s="9" t="str">
        <v>Sandvik Coromant India Pvt Ltd</v>
      </c>
      <c r="D209" s="9" t="str">
        <v>Pune</v>
      </c>
      <c r="E209" s="9" t="str">
        <v>Round Tools</v>
      </c>
      <c r="F209" s="9" t="str">
        <v>Sunny Rangire</v>
      </c>
      <c r="G209" s="9">
        <v>9860084043</v>
      </c>
      <c r="H209" s="9" t="str">
        <v>sunny.rangire@sandvik.com</v>
      </c>
      <c r="I209" s="9" t="str">
        <v>18005569/001</v>
      </c>
      <c r="J209" s="9" t="str">
        <v>Contract</v>
      </c>
      <c r="K209" s="9" t="str">
        <v>NO</v>
      </c>
      <c r="L209" s="9" t="str">
        <v>KXIND/W/MC/AB24027</v>
      </c>
      <c r="M209" s="9">
        <v>45881</v>
      </c>
      <c r="N209" s="9">
        <v>46000</v>
      </c>
      <c r="O209" s="9" t="str">
        <v>August</v>
      </c>
      <c r="P209" s="9" t="str">
        <v>August</v>
      </c>
      <c r="Q209" s="9">
        <v>1</v>
      </c>
      <c r="R209" s="9">
        <v>4513032914</v>
      </c>
      <c r="S209" s="9">
        <v>45895</v>
      </c>
      <c r="T209" s="9">
        <v>46000</v>
      </c>
      <c r="U209" s="9" t="str">
        <v>August</v>
      </c>
      <c r="V209" s="9">
        <v>0</v>
      </c>
      <c r="W209" s="9">
        <v>0</v>
      </c>
      <c r="X209" s="9">
        <v>0</v>
      </c>
      <c r="Y209" s="9">
        <v>0</v>
      </c>
    </row>
    <row r="210" spans="1:25">
      <c r="A210" s="9">
        <v>91</v>
      </c>
      <c r="B210" s="9">
        <v>45865</v>
      </c>
      <c r="C210" s="9" t="str">
        <v>Knorr-Bremse Systems for Commercial Vehicles</v>
      </c>
      <c r="D210" s="9" t="str">
        <v>Pune</v>
      </c>
      <c r="E210" s="9" t="str">
        <v>Stores</v>
      </c>
      <c r="F210" s="9" t="str">
        <v>Prakash Parihar</v>
      </c>
      <c r="G210" s="9">
        <v>9907829409</v>
      </c>
      <c r="H210" s="9" t="str">
        <v>prakashsingh.parihar@knorr-bremse.com</v>
      </c>
      <c r="I210" s="9" t="str">
        <v>24000529/001</v>
      </c>
      <c r="J210" s="9" t="str">
        <v>Contract</v>
      </c>
      <c r="K210" s="9" t="str">
        <v>Yes</v>
      </c>
      <c r="L210" s="9" t="str">
        <v>KRIND/W/MC/AB/250001</v>
      </c>
      <c r="M210" s="9">
        <v>45865</v>
      </c>
      <c r="N210" s="9">
        <v>75000</v>
      </c>
      <c r="O210" s="9" t="str">
        <v>July</v>
      </c>
      <c r="P210" s="9" t="str">
        <v>August</v>
      </c>
      <c r="Q210" s="9">
        <v>1</v>
      </c>
      <c r="R210" s="9">
        <v>4503803719</v>
      </c>
      <c r="S210" s="9">
        <v>45890</v>
      </c>
      <c r="T210" s="9">
        <v>75000</v>
      </c>
      <c r="U210" s="9" t="str">
        <v>August</v>
      </c>
      <c r="V210" s="9">
        <v>0</v>
      </c>
      <c r="W210" s="9">
        <v>0</v>
      </c>
      <c r="X210" s="9">
        <v>0</v>
      </c>
      <c r="Y210" s="9">
        <v>0</v>
      </c>
    </row>
    <row r="211" spans="1:25">
      <c r="A211" s="9">
        <v>92</v>
      </c>
      <c r="B211" s="9">
        <v>45865</v>
      </c>
      <c r="C211" s="9" t="str">
        <v>Sandvik Coromant India Pvt Ltd</v>
      </c>
      <c r="D211" s="9" t="str">
        <v>Pune</v>
      </c>
      <c r="E211" s="9" t="str">
        <v>Stores</v>
      </c>
      <c r="F211" s="9" t="str">
        <v>Giridhar Gadhave</v>
      </c>
      <c r="G211" s="9">
        <v>9657090200</v>
      </c>
      <c r="H211" s="9" t="str">
        <v xml:space="preserve">giridhar.gadhave@sandvik.com </v>
      </c>
      <c r="I211" s="9" t="str">
        <v>22005732/001</v>
      </c>
      <c r="J211" s="9" t="str">
        <v>Contract</v>
      </c>
      <c r="K211" s="9" t="str">
        <v>Yes</v>
      </c>
      <c r="L211" s="9" t="str">
        <v>KRIND/W/MC/AB/NM/25002</v>
      </c>
      <c r="M211" s="9">
        <v>45867</v>
      </c>
      <c r="N211" s="9">
        <v>46000</v>
      </c>
      <c r="O211" s="9" t="str">
        <v>July</v>
      </c>
      <c r="P211" s="9" t="str">
        <v>September</v>
      </c>
      <c r="Q211" s="9">
        <v>1</v>
      </c>
      <c r="R211" s="9">
        <v>4513115639</v>
      </c>
      <c r="S211" s="9">
        <v>45915</v>
      </c>
      <c r="T211" s="9">
        <v>46000</v>
      </c>
      <c r="U211" s="9" t="str">
        <v>September</v>
      </c>
      <c r="V211" s="9">
        <v>0</v>
      </c>
      <c r="W211" s="9">
        <v>0</v>
      </c>
      <c r="X211" s="9">
        <v>0</v>
      </c>
      <c r="Y211" s="9">
        <v>0</v>
      </c>
    </row>
    <row r="212" spans="1:25">
      <c r="A212" s="9">
        <v>93</v>
      </c>
      <c r="B212" s="9">
        <v>45881</v>
      </c>
      <c r="C212" s="9" t="str">
        <v>Kalyani technoforge Ltd.</v>
      </c>
      <c r="D212" s="9" t="str">
        <v>Ambethan</v>
      </c>
      <c r="E212" s="9" t="str">
        <v>Stores</v>
      </c>
      <c r="F212" s="9" t="str">
        <v>Rahul Javane</v>
      </c>
      <c r="G212" s="9">
        <v>0</v>
      </c>
      <c r="H212" s="9" t="str">
        <v>rahul.javane@kalyanitechnoforge.com</v>
      </c>
      <c r="I212" s="9">
        <v>0</v>
      </c>
      <c r="J212" s="9" t="str">
        <v>Contract</v>
      </c>
      <c r="K212" s="9" t="str">
        <v>Yes</v>
      </c>
      <c r="L212" s="9" t="str">
        <v>KRIND/W/MC/AB/NM/25003</v>
      </c>
      <c r="M212" s="9">
        <v>45881</v>
      </c>
      <c r="N212" s="9">
        <v>75000</v>
      </c>
      <c r="O212" s="9" t="str">
        <v>August</v>
      </c>
      <c r="P212" s="9" t="str">
        <v>November</v>
      </c>
      <c r="Q212" s="9">
        <v>0.5</v>
      </c>
      <c r="R212" s="9">
        <v>0</v>
      </c>
      <c r="S212" s="9">
        <v>0</v>
      </c>
      <c r="T212" s="9">
        <v>0</v>
      </c>
      <c r="U212" s="9">
        <v>0</v>
      </c>
      <c r="V212" s="9">
        <v>75000</v>
      </c>
      <c r="W212" s="9">
        <v>0</v>
      </c>
      <c r="X212" s="9">
        <v>0</v>
      </c>
      <c r="Y212" s="9">
        <v>0</v>
      </c>
    </row>
    <row r="213" spans="1:25">
      <c r="A213" s="9">
        <v>94</v>
      </c>
      <c r="B213" s="9">
        <v>45890</v>
      </c>
      <c r="C213" s="9" t="str">
        <v>Danfoss Power solutions Pvt.ltd.</v>
      </c>
      <c r="D213" s="9" t="str">
        <v>Pune</v>
      </c>
      <c r="E213" s="9" t="str">
        <v>Stores</v>
      </c>
      <c r="F213" s="9" t="str">
        <v>Ramesh Kumbhar</v>
      </c>
      <c r="G213" s="9">
        <v>7447765126</v>
      </c>
      <c r="H213" s="9" t="str">
        <v>rkumbhar@danfoss.com</v>
      </c>
      <c r="I213" s="9" t="str">
        <v>23003615/001</v>
      </c>
      <c r="J213" s="9" t="str">
        <v>Contract</v>
      </c>
      <c r="K213" s="9" t="str">
        <v>Yes</v>
      </c>
      <c r="L213" s="9" t="str">
        <v>KRIND/W/MC/AB/NM/25004</v>
      </c>
      <c r="M213" s="9">
        <v>45890</v>
      </c>
      <c r="N213" s="9">
        <v>55000</v>
      </c>
      <c r="O213" s="9" t="str">
        <v>August</v>
      </c>
      <c r="P213" s="9" t="str">
        <v>September</v>
      </c>
      <c r="Q213" s="9">
        <v>1</v>
      </c>
      <c r="R213" s="9">
        <v>4509091008</v>
      </c>
      <c r="S213" s="9">
        <v>45909</v>
      </c>
      <c r="T213" s="9">
        <v>55000</v>
      </c>
      <c r="U213" s="9" t="str">
        <v>September</v>
      </c>
      <c r="V213" s="9">
        <v>0</v>
      </c>
      <c r="W213" s="9">
        <v>0</v>
      </c>
      <c r="X213" s="9">
        <v>0</v>
      </c>
      <c r="Y213" s="9">
        <v>0</v>
      </c>
    </row>
    <row r="214" spans="1:25">
      <c r="A214" s="9">
        <v>95</v>
      </c>
      <c r="B214" s="9">
        <v>0</v>
      </c>
      <c r="C214" s="9" t="str">
        <v>Danfoss Power solutions Pvt.ltd.</v>
      </c>
      <c r="D214" s="9" t="str">
        <v>Pune</v>
      </c>
      <c r="E214" s="9" t="str">
        <v>Stores</v>
      </c>
      <c r="F214" s="9" t="str">
        <v>Ramesh Kumbhar</v>
      </c>
      <c r="G214" s="9">
        <v>7447765126</v>
      </c>
      <c r="H214" s="9" t="str">
        <v>rkumbhar@danfoss.com</v>
      </c>
      <c r="I214" s="9" t="str">
        <v>23003615/001</v>
      </c>
      <c r="J214" s="9" t="str">
        <v>Software</v>
      </c>
      <c r="K214" s="9" t="str">
        <v>Yes</v>
      </c>
      <c r="L214" s="9" t="str">
        <v>KRIND/W/MC/AB/NM/25004</v>
      </c>
      <c r="M214" s="9">
        <v>45890</v>
      </c>
      <c r="N214" s="9">
        <v>32000</v>
      </c>
      <c r="O214" s="9" t="str">
        <v>August</v>
      </c>
      <c r="P214" s="9" t="str">
        <v>September</v>
      </c>
      <c r="Q214" s="9">
        <v>1</v>
      </c>
      <c r="R214" s="9">
        <v>4509091008</v>
      </c>
      <c r="S214" s="9">
        <v>45909</v>
      </c>
      <c r="T214" s="9">
        <v>32000</v>
      </c>
      <c r="U214" s="9" t="str">
        <v>September</v>
      </c>
      <c r="V214" s="9">
        <v>0</v>
      </c>
      <c r="W214" s="9">
        <v>0</v>
      </c>
      <c r="X214" s="9">
        <v>0</v>
      </c>
      <c r="Y214" s="9">
        <v>0</v>
      </c>
    </row>
    <row r="215" spans="1:25">
      <c r="A215" s="9">
        <v>96</v>
      </c>
      <c r="B215" s="9">
        <v>45933</v>
      </c>
      <c r="C215" s="9" t="str">
        <v xml:space="preserve">Vishay Componants PVT LTD </v>
      </c>
      <c r="D215" s="9" t="str">
        <v>Pune</v>
      </c>
      <c r="E215" s="9" t="str">
        <v xml:space="preserve">Stoes </v>
      </c>
      <c r="F215" s="9" t="str">
        <v>Gajanan Ekke</v>
      </c>
      <c r="G215" s="9">
        <v>8380019948</v>
      </c>
      <c r="H215" s="9" t="str">
        <v>gajanan.ekke@vishay.com</v>
      </c>
      <c r="I215" s="9" t="str">
        <v>14002483/001</v>
      </c>
      <c r="J215" s="9" t="str">
        <v>BD Charges</v>
      </c>
      <c r="K215" s="9" t="str">
        <v>No</v>
      </c>
      <c r="L215" s="9" t="str">
        <v>KAR/IND/SC/AB/2501</v>
      </c>
      <c r="M215" s="9">
        <v>45933</v>
      </c>
      <c r="N215" s="9">
        <v>38500</v>
      </c>
      <c r="O215" s="9" t="str">
        <v>October</v>
      </c>
      <c r="P215" s="9" t="str">
        <v>October</v>
      </c>
      <c r="Q215" s="9">
        <v>1</v>
      </c>
      <c r="R215" s="9">
        <v>6700062982</v>
      </c>
      <c r="S215" s="9">
        <v>45938</v>
      </c>
      <c r="T215" s="9">
        <v>38500</v>
      </c>
      <c r="U215" s="9" t="str">
        <v>October</v>
      </c>
      <c r="V215" s="9">
        <v>0</v>
      </c>
      <c r="W215" s="9">
        <v>0</v>
      </c>
      <c r="X215" s="9">
        <v>0</v>
      </c>
      <c r="Y215" s="9">
        <v>0</v>
      </c>
    </row>
    <row r="216" spans="1:25">
      <c r="A216" s="9">
        <v>97</v>
      </c>
      <c r="B216" s="9">
        <v>45933</v>
      </c>
      <c r="C216" s="9" t="str">
        <v xml:space="preserve">Vishay Componants PVT LTD </v>
      </c>
      <c r="D216" s="9" t="str">
        <v>Pune</v>
      </c>
      <c r="E216" s="9" t="str">
        <v>stores</v>
      </c>
      <c r="F216" s="9" t="str">
        <v>Gajanan Ekke</v>
      </c>
      <c r="G216" s="9">
        <v>8380019948</v>
      </c>
      <c r="H216" s="9" t="str">
        <v>gajanan.ekke@vishay.com</v>
      </c>
      <c r="I216" s="9" t="str">
        <v>14002483/001</v>
      </c>
      <c r="J216" s="9" t="str">
        <v>SPP</v>
      </c>
      <c r="K216" s="9" t="str">
        <v>Yes</v>
      </c>
      <c r="L216" s="9" t="str">
        <v>KRIND/W/SPP/AB/25032</v>
      </c>
      <c r="M216" s="9">
        <v>45933</v>
      </c>
      <c r="N216" s="9">
        <v>155030</v>
      </c>
      <c r="O216" s="9" t="str">
        <v>October</v>
      </c>
      <c r="P216" s="9" t="str">
        <v>October</v>
      </c>
      <c r="Q216" s="9">
        <v>1</v>
      </c>
      <c r="R216" s="9">
        <v>6700062982</v>
      </c>
      <c r="S216" s="9">
        <v>45938</v>
      </c>
      <c r="T216" s="9">
        <v>147278</v>
      </c>
      <c r="U216" s="9" t="str">
        <v>October</v>
      </c>
      <c r="V216" s="9">
        <v>0</v>
      </c>
      <c r="W216" s="9">
        <v>0</v>
      </c>
      <c r="X216" s="9">
        <v>0</v>
      </c>
      <c r="Y216" s="9">
        <v>0</v>
      </c>
    </row>
    <row r="217" spans="1:25">
      <c r="A217" s="9">
        <v>98</v>
      </c>
      <c r="B217" s="9">
        <v>45930</v>
      </c>
      <c r="C217" s="9" t="str">
        <v xml:space="preserve">Alfa Laval India LTD </v>
      </c>
      <c r="D217" s="9" t="str">
        <v>Pune</v>
      </c>
      <c r="E217" s="9" t="str">
        <v>HSS</v>
      </c>
      <c r="F217" s="9" t="str">
        <v>Shashikant Jagtap</v>
      </c>
      <c r="G217" s="9">
        <v>8605611200</v>
      </c>
      <c r="H217" s="9" t="str">
        <v>shashikant.jagtap@alfalaval.com</v>
      </c>
      <c r="I217" s="9" t="str">
        <v>05008611/001</v>
      </c>
      <c r="J217" s="9" t="str">
        <v>SPP</v>
      </c>
      <c r="K217" s="9" t="str">
        <v>Yes</v>
      </c>
      <c r="L217" s="9" t="str">
        <v>KRIND/W/SPP/AB25030</v>
      </c>
      <c r="M217" s="9">
        <v>45930</v>
      </c>
      <c r="N217" s="9">
        <v>386482</v>
      </c>
      <c r="O217" s="9" t="str">
        <v>September</v>
      </c>
      <c r="P217" s="9" t="str">
        <v>November</v>
      </c>
      <c r="Q217" s="9">
        <v>0.5</v>
      </c>
      <c r="R217" s="9">
        <v>0</v>
      </c>
      <c r="S217" s="9">
        <v>0</v>
      </c>
      <c r="T217" s="9">
        <v>0</v>
      </c>
      <c r="U217" s="9">
        <v>0</v>
      </c>
      <c r="V217" s="9">
        <v>386482</v>
      </c>
      <c r="W217" s="9">
        <v>0</v>
      </c>
      <c r="X217" s="9">
        <v>0</v>
      </c>
      <c r="Y217" s="9">
        <v>0</v>
      </c>
    </row>
    <row r="218" spans="1:25">
      <c r="A218" s="9">
        <v>99</v>
      </c>
      <c r="B218" s="9">
        <v>45930</v>
      </c>
      <c r="C218" s="9" t="str">
        <v>Siemens Ltd.</v>
      </c>
      <c r="D218" s="9" t="str">
        <v>Mumbai</v>
      </c>
      <c r="E218" s="9" t="str">
        <v>SWG</v>
      </c>
      <c r="F218" s="9" t="str">
        <v>Nilesh Tandale</v>
      </c>
      <c r="G218" s="9">
        <v>9819509486</v>
      </c>
      <c r="H218" s="9" t="str">
        <v>Ddataram.bagayatkar@siemens.com</v>
      </c>
      <c r="I218" s="9" t="str">
        <v>11004947/001</v>
      </c>
      <c r="J218" s="9" t="str">
        <v>SPP</v>
      </c>
      <c r="K218" s="9" t="str">
        <v>Yes</v>
      </c>
      <c r="L218" s="9" t="str">
        <v>KRIND/W/SPP/AB25031</v>
      </c>
      <c r="M218" s="9">
        <v>45930</v>
      </c>
      <c r="N218" s="9">
        <v>276760</v>
      </c>
      <c r="O218" s="9" t="str">
        <v>September</v>
      </c>
      <c r="P218" s="9" t="str">
        <v>November</v>
      </c>
      <c r="Q218" s="9">
        <v>1</v>
      </c>
      <c r="R218" s="9">
        <v>4513719655</v>
      </c>
      <c r="S218" s="9">
        <v>45965</v>
      </c>
      <c r="T218" s="9">
        <v>270000</v>
      </c>
      <c r="U218" s="9" t="str">
        <v>November</v>
      </c>
      <c r="V218" s="9">
        <v>0</v>
      </c>
      <c r="W218" s="9">
        <v>0</v>
      </c>
      <c r="X218" s="9">
        <v>0</v>
      </c>
      <c r="Y218" s="9">
        <v>0</v>
      </c>
    </row>
    <row r="219" spans="1:25">
      <c r="A219" s="9">
        <v>100</v>
      </c>
      <c r="B219" s="9">
        <v>45933</v>
      </c>
      <c r="C219" s="9" t="str">
        <v>GE India Industrial Pvt.Ltd.</v>
      </c>
      <c r="D219" s="9" t="str">
        <v>Pune</v>
      </c>
      <c r="E219" s="9" t="str">
        <v>Fixture</v>
      </c>
      <c r="F219" s="9" t="str">
        <v>vishal.khaware</v>
      </c>
      <c r="G219" s="9">
        <v>8975397991</v>
      </c>
      <c r="H219" s="9" t="str">
        <v>vishal.khaware@geaerospace.com</v>
      </c>
      <c r="I219" s="9" t="str">
        <v>16004510/001</v>
      </c>
      <c r="J219" s="9" t="str">
        <v>SPP</v>
      </c>
      <c r="K219" s="9" t="str">
        <v>Yes</v>
      </c>
      <c r="L219" s="9" t="str">
        <v>KRIND/W/SPP/AB25033</v>
      </c>
      <c r="M219" s="9">
        <v>45933</v>
      </c>
      <c r="N219" s="9">
        <v>469085</v>
      </c>
      <c r="O219" s="9" t="str">
        <v>October</v>
      </c>
      <c r="P219" s="9" t="str">
        <v>October</v>
      </c>
      <c r="Q219" s="9">
        <v>1</v>
      </c>
      <c r="R219" s="9">
        <v>2011449</v>
      </c>
      <c r="S219" s="9">
        <v>45729</v>
      </c>
      <c r="T219" s="9">
        <v>469085</v>
      </c>
      <c r="U219" s="9" t="str">
        <v>October</v>
      </c>
      <c r="V219" s="9">
        <v>0</v>
      </c>
      <c r="W219" s="9">
        <v>0</v>
      </c>
      <c r="X219" s="9">
        <v>0</v>
      </c>
      <c r="Y219" s="9">
        <v>0</v>
      </c>
    </row>
    <row r="220" spans="1:25">
      <c r="A220" s="9">
        <v>101</v>
      </c>
      <c r="B220" s="9">
        <v>45945</v>
      </c>
      <c r="C220" s="9" t="str">
        <v xml:space="preserve">Yamazaki Mazak India PVT LTD </v>
      </c>
      <c r="D220" s="9" t="str">
        <v>Pune</v>
      </c>
      <c r="E220" s="9" t="str">
        <v>Stores</v>
      </c>
      <c r="F220" s="9" t="str">
        <v>Krishna. Jagdale</v>
      </c>
      <c r="G220" s="9">
        <v>9970002052</v>
      </c>
      <c r="H220" s="9" t="str">
        <v>krishna.jagdale@mazak.in</v>
      </c>
      <c r="I220" s="9" t="str">
        <v>10008826/001</v>
      </c>
      <c r="J220" s="9" t="str">
        <v>SPP</v>
      </c>
      <c r="K220" s="9" t="str">
        <v>Yes</v>
      </c>
      <c r="L220" s="9" t="str">
        <v>KRIND/W/SPP/AB25036</v>
      </c>
      <c r="M220" s="9">
        <v>45945</v>
      </c>
      <c r="N220" s="9">
        <v>441760</v>
      </c>
      <c r="O220" s="9" t="str">
        <v>October</v>
      </c>
      <c r="P220" s="9" t="str">
        <v>October</v>
      </c>
      <c r="Q220" s="9">
        <v>1</v>
      </c>
      <c r="R220" s="9" t="str">
        <v>PO25261015</v>
      </c>
      <c r="S220" s="9">
        <v>45947</v>
      </c>
      <c r="T220" s="9">
        <v>428507</v>
      </c>
      <c r="U220" s="9" t="str">
        <v>October</v>
      </c>
      <c r="V220" s="9">
        <v>0</v>
      </c>
      <c r="W220" s="9">
        <v>0</v>
      </c>
      <c r="X220" s="9">
        <v>0</v>
      </c>
      <c r="Y220" s="9">
        <v>0</v>
      </c>
    </row>
    <row r="221" spans="1:25">
      <c r="A221" s="9">
        <v>101</v>
      </c>
      <c r="B221" s="9">
        <v>0</v>
      </c>
      <c r="C221" s="9" t="str">
        <v xml:space="preserve">Yamazaki Mazak India PVT LTD </v>
      </c>
      <c r="D221" s="9" t="str">
        <v>Pune</v>
      </c>
      <c r="E221" s="9" t="str">
        <v>Stores</v>
      </c>
      <c r="F221" s="9" t="str">
        <v>Nilesh T</v>
      </c>
      <c r="G221" s="9">
        <v>9970002053</v>
      </c>
      <c r="H221" s="9" t="str">
        <v>nilesh.talawdekar@mazak.in</v>
      </c>
      <c r="I221" s="9" t="str">
        <v>10008826/001</v>
      </c>
      <c r="J221" s="9" t="str">
        <v>Contract</v>
      </c>
      <c r="K221" s="9" t="str">
        <v>NO</v>
      </c>
      <c r="L221" s="9" t="str">
        <v>KRIND/W/MC/AB/250020</v>
      </c>
      <c r="M221" s="9">
        <v>45812</v>
      </c>
      <c r="N221" s="9">
        <v>85000</v>
      </c>
      <c r="O221" s="9" t="str">
        <v>June</v>
      </c>
      <c r="P221" s="9" t="str">
        <v>June</v>
      </c>
      <c r="Q221" s="9">
        <v>1</v>
      </c>
      <c r="R221" s="9" t="str">
        <v>PO25260547</v>
      </c>
      <c r="S221" s="9">
        <v>45852</v>
      </c>
      <c r="T221" s="9">
        <v>78000</v>
      </c>
      <c r="U221" s="9" t="str">
        <v>July</v>
      </c>
      <c r="V221" s="9">
        <v>0</v>
      </c>
      <c r="W221" s="9">
        <v>0</v>
      </c>
      <c r="X221" s="9">
        <v>0</v>
      </c>
      <c r="Y221" s="9">
        <v>0</v>
      </c>
    </row>
    <row r="222" spans="1:25">
      <c r="A222" s="9">
        <v>102</v>
      </c>
      <c r="B222" s="9">
        <v>45940</v>
      </c>
      <c r="C222" s="9" t="str">
        <v>Bharat Electronics Ltd</v>
      </c>
      <c r="D222" s="9" t="str">
        <v>Pune</v>
      </c>
      <c r="E222" s="9" t="str">
        <v>Stores</v>
      </c>
      <c r="F222" s="9" t="str">
        <v>Vilas Khade</v>
      </c>
      <c r="G222" s="9">
        <v>2022903115</v>
      </c>
      <c r="H222" s="9" t="str">
        <v>vilaskhade@bel.co.in</v>
      </c>
      <c r="I222" s="9" t="str">
        <v>04002775/002</v>
      </c>
      <c r="J222" s="9" t="str">
        <v>SPP</v>
      </c>
      <c r="K222" s="9" t="str">
        <v>Yes</v>
      </c>
      <c r="L222" s="9" t="str">
        <v>KRIND/W/SPP/AB25037</v>
      </c>
      <c r="M222" s="9">
        <v>45940</v>
      </c>
      <c r="N222" s="9">
        <v>606100</v>
      </c>
      <c r="O222" s="9" t="str">
        <v>October</v>
      </c>
      <c r="P222" s="9" t="str">
        <v>December</v>
      </c>
      <c r="Q222" s="9">
        <v>0.5</v>
      </c>
      <c r="R222" s="9">
        <v>0</v>
      </c>
      <c r="S222" s="9">
        <v>0</v>
      </c>
      <c r="T222" s="9">
        <v>0</v>
      </c>
      <c r="U222" s="9">
        <v>0</v>
      </c>
      <c r="V222" s="9">
        <v>606100</v>
      </c>
      <c r="W222" s="9">
        <v>0</v>
      </c>
      <c r="X222" s="9">
        <v>0</v>
      </c>
      <c r="Y222" s="9">
        <v>0</v>
      </c>
    </row>
    <row r="223" spans="1:25">
      <c r="A223" s="9">
        <v>103</v>
      </c>
      <c r="B223" s="9">
        <v>45946</v>
      </c>
      <c r="C223" s="9" t="str">
        <v>Siemens Ltd.</v>
      </c>
      <c r="D223" s="9" t="str">
        <v>Mumbai</v>
      </c>
      <c r="E223" s="9" t="str">
        <v>Switchboard</v>
      </c>
      <c r="F223" s="9" t="str">
        <v>Umesh Gawde</v>
      </c>
      <c r="G223" s="9">
        <v>9833658459</v>
      </c>
      <c r="H223" s="9" t="str">
        <v>umesh.gawde@siemens.com</v>
      </c>
      <c r="I223" s="9" t="str">
        <v>09002885/001</v>
      </c>
      <c r="J223" s="9" t="str">
        <v>Midlife Upgrade</v>
      </c>
      <c r="K223" s="9" t="str">
        <v>Yes</v>
      </c>
      <c r="L223" s="9" t="str">
        <v>KRIND/W/SPP/AB25038</v>
      </c>
      <c r="M223" s="9">
        <v>45946</v>
      </c>
      <c r="N223" s="9">
        <v>686930</v>
      </c>
      <c r="O223" s="9" t="str">
        <v>October</v>
      </c>
      <c r="P223" s="9" t="str">
        <v>October</v>
      </c>
      <c r="Q223" s="9">
        <v>1</v>
      </c>
      <c r="R223" s="9">
        <v>4513692315</v>
      </c>
      <c r="S223" s="9">
        <v>45954</v>
      </c>
      <c r="T223" s="9">
        <v>686930</v>
      </c>
      <c r="U223" s="9" t="str">
        <v>October</v>
      </c>
      <c r="V223" s="9">
        <v>0</v>
      </c>
      <c r="W223" s="9">
        <v>0</v>
      </c>
      <c r="X223" s="9">
        <v>0</v>
      </c>
      <c r="Y223" s="9">
        <v>0</v>
      </c>
    </row>
    <row r="224" spans="1:25">
      <c r="A224" s="9">
        <v>104</v>
      </c>
      <c r="B224" s="9">
        <v>45950</v>
      </c>
      <c r="C224" s="9" t="str">
        <v>Tata Cummins Pvt Ltd</v>
      </c>
      <c r="D224" s="9" t="str">
        <v>Pune</v>
      </c>
      <c r="E224" s="9" t="str">
        <v>Stores</v>
      </c>
      <c r="F224" s="9" t="str">
        <v>Divya Kadam</v>
      </c>
      <c r="G224" s="9">
        <v>7796646967</v>
      </c>
      <c r="H224" s="9" t="str">
        <v>divya.kadam@cummins.com</v>
      </c>
      <c r="I224" s="9" t="str">
        <v>10006466/001</v>
      </c>
      <c r="J224" s="9" t="str">
        <v>SPP</v>
      </c>
      <c r="K224" s="9" t="str">
        <v>Yes</v>
      </c>
      <c r="L224" s="9" t="str">
        <v>KRIND/W/SPP/AB25039</v>
      </c>
      <c r="M224" s="9">
        <v>45950</v>
      </c>
      <c r="N224" s="9">
        <v>413880</v>
      </c>
      <c r="O224" s="9" t="str">
        <v>October</v>
      </c>
      <c r="P224" s="9" t="str">
        <v>October</v>
      </c>
      <c r="Q224" s="9">
        <v>1</v>
      </c>
      <c r="R224" s="9" t="str">
        <v>50058462 &amp; 50058464</v>
      </c>
      <c r="S224" s="9">
        <v>45957</v>
      </c>
      <c r="T224" s="9">
        <v>383227</v>
      </c>
      <c r="U224" s="9" t="str">
        <v>October</v>
      </c>
      <c r="V224" s="9">
        <v>0</v>
      </c>
      <c r="W224" s="9">
        <v>0</v>
      </c>
      <c r="X224" s="9">
        <v>0</v>
      </c>
      <c r="Y224" s="9">
        <v>0</v>
      </c>
    </row>
    <row r="225" spans="1:25">
      <c r="A225" s="9">
        <v>105</v>
      </c>
      <c r="B225" s="9">
        <v>45953</v>
      </c>
      <c r="C225" s="9" t="str">
        <v>Tata Cummins Pvt Ltd</v>
      </c>
      <c r="D225" s="9" t="str">
        <v>phaltan</v>
      </c>
      <c r="E225" s="9" t="str">
        <v>Stores</v>
      </c>
      <c r="F225" s="9" t="str">
        <v>vijay pawar</v>
      </c>
      <c r="G225" s="9">
        <v>7796646965</v>
      </c>
      <c r="H225" s="9" t="str">
        <v>vijay.pawar@cummins.com</v>
      </c>
      <c r="I225" s="9" t="str">
        <v>10006286/001</v>
      </c>
      <c r="J225" s="9" t="str">
        <v>SPP</v>
      </c>
      <c r="K225" s="9" t="str">
        <v>Yes</v>
      </c>
      <c r="L225" s="9" t="str">
        <v>KRIND/W/SPP/AB25040</v>
      </c>
      <c r="M225" s="9">
        <v>45953</v>
      </c>
      <c r="N225" s="9">
        <v>261500</v>
      </c>
      <c r="O225" s="9" t="str">
        <v>October</v>
      </c>
      <c r="P225" s="9" t="str">
        <v>November</v>
      </c>
      <c r="Q225" s="9">
        <v>1</v>
      </c>
      <c r="R225" s="9">
        <v>50058679</v>
      </c>
      <c r="S225" s="9">
        <v>45973</v>
      </c>
      <c r="T225" s="9">
        <v>458228</v>
      </c>
      <c r="U225" s="9" t="str">
        <v>November</v>
      </c>
      <c r="V225" s="9">
        <v>0</v>
      </c>
      <c r="W225" s="9">
        <v>0</v>
      </c>
      <c r="X225" s="9">
        <v>0</v>
      </c>
      <c r="Y225" s="9">
        <v>0</v>
      </c>
    </row>
    <row r="226" spans="1:25">
      <c r="A226" s="9">
        <v>106</v>
      </c>
      <c r="B226" s="9">
        <v>45955</v>
      </c>
      <c r="C226" s="9" t="str">
        <v>Knorr-Bremse Systems for Commercial Vehicles</v>
      </c>
      <c r="D226" s="9" t="str">
        <v>Pune</v>
      </c>
      <c r="E226" s="9" t="str">
        <v>Stores</v>
      </c>
      <c r="F226" s="9" t="str">
        <v>Prakash Parihar</v>
      </c>
      <c r="G226" s="9">
        <v>9907829409</v>
      </c>
      <c r="H226" s="9" t="str">
        <v>prakashsingh.parihar@knorr-bremse.com</v>
      </c>
      <c r="I226" s="9" t="str">
        <v>24000529/001</v>
      </c>
      <c r="J226" s="9" t="str">
        <v>SPP</v>
      </c>
      <c r="K226" s="9" t="str">
        <v>Yes</v>
      </c>
      <c r="L226" s="9" t="str">
        <v>KRIND/W/SPP/AB25041</v>
      </c>
      <c r="M226" s="9">
        <v>45955</v>
      </c>
      <c r="N226" s="9">
        <v>611382</v>
      </c>
      <c r="O226" s="9" t="str">
        <v>October</v>
      </c>
      <c r="P226" s="9" t="str">
        <v>December</v>
      </c>
      <c r="Q226" s="9">
        <v>0.5</v>
      </c>
      <c r="R226" s="9">
        <v>0</v>
      </c>
      <c r="S226" s="9">
        <v>0</v>
      </c>
      <c r="T226" s="9">
        <v>0</v>
      </c>
      <c r="U226" s="9">
        <v>0</v>
      </c>
      <c r="V226" s="9">
        <v>611382</v>
      </c>
      <c r="W226" s="9">
        <v>0</v>
      </c>
      <c r="X226" s="9">
        <v>0</v>
      </c>
      <c r="Y226" s="9">
        <v>0</v>
      </c>
    </row>
    <row r="227" spans="1:25">
      <c r="A227" s="9">
        <v>107</v>
      </c>
      <c r="B227" s="9">
        <v>45957</v>
      </c>
      <c r="C227" s="9" t="str">
        <v>Knorr-Bremse Systems for Commercial Vehicles</v>
      </c>
      <c r="D227" s="9" t="str">
        <v>Pune</v>
      </c>
      <c r="E227" s="9" t="str">
        <v>Stores</v>
      </c>
      <c r="F227" s="9" t="str">
        <v>Prakash Parihar</v>
      </c>
      <c r="G227" s="9">
        <v>9907829409</v>
      </c>
      <c r="H227" s="9" t="str">
        <v>prakashsingh.parihar@knorr-bremse.com</v>
      </c>
      <c r="I227" s="9" t="str">
        <v>24000529/001</v>
      </c>
      <c r="J227" s="9" t="str">
        <v>Contract</v>
      </c>
      <c r="K227" s="9" t="str">
        <v>Yes</v>
      </c>
      <c r="L227" s="9" t="str">
        <v>KXIND/S/AB/SC/25001</v>
      </c>
      <c r="M227" s="9">
        <v>45957</v>
      </c>
      <c r="N227" s="9">
        <v>42000</v>
      </c>
      <c r="O227" s="9" t="str">
        <v>October</v>
      </c>
      <c r="P227" s="9" t="str">
        <v>November</v>
      </c>
      <c r="Q227" s="9">
        <v>0.5</v>
      </c>
      <c r="R227" s="9">
        <v>0</v>
      </c>
      <c r="S227" s="9">
        <v>0</v>
      </c>
      <c r="T227" s="9">
        <v>0</v>
      </c>
      <c r="U227" s="9">
        <v>0</v>
      </c>
      <c r="V227" s="9">
        <v>42000</v>
      </c>
      <c r="W227" s="9">
        <v>0</v>
      </c>
      <c r="X227" s="9">
        <v>0</v>
      </c>
      <c r="Y227" s="9">
        <v>0</v>
      </c>
    </row>
    <row r="228" spans="1:25">
      <c r="A228" s="9">
        <v>108</v>
      </c>
      <c r="B228" s="9">
        <v>45957</v>
      </c>
      <c r="C228" s="9" t="str">
        <v xml:space="preserve">KSPG Automotive India PVT LTD </v>
      </c>
      <c r="D228" s="9" t="str">
        <v>Pune</v>
      </c>
      <c r="E228" s="9" t="str">
        <v>Tool Room</v>
      </c>
      <c r="F228" s="9" t="str">
        <v>Kanchan Patil</v>
      </c>
      <c r="G228" s="9">
        <v>9049009865</v>
      </c>
      <c r="H228" s="9" t="str">
        <v>kanchan.patil@in.rheinmetall.com</v>
      </c>
      <c r="I228" s="9" t="str">
        <v>18008781/001</v>
      </c>
      <c r="J228" s="9" t="str">
        <v>SPP</v>
      </c>
      <c r="K228" s="9" t="str">
        <v>Yes</v>
      </c>
      <c r="L228" s="9" t="str">
        <v>KRIND/W/SPP/AB25042</v>
      </c>
      <c r="M228" s="9">
        <v>45957</v>
      </c>
      <c r="N228" s="9">
        <v>611382</v>
      </c>
      <c r="O228" s="9" t="str">
        <v>October</v>
      </c>
      <c r="P228" s="9" t="str">
        <v>November</v>
      </c>
      <c r="Q228" s="9">
        <v>1</v>
      </c>
      <c r="R228" s="9" t="str">
        <v>IN4 / 1443021494</v>
      </c>
      <c r="S228" s="9">
        <v>45964</v>
      </c>
      <c r="T228" s="9">
        <v>2160000</v>
      </c>
      <c r="U228" s="9" t="str">
        <v>November</v>
      </c>
      <c r="V228" s="9">
        <v>0</v>
      </c>
      <c r="W228" s="9">
        <v>0</v>
      </c>
      <c r="X228" s="9">
        <v>0</v>
      </c>
      <c r="Y228" s="9">
        <v>0</v>
      </c>
    </row>
    <row r="229" spans="1:25">
      <c r="A229" s="9">
        <v>109</v>
      </c>
      <c r="B229" s="9">
        <v>45959</v>
      </c>
      <c r="C229" s="9" t="str">
        <v xml:space="preserve">KSPG Automotive India PVT LTD </v>
      </c>
      <c r="D229" s="9" t="str">
        <v>Pune</v>
      </c>
      <c r="E229" s="9" t="str">
        <v>stores</v>
      </c>
      <c r="F229" s="9" t="str">
        <v>Bharat Markad</v>
      </c>
      <c r="G229" s="9">
        <v>9975371327</v>
      </c>
      <c r="H229" s="9" t="str">
        <v>bharat.markad@in.kspg.com</v>
      </c>
      <c r="I229" s="9" t="str">
        <v>15001233/001</v>
      </c>
      <c r="J229" s="9" t="str">
        <v>SPP</v>
      </c>
      <c r="K229" s="9" t="str">
        <v>Yes</v>
      </c>
      <c r="L229" s="9" t="str">
        <v>KRIND/W/SPP/AB25043</v>
      </c>
      <c r="M229" s="9">
        <v>45959</v>
      </c>
      <c r="N229" s="9">
        <v>409602</v>
      </c>
      <c r="O229" s="9" t="str">
        <v>October</v>
      </c>
      <c r="P229" s="9" t="str">
        <v>November</v>
      </c>
      <c r="Q229" s="9">
        <v>0.5</v>
      </c>
      <c r="R229" s="9">
        <v>0</v>
      </c>
      <c r="S229" s="9">
        <v>0</v>
      </c>
      <c r="T229" s="9">
        <v>0</v>
      </c>
      <c r="U229" s="9">
        <v>0</v>
      </c>
      <c r="V229" s="9">
        <v>409602</v>
      </c>
      <c r="W229" s="9">
        <v>0</v>
      </c>
      <c r="X229" s="9">
        <v>0</v>
      </c>
      <c r="Y229" s="9">
        <v>0</v>
      </c>
    </row>
    <row r="230" spans="1:25">
      <c r="A230" s="9">
        <v>110</v>
      </c>
      <c r="B230" s="9">
        <v>45987</v>
      </c>
      <c r="C230" s="9" t="str">
        <v xml:space="preserve">Cummins India Ltd </v>
      </c>
      <c r="D230" s="9" t="str">
        <v>Pune</v>
      </c>
      <c r="E230" s="9" t="str">
        <v>EM</v>
      </c>
      <c r="F230" s="9" t="str">
        <v>Kiran Dole</v>
      </c>
      <c r="G230" s="9">
        <v>0</v>
      </c>
      <c r="H230" s="9" t="str">
        <v>kiran.dole@cummins.com</v>
      </c>
      <c r="I230" s="9" t="str">
        <v>00009908/005</v>
      </c>
      <c r="J230" s="9" t="str">
        <v>SPP</v>
      </c>
      <c r="K230" s="9" t="str">
        <v>yes</v>
      </c>
      <c r="L230" s="9" t="str">
        <v>KRIND/W/SPP/AB25044</v>
      </c>
      <c r="M230" s="9">
        <v>45987</v>
      </c>
      <c r="N230" s="9">
        <v>975900</v>
      </c>
      <c r="O230" s="9" t="str">
        <v>November</v>
      </c>
      <c r="P230" s="9" t="str">
        <v>December</v>
      </c>
      <c r="Q230" s="9">
        <v>0.5</v>
      </c>
      <c r="R230" s="9">
        <v>0</v>
      </c>
      <c r="S230" s="9">
        <v>0</v>
      </c>
      <c r="T230" s="9">
        <v>0</v>
      </c>
      <c r="U230" s="9">
        <v>0</v>
      </c>
      <c r="V230" s="9">
        <v>975900</v>
      </c>
      <c r="W230" s="9">
        <v>0</v>
      </c>
      <c r="X230" s="9">
        <v>0</v>
      </c>
      <c r="Y230" s="9">
        <v>0</v>
      </c>
    </row>
    <row r="231" spans="1:25">
      <c r="A231" s="9">
        <v>111</v>
      </c>
      <c r="B231" s="9">
        <v>45989</v>
      </c>
      <c r="C231" s="9" t="str">
        <v>Bharat Electronics Ltd</v>
      </c>
      <c r="D231" s="9" t="str">
        <v>Navi Mumbai</v>
      </c>
      <c r="E231" s="9" t="str">
        <v>stores</v>
      </c>
      <c r="F231" s="9" t="str">
        <v>Vishal Kulkarni</v>
      </c>
      <c r="G231" s="9">
        <v>9766935985</v>
      </c>
      <c r="H231" s="9" t="str">
        <v>vishal.kulkarni@bel.co.in</v>
      </c>
      <c r="I231" s="9" t="str">
        <v>14000071/001</v>
      </c>
      <c r="J231" s="9" t="str">
        <v>SPP</v>
      </c>
      <c r="K231" s="9" t="str">
        <v>Yes</v>
      </c>
      <c r="L231" s="9" t="str">
        <v>KRIND/W/SPP/AB25045</v>
      </c>
      <c r="M231" s="9">
        <v>45989</v>
      </c>
      <c r="N231" s="9">
        <v>350860</v>
      </c>
      <c r="O231" s="9" t="str">
        <v>November</v>
      </c>
      <c r="P231" s="9" t="str">
        <v>December</v>
      </c>
      <c r="Q231" s="9">
        <v>0.5</v>
      </c>
      <c r="R231" s="9">
        <v>0</v>
      </c>
      <c r="S231" s="9">
        <v>0</v>
      </c>
      <c r="T231" s="9">
        <v>0</v>
      </c>
      <c r="U231" s="9">
        <v>0</v>
      </c>
      <c r="V231" s="9">
        <v>350860</v>
      </c>
      <c r="W231" s="9">
        <v>0</v>
      </c>
      <c r="X231" s="9">
        <v>0</v>
      </c>
      <c r="Y231" s="9">
        <v>0</v>
      </c>
    </row>
    <row r="232" spans="1:25">
      <c r="A232" s="9">
        <v>112</v>
      </c>
      <c r="B232" s="9">
        <v>46002</v>
      </c>
      <c r="C232" s="9" t="str">
        <v xml:space="preserve">Mahindra &amp; Mahindra LTD </v>
      </c>
      <c r="D232" s="9" t="str">
        <v>Mumbai</v>
      </c>
      <c r="E232" s="9" t="str">
        <v>FED</v>
      </c>
      <c r="F232" s="9" t="str">
        <v>Atul Gade</v>
      </c>
      <c r="G232" s="9">
        <v>9923496979</v>
      </c>
      <c r="H232" s="9" t="str">
        <v>GADE.ATUL@mahindra.com</v>
      </c>
      <c r="I232" s="9" t="str">
        <v>11010119/001</v>
      </c>
      <c r="J232" s="9" t="str">
        <v>SPP</v>
      </c>
      <c r="K232" s="9" t="str">
        <v>YES</v>
      </c>
      <c r="L232" s="9" t="str">
        <v>KRIND/W/SPP/AB250046</v>
      </c>
      <c r="M232" s="9">
        <v>46002</v>
      </c>
      <c r="N232" s="9">
        <v>561709</v>
      </c>
      <c r="O232" s="9" t="str">
        <v>December</v>
      </c>
      <c r="P232" s="9" t="str">
        <v>January</v>
      </c>
      <c r="Q232" s="9">
        <v>0.5</v>
      </c>
      <c r="R232" s="9">
        <v>0</v>
      </c>
      <c r="S232" s="9">
        <v>0</v>
      </c>
      <c r="T232" s="9">
        <v>0</v>
      </c>
      <c r="U232" s="9">
        <v>0</v>
      </c>
      <c r="V232" s="9">
        <v>-561709</v>
      </c>
      <c r="W232" s="9">
        <v>0</v>
      </c>
      <c r="X232" s="9">
        <v>0</v>
      </c>
      <c r="Y232" s="9">
        <v>0</v>
      </c>
    </row>
    <row r="233" spans="1:25">
      <c r="A233" s="9">
        <v>113</v>
      </c>
      <c r="B233" s="9">
        <v>45999</v>
      </c>
      <c r="C233" s="9" t="str">
        <v>Tata Cummins Pvt Ltd</v>
      </c>
      <c r="D233" s="9" t="str">
        <v>phaltan</v>
      </c>
      <c r="E233" s="9" t="str">
        <v>stores</v>
      </c>
      <c r="F233" s="9" t="str">
        <v>vijay Pawar</v>
      </c>
      <c r="G233" s="9">
        <v>7796646965</v>
      </c>
      <c r="H233" s="9" t="str">
        <v>vijay.pawar@cummins.com</v>
      </c>
      <c r="I233" s="9" t="str">
        <v>14006903/001</v>
      </c>
      <c r="J233" s="9" t="str">
        <v>SPP</v>
      </c>
      <c r="K233" s="9" t="str">
        <v>YES</v>
      </c>
      <c r="L233" s="9" t="str">
        <v>KRIND/W/SPP/AB25047</v>
      </c>
      <c r="M233" s="9">
        <v>45999</v>
      </c>
      <c r="N233" s="9">
        <v>484800</v>
      </c>
      <c r="O233" s="9" t="str">
        <v>December</v>
      </c>
      <c r="P233" s="9" t="str">
        <v>December</v>
      </c>
      <c r="Q233" s="9">
        <v>0.5</v>
      </c>
      <c r="R233" s="9">
        <v>0</v>
      </c>
      <c r="S233" s="9">
        <v>0</v>
      </c>
      <c r="T233" s="9">
        <v>0</v>
      </c>
      <c r="U233" s="9">
        <v>0</v>
      </c>
      <c r="V233" s="9">
        <v>-484800</v>
      </c>
      <c r="W233" s="9">
        <v>0</v>
      </c>
      <c r="X233" s="9">
        <v>0</v>
      </c>
      <c r="Y233" s="9">
        <v>0</v>
      </c>
    </row>
    <row r="234" spans="1: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  <row r="402" spans="1:25">
      <c r="A402" s="9">
        <v>0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</row>
    <row r="403" spans="1:25">
      <c r="A403" s="9">
        <v>0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</row>
    <row r="404" spans="1:25">
      <c r="A404" s="9">
        <v>0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</row>
    <row r="405" spans="1:25">
      <c r="A405" s="9">
        <v>0</v>
      </c>
      <c r="B405" s="9">
        <v>0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</row>
    <row r="406" spans="1:25">
      <c r="A406" s="9">
        <v>0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</row>
    <row r="407" spans="1:25">
      <c r="A407" s="9">
        <v>0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</row>
    <row r="408" spans="1:25">
      <c r="A408" s="9">
        <v>0</v>
      </c>
      <c r="B408" s="9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</row>
    <row r="409" spans="1:25">
      <c r="A409" s="9">
        <v>0</v>
      </c>
      <c r="B409" s="9">
        <v>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</row>
    <row r="410" spans="1:25">
      <c r="A410" s="9">
        <v>0</v>
      </c>
      <c r="B410" s="9">
        <v>0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</row>
    <row r="411" spans="1:25">
      <c r="A411" s="9">
        <v>0</v>
      </c>
      <c r="B411" s="9">
        <v>0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</row>
    <row r="412" spans="1:25">
      <c r="A412" s="9">
        <v>0</v>
      </c>
      <c r="B412" s="9">
        <v>0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</row>
    <row r="413" spans="1:25">
      <c r="A413" s="9">
        <v>0</v>
      </c>
      <c r="B413" s="9">
        <v>0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</row>
    <row r="414" spans="1:25">
      <c r="A414" s="9">
        <v>0</v>
      </c>
      <c r="B414" s="9">
        <v>0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</row>
    <row r="415" spans="1:25">
      <c r="A415" s="9">
        <v>0</v>
      </c>
      <c r="B415" s="9">
        <v>0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</row>
    <row r="416" spans="1:25">
      <c r="A416" s="9">
        <v>0</v>
      </c>
      <c r="B416" s="9">
        <v>0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</row>
    <row r="417" spans="1:25">
      <c r="A417" s="9">
        <v>0</v>
      </c>
      <c r="B417" s="9">
        <v>0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</row>
    <row r="418" spans="1:25">
      <c r="A418" s="9">
        <v>0</v>
      </c>
      <c r="B418" s="9">
        <v>0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</row>
    <row r="419" spans="1:25">
      <c r="A419" s="9">
        <v>0</v>
      </c>
      <c r="B419" s="9">
        <v>0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</row>
    <row r="420" spans="1:25">
      <c r="A420" s="9">
        <v>0</v>
      </c>
      <c r="B420" s="9">
        <v>0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</row>
    <row r="421" spans="1:25">
      <c r="A421" s="9">
        <v>0</v>
      </c>
      <c r="B421" s="9">
        <v>0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</row>
    <row r="422" spans="1:25">
      <c r="A422" s="9">
        <v>0</v>
      </c>
      <c r="B422" s="9">
        <v>0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</row>
    <row r="423" spans="1:25">
      <c r="A423" s="9">
        <v>0</v>
      </c>
      <c r="B423" s="9">
        <v>0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</row>
    <row r="424" spans="1:25">
      <c r="A424" s="9">
        <v>0</v>
      </c>
      <c r="B424" s="9">
        <v>0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</row>
    <row r="425" spans="1:25">
      <c r="A425" s="9">
        <v>0</v>
      </c>
      <c r="B425" s="9">
        <v>0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</row>
    <row r="426" spans="1:25">
      <c r="A426" s="9">
        <v>0</v>
      </c>
      <c r="B426" s="9">
        <v>0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</row>
    <row r="427" spans="1:25">
      <c r="A427" s="9">
        <v>0</v>
      </c>
      <c r="B427" s="9">
        <v>0</v>
      </c>
      <c r="C427" s="9">
        <v>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</row>
  </sheetData>
  <sheetProtection algorithmName="SHA-512" hashValue="rdHPsE6qaNVzbHHZB1/2Q0u4XH17LkO2piUZbKKlhZMm9mCEYNYUjvqXN1RDDrZjfGNBA19x2LRMujQvGgwUNQ==" saltValue="JlAw76RImHAKZ/nprhgrr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3240-4F31-4606-B910-7007EEECD8C1}">
  <dimension ref="A1:Z7"/>
  <sheetViews>
    <sheetView topLeftCell="B1" zoomScaleNormal="100" zoomScalePageLayoutView="80" workbookViewId="0">
      <selection activeCell="F31" sqref="F31:I31"/>
    </sheetView>
  </sheetViews>
  <sheetFormatPr defaultColWidth="9.44140625" defaultRowHeight="13.8"/>
  <cols>
    <col min="1" max="1" width="10.44140625" style="9" customWidth="1"/>
    <col min="2" max="16384" width="9.44140625" style="9"/>
  </cols>
  <sheetData>
    <row r="1" spans="1:26">
      <c r="A1" s="9" t="e">
        <f>#REF!</f>
        <v>#REF!</v>
      </c>
    </row>
    <row r="3" spans="1:26">
      <c r="A3" s="9" t="e" cm="1">
        <f t="array" ref="A3">#REF!</f>
        <v>#REF!</v>
      </c>
      <c r="T3" s="9" t="e" cm="1">
        <f t="array" ref="T3">#REF!</f>
        <v>#REF!</v>
      </c>
    </row>
    <row r="7" spans="1:26">
      <c r="A7" s="9" t="e" cm="1">
        <f t="array" ref="A7">#REF!</f>
        <v>#REF!</v>
      </c>
      <c r="Z7" s="9" t="e" cm="1">
        <f t="array" ref="Z7">#REF!</f>
        <v>#REF!</v>
      </c>
    </row>
  </sheetData>
  <sheetProtection algorithmName="SHA-512" hashValue="SbjMLVz1Q9TWEXs6g3u4D290gZ1GzwFA4cWwjUAhneSoTtRFMSk/j0fmOGR2dAHqDQFbDAwr5W9m4Hk5me2yng==" saltValue="Y7RvM29efjpcjvn2zck1Q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B9CB-8382-4B71-92E3-C849885BC432}">
  <dimension ref="A1:AB404"/>
  <sheetViews>
    <sheetView topLeftCell="B1" zoomScaleNormal="100" zoomScalePageLayoutView="80" workbookViewId="0">
      <selection activeCell="F31" sqref="F31:I31"/>
    </sheetView>
  </sheetViews>
  <sheetFormatPr defaultColWidth="9.44140625" defaultRowHeight="13.8"/>
  <cols>
    <col min="1" max="1" width="10.44140625" style="9" customWidth="1"/>
    <col min="2" max="16384" width="9.44140625" style="9"/>
  </cols>
  <sheetData>
    <row r="1" spans="1:28">
      <c r="A1" s="9" t="str">
        <f>Minesh!A2</f>
        <v>KARDEX INDIA - LIVE OFFER FUNEL - MINESH - WEST</v>
      </c>
    </row>
    <row r="3" spans="1:28">
      <c r="A3" s="9" t="str" cm="1">
        <f t="array" ref="A3:B3">Minesh!A4:B4</f>
        <v>Total Offers</v>
      </c>
      <c r="B3" s="9">
        <v>113</v>
      </c>
      <c r="T3" s="9" t="str" cm="1">
        <f t="array" ref="T3:U5">Minesh!U3:V5</f>
        <v>Total Offered Value</v>
      </c>
      <c r="U3" s="9">
        <v>30588261</v>
      </c>
    </row>
    <row r="4" spans="1:28">
      <c r="T4" s="9" t="str">
        <v>Order Received</v>
      </c>
      <c r="U4" s="9">
        <v>21310721</v>
      </c>
    </row>
    <row r="5" spans="1:28">
      <c r="T5" s="9" t="str">
        <v>Open Funnel</v>
      </c>
      <c r="U5" s="9">
        <v>4608300</v>
      </c>
    </row>
    <row r="7" spans="1:28">
      <c r="A7" s="9" t="str" cm="1">
        <f t="array" ref="A7:Y404">Minesh!A6:Y403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19">Minesh!AB2:AD14</f>
        <v>Month</v>
      </c>
      <c r="AA7" s="9" t="str">
        <v>Offers Total</v>
      </c>
      <c r="AB7" s="9" t="str">
        <v>Order Received</v>
      </c>
    </row>
    <row r="8" spans="1:28">
      <c r="A8" s="9">
        <v>1</v>
      </c>
      <c r="B8" s="9">
        <v>45901</v>
      </c>
      <c r="C8" s="9" t="str">
        <v>Kabra Extrusiontechnik Ltd</v>
      </c>
      <c r="D8" s="9" t="str">
        <v>Daman</v>
      </c>
      <c r="E8" s="9" t="str">
        <v>Maintenance</v>
      </c>
      <c r="F8" s="9" t="str">
        <v>Krunal patel</v>
      </c>
      <c r="G8" s="9">
        <v>7226982211</v>
      </c>
      <c r="H8" s="9" t="str">
        <v>krunal.patel@kolsitegroup.com</v>
      </c>
      <c r="I8" s="9" t="str">
        <v>10007235/001</v>
      </c>
      <c r="J8" s="9" t="str">
        <v>Contract</v>
      </c>
      <c r="K8" s="9" t="str">
        <v>No</v>
      </c>
      <c r="L8" s="9" t="str">
        <v>KXIND/W/MV/MC/24085</v>
      </c>
      <c r="M8" s="9">
        <v>45575</v>
      </c>
      <c r="N8" s="9">
        <v>85560</v>
      </c>
      <c r="O8" s="9" t="str">
        <v>January</v>
      </c>
      <c r="P8" s="9" t="str">
        <v>January</v>
      </c>
      <c r="Q8" s="9">
        <v>1</v>
      </c>
      <c r="R8" s="9">
        <v>4900003319</v>
      </c>
      <c r="S8" s="9">
        <v>45588</v>
      </c>
      <c r="T8" s="9">
        <v>85560</v>
      </c>
      <c r="U8" s="9" t="str">
        <v>January</v>
      </c>
      <c r="V8" s="9">
        <v>0</v>
      </c>
      <c r="W8" s="9">
        <v>0</v>
      </c>
      <c r="X8" s="9">
        <v>0</v>
      </c>
      <c r="Y8" s="9" t="str">
        <v>31/1/2025</v>
      </c>
      <c r="Z8" s="9" t="str">
        <v>January</v>
      </c>
      <c r="AA8" s="9">
        <v>6579745</v>
      </c>
      <c r="AB8" s="9">
        <v>4361918</v>
      </c>
    </row>
    <row r="9" spans="1:28">
      <c r="A9" s="9">
        <v>2</v>
      </c>
      <c r="B9" s="9">
        <v>45901</v>
      </c>
      <c r="C9" s="9" t="str">
        <v>Firmenich Aerometics I Pvt.ltd.</v>
      </c>
      <c r="D9" s="9" t="str">
        <v>Daman</v>
      </c>
      <c r="E9" s="9" t="str">
        <v>QA</v>
      </c>
      <c r="F9" s="9" t="str">
        <v>Niteshkumar Patel</v>
      </c>
      <c r="G9" s="9">
        <v>9033953449</v>
      </c>
      <c r="H9" s="9" t="str">
        <v>Niteshkumar.PATEL@dsm-firmenich.com</v>
      </c>
      <c r="I9" s="9" t="str">
        <v>18001930/001</v>
      </c>
      <c r="J9" s="9" t="str">
        <v>Contract</v>
      </c>
      <c r="K9" s="9" t="str">
        <v>NO</v>
      </c>
      <c r="L9" s="9" t="str">
        <v>KXIND/W/MV/MC/24102</v>
      </c>
      <c r="M9" s="9">
        <v>45639</v>
      </c>
      <c r="N9" s="9">
        <v>58000</v>
      </c>
      <c r="O9" s="9" t="str">
        <v>January</v>
      </c>
      <c r="P9" s="9" t="str">
        <v>January</v>
      </c>
      <c r="Q9" s="9">
        <v>1</v>
      </c>
      <c r="R9" s="9" t="str">
        <v>3001011375 -</v>
      </c>
      <c r="S9" s="9">
        <v>45642</v>
      </c>
      <c r="T9" s="9">
        <v>58000</v>
      </c>
      <c r="U9" s="9" t="str">
        <v>January</v>
      </c>
      <c r="V9" s="9">
        <v>0</v>
      </c>
      <c r="W9" s="9" t="str">
        <v>Already booked in Dec-25 remove from offer funnel</v>
      </c>
      <c r="X9" s="9">
        <v>0</v>
      </c>
      <c r="Y9" s="9" t="str">
        <v>31/12/2204</v>
      </c>
      <c r="Z9" s="9" t="str">
        <v>February</v>
      </c>
      <c r="AA9" s="9">
        <v>290000</v>
      </c>
      <c r="AB9" s="9">
        <v>1491040</v>
      </c>
    </row>
    <row r="10" spans="1:28">
      <c r="A10" s="9">
        <v>0</v>
      </c>
      <c r="B10" s="9">
        <v>0</v>
      </c>
      <c r="C10" s="9" t="str">
        <v>Firmenich Aerometics I Pvt.ltd.</v>
      </c>
      <c r="D10" s="9" t="str">
        <v>Daman</v>
      </c>
      <c r="E10" s="9" t="str">
        <v>QA</v>
      </c>
      <c r="F10" s="9" t="str">
        <v>Niteshkumar Patel</v>
      </c>
      <c r="G10" s="9">
        <v>9033953449</v>
      </c>
      <c r="H10" s="9" t="str">
        <v>Niteshkumar.PATEL@dsm-firmenich.com</v>
      </c>
      <c r="I10" s="9" t="str">
        <v>18001930/002</v>
      </c>
      <c r="J10" s="9" t="str">
        <v>Contract</v>
      </c>
      <c r="K10" s="9" t="str">
        <v>NO</v>
      </c>
      <c r="L10" s="9" t="str">
        <v>KXIND/W/MV/MC/24102</v>
      </c>
      <c r="M10" s="9">
        <v>45639</v>
      </c>
      <c r="N10" s="9">
        <v>58000</v>
      </c>
      <c r="O10" s="9" t="str">
        <v>January</v>
      </c>
      <c r="P10" s="9" t="str">
        <v>January</v>
      </c>
      <c r="Q10" s="9">
        <v>1</v>
      </c>
      <c r="R10" s="9" t="str">
        <v>3001011375 -</v>
      </c>
      <c r="S10" s="9">
        <v>45642</v>
      </c>
      <c r="T10" s="9">
        <v>58000</v>
      </c>
      <c r="U10" s="9" t="str">
        <v>January</v>
      </c>
      <c r="V10" s="9">
        <v>0</v>
      </c>
      <c r="W10" s="9" t="str">
        <v>Already booked in Dec-25 remove from offer funnel</v>
      </c>
      <c r="X10" s="9">
        <v>0</v>
      </c>
      <c r="Y10" s="9" t="str">
        <v>31/12/2204</v>
      </c>
      <c r="Z10" s="9" t="str">
        <v>March</v>
      </c>
      <c r="AA10" s="9">
        <v>3483840</v>
      </c>
      <c r="AB10" s="9">
        <v>666040</v>
      </c>
    </row>
    <row r="11" spans="1:28">
      <c r="A11" s="9">
        <v>0</v>
      </c>
      <c r="B11" s="9">
        <v>0</v>
      </c>
      <c r="C11" s="9" t="str">
        <v>Firmenich Aerometics I Pvt.ltd.</v>
      </c>
      <c r="D11" s="9" t="str">
        <v>Daman</v>
      </c>
      <c r="E11" s="9" t="str">
        <v>QA</v>
      </c>
      <c r="F11" s="9" t="str">
        <v>Niteshkumar Patel</v>
      </c>
      <c r="G11" s="9">
        <v>9033953449</v>
      </c>
      <c r="H11" s="9" t="str">
        <v>Niteshkumar.PATEL@dsm-firmenich.com</v>
      </c>
      <c r="I11" s="9" t="str">
        <v>18001930/003</v>
      </c>
      <c r="J11" s="9" t="str">
        <v>Contract</v>
      </c>
      <c r="K11" s="9" t="str">
        <v>NO</v>
      </c>
      <c r="L11" s="9" t="str">
        <v>KXIND/W/MV/MC/24102</v>
      </c>
      <c r="M11" s="9">
        <v>45639</v>
      </c>
      <c r="N11" s="9">
        <v>58000</v>
      </c>
      <c r="O11" s="9" t="str">
        <v>January</v>
      </c>
      <c r="P11" s="9" t="str">
        <v>January</v>
      </c>
      <c r="Q11" s="9">
        <v>1</v>
      </c>
      <c r="R11" s="9" t="str">
        <v>3001011375 -</v>
      </c>
      <c r="S11" s="9">
        <v>45642</v>
      </c>
      <c r="T11" s="9">
        <v>58000</v>
      </c>
      <c r="U11" s="9" t="str">
        <v>January</v>
      </c>
      <c r="V11" s="9">
        <v>0</v>
      </c>
      <c r="W11" s="9" t="str">
        <v>Already booked in Dec-25 remove from offer funnel</v>
      </c>
      <c r="X11" s="9">
        <v>0</v>
      </c>
      <c r="Y11" s="9" t="str">
        <v>31/12/2204</v>
      </c>
      <c r="Z11" s="9" t="str">
        <v>April</v>
      </c>
      <c r="AA11" s="9">
        <v>3188580</v>
      </c>
      <c r="AB11" s="9">
        <v>2496685</v>
      </c>
    </row>
    <row r="12" spans="1:28">
      <c r="A12" s="9">
        <v>3</v>
      </c>
      <c r="B12" s="9">
        <v>45901</v>
      </c>
      <c r="C12" s="9" t="str">
        <v>Cello Household Products</v>
      </c>
      <c r="D12" s="9" t="str">
        <v>Daman</v>
      </c>
      <c r="E12" s="9" t="str">
        <v>Production</v>
      </c>
      <c r="F12" s="9" t="str">
        <v>Rakesh Shah</v>
      </c>
      <c r="G12" s="9">
        <v>9377283473</v>
      </c>
      <c r="H12" s="9" t="str">
        <v>rakesh.shah@celloworld.com</v>
      </c>
      <c r="I12" s="9" t="str">
        <v>16004134/001</v>
      </c>
      <c r="J12" s="9" t="str">
        <v>Contract</v>
      </c>
      <c r="K12" s="9" t="str">
        <v>No</v>
      </c>
      <c r="L12" s="9" t="str">
        <v>KXIND/W/MV/MC/24086</v>
      </c>
      <c r="M12" s="9">
        <v>45575</v>
      </c>
      <c r="N12" s="9">
        <v>85500</v>
      </c>
      <c r="O12" s="9" t="str">
        <v>January</v>
      </c>
      <c r="P12" s="9">
        <v>0</v>
      </c>
      <c r="Q12" s="9">
        <v>0.5</v>
      </c>
      <c r="R12" s="9">
        <v>0</v>
      </c>
      <c r="S12" s="9">
        <v>0</v>
      </c>
      <c r="T12" s="9">
        <v>0</v>
      </c>
      <c r="U12" s="9">
        <v>0</v>
      </c>
      <c r="V12" s="9">
        <v>85500</v>
      </c>
      <c r="W12" s="9">
        <v>0</v>
      </c>
      <c r="X12" s="9">
        <v>0</v>
      </c>
      <c r="Y12" s="9">
        <v>0</v>
      </c>
      <c r="Z12" s="9" t="str">
        <v>May</v>
      </c>
      <c r="AA12" s="9">
        <v>2088450</v>
      </c>
      <c r="AB12" s="9">
        <v>2314237</v>
      </c>
    </row>
    <row r="13" spans="1:28">
      <c r="A13" s="9">
        <v>4</v>
      </c>
      <c r="B13" s="9">
        <v>45901</v>
      </c>
      <c r="C13" s="9" t="str">
        <v>Jaiko Industries Ltd</v>
      </c>
      <c r="D13" s="9" t="str">
        <v>Ankleshwar</v>
      </c>
      <c r="E13" s="9" t="str">
        <v>Plant Head</v>
      </c>
      <c r="F13" s="9" t="str">
        <v>Vinod Mahajan</v>
      </c>
      <c r="G13" s="9">
        <v>9426806524</v>
      </c>
      <c r="H13" s="9" t="str">
        <v>jaikoindustries2011@gmail.com</v>
      </c>
      <c r="I13" s="9" t="str">
        <v>10007105/001</v>
      </c>
      <c r="J13" s="9" t="str">
        <v>Contract</v>
      </c>
      <c r="K13" s="9" t="str">
        <v>No</v>
      </c>
      <c r="L13" s="9" t="str">
        <v>KXIND/W/MV/MC/24087</v>
      </c>
      <c r="M13" s="9">
        <v>45575</v>
      </c>
      <c r="N13" s="9">
        <v>86000</v>
      </c>
      <c r="O13" s="9" t="str">
        <v>January</v>
      </c>
      <c r="P13" s="9" t="str">
        <v>January</v>
      </c>
      <c r="Q13" s="9">
        <v>1</v>
      </c>
      <c r="R13" s="9" t="str">
        <v>P240771</v>
      </c>
      <c r="S13" s="9">
        <v>45362</v>
      </c>
      <c r="T13" s="9">
        <v>86000</v>
      </c>
      <c r="U13" s="9" t="str">
        <v>January</v>
      </c>
      <c r="V13" s="9">
        <v>0</v>
      </c>
      <c r="W13" s="9">
        <v>0</v>
      </c>
      <c r="X13" s="9">
        <v>0</v>
      </c>
      <c r="Y13" s="9">
        <v>0</v>
      </c>
      <c r="Z13" s="9" t="str">
        <v>June</v>
      </c>
      <c r="AA13" s="9">
        <v>423600</v>
      </c>
      <c r="AB13" s="9">
        <v>1813295</v>
      </c>
    </row>
    <row r="14" spans="1:28">
      <c r="A14" s="9">
        <v>5</v>
      </c>
      <c r="B14" s="9">
        <v>45901</v>
      </c>
      <c r="C14" s="9" t="str">
        <v xml:space="preserve">JP Extrusiontech Ltd </v>
      </c>
      <c r="D14" s="9" t="str">
        <v>Ankleshwar</v>
      </c>
      <c r="E14" s="9" t="str">
        <v>Purchase</v>
      </c>
      <c r="F14" s="9" t="str">
        <v>Asish Biswas</v>
      </c>
      <c r="G14" s="9">
        <v>9924214600</v>
      </c>
      <c r="H14" s="9" t="str">
        <v>purchase@jpel.in</v>
      </c>
      <c r="I14" s="9" t="str">
        <v>13000085/001</v>
      </c>
      <c r="J14" s="9" t="str">
        <v>Contract</v>
      </c>
      <c r="K14" s="9" t="str">
        <v>No</v>
      </c>
      <c r="L14" s="9" t="str">
        <v>KXIND/W/MV/MC/24072</v>
      </c>
      <c r="M14" s="9">
        <v>45534</v>
      </c>
      <c r="N14" s="9">
        <v>86000</v>
      </c>
      <c r="O14" s="9" t="str">
        <v>January</v>
      </c>
      <c r="P14" s="9" t="str">
        <v>January</v>
      </c>
      <c r="Q14" s="9">
        <v>1</v>
      </c>
      <c r="R14" s="9" t="str">
        <v>P2401770</v>
      </c>
      <c r="S14" s="9">
        <v>45362</v>
      </c>
      <c r="T14" s="9">
        <v>86000</v>
      </c>
      <c r="U14" s="9" t="str">
        <v>January</v>
      </c>
      <c r="V14" s="9">
        <v>0</v>
      </c>
      <c r="W14" s="9">
        <v>0</v>
      </c>
      <c r="X14" s="9">
        <v>0</v>
      </c>
      <c r="Y14" s="9">
        <v>45810</v>
      </c>
      <c r="Z14" s="9" t="str">
        <v>July</v>
      </c>
      <c r="AA14" s="9">
        <v>3804436</v>
      </c>
      <c r="AB14" s="9">
        <v>200800</v>
      </c>
    </row>
    <row r="15" spans="1:28">
      <c r="A15" s="9">
        <v>6</v>
      </c>
      <c r="B15" s="9">
        <v>45901</v>
      </c>
      <c r="C15" s="9" t="str">
        <v>Turbo Energy Pvt Ltd</v>
      </c>
      <c r="D15" s="9" t="str">
        <v>Vadodara</v>
      </c>
      <c r="E15" s="9" t="str">
        <v>Maintenance</v>
      </c>
      <c r="F15" s="9" t="str">
        <v>Mr. Kabilan</v>
      </c>
      <c r="G15" s="9">
        <v>8072231531</v>
      </c>
      <c r="H15" s="9" t="str">
        <v>TEV_Utility@turboenergy.co.in</v>
      </c>
      <c r="I15" s="9" t="str">
        <v>18001203/001</v>
      </c>
      <c r="J15" s="9" t="str">
        <v>Contract</v>
      </c>
      <c r="K15" s="9" t="str">
        <v>NO</v>
      </c>
      <c r="L15" s="9" t="str">
        <v>KXIND/W/MV/MC/24103</v>
      </c>
      <c r="M15" s="9">
        <v>45639</v>
      </c>
      <c r="N15" s="9">
        <v>86000</v>
      </c>
      <c r="O15" s="9" t="str">
        <v>January</v>
      </c>
      <c r="P15" s="9" t="str">
        <v>January</v>
      </c>
      <c r="Q15" s="9">
        <v>1</v>
      </c>
      <c r="R15" s="9">
        <v>6800045052</v>
      </c>
      <c r="S15" s="9">
        <v>45839</v>
      </c>
      <c r="T15" s="9">
        <v>86000</v>
      </c>
      <c r="U15" s="9" t="str">
        <v>January</v>
      </c>
      <c r="V15" s="9">
        <v>0</v>
      </c>
      <c r="W15" s="9">
        <v>0</v>
      </c>
      <c r="X15" s="9">
        <v>0</v>
      </c>
      <c r="Y15" s="9" t="str">
        <v>17/2/2025</v>
      </c>
      <c r="Z15" s="9" t="str">
        <v>August</v>
      </c>
      <c r="AA15" s="9">
        <v>2520990</v>
      </c>
      <c r="AB15" s="9">
        <v>1965162</v>
      </c>
    </row>
    <row r="16" spans="1:28">
      <c r="A16" s="9">
        <v>7</v>
      </c>
      <c r="B16" s="9">
        <v>45901</v>
      </c>
      <c r="C16" s="9" t="str">
        <v>Hero Moto Corp Ltd.</v>
      </c>
      <c r="D16" s="9" t="str">
        <v>Vadodara</v>
      </c>
      <c r="E16" s="9" t="str">
        <v>Maitenance</v>
      </c>
      <c r="F16" s="9" t="str">
        <v>Rutvik Joshi</v>
      </c>
      <c r="G16" s="9">
        <v>9974002322</v>
      </c>
      <c r="H16" s="9" t="str">
        <v>rutviksanjay.joshi@heromotocorp.com</v>
      </c>
      <c r="I16" s="9" t="str">
        <v>15006703/001</v>
      </c>
      <c r="J16" s="9" t="str">
        <v>Contract</v>
      </c>
      <c r="K16" s="9" t="str">
        <v>No</v>
      </c>
      <c r="L16" s="9" t="str">
        <v>KXIND/W/MV/MC/24075</v>
      </c>
      <c r="M16" s="9">
        <v>45534</v>
      </c>
      <c r="N16" s="9">
        <v>85000</v>
      </c>
      <c r="O16" s="9" t="str">
        <v>January</v>
      </c>
      <c r="P16" s="9" t="str">
        <v>January</v>
      </c>
      <c r="Q16" s="9">
        <v>1</v>
      </c>
      <c r="R16" s="9">
        <v>2710000006</v>
      </c>
      <c r="S16" s="9">
        <v>45574</v>
      </c>
      <c r="T16" s="9">
        <v>85000</v>
      </c>
      <c r="U16" s="9" t="str">
        <v>January</v>
      </c>
      <c r="V16" s="9">
        <v>0</v>
      </c>
      <c r="W16" s="9">
        <v>0</v>
      </c>
      <c r="X16" s="9">
        <v>0</v>
      </c>
      <c r="Y16" s="9">
        <v>0</v>
      </c>
      <c r="Z16" s="9" t="str">
        <v>September</v>
      </c>
      <c r="AA16" s="9">
        <v>1714900</v>
      </c>
      <c r="AB16" s="9">
        <v>1369223</v>
      </c>
    </row>
    <row r="17" spans="1:28">
      <c r="A17" s="9">
        <v>0</v>
      </c>
      <c r="B17" s="9">
        <v>0</v>
      </c>
      <c r="C17" s="9" t="str">
        <v>Hero Moto Corp Ltd.</v>
      </c>
      <c r="D17" s="9" t="str">
        <v>Vadodara</v>
      </c>
      <c r="E17" s="9" t="str">
        <v>Maitenance</v>
      </c>
      <c r="F17" s="9" t="str">
        <v>Rutvik Joshi</v>
      </c>
      <c r="G17" s="9">
        <v>9974002322</v>
      </c>
      <c r="H17" s="9" t="str">
        <v>rutviksanjay.joshi@heromotocorp.com</v>
      </c>
      <c r="I17" s="9" t="str">
        <v>15006703/002</v>
      </c>
      <c r="J17" s="9" t="str">
        <v>Contract</v>
      </c>
      <c r="K17" s="9" t="str">
        <v>No</v>
      </c>
      <c r="L17" s="9" t="str">
        <v>KXIND/W/MV/MC/24075</v>
      </c>
      <c r="M17" s="9">
        <v>45534</v>
      </c>
      <c r="N17" s="9">
        <v>85000</v>
      </c>
      <c r="O17" s="9" t="str">
        <v>January</v>
      </c>
      <c r="P17" s="9" t="str">
        <v>January</v>
      </c>
      <c r="Q17" s="9">
        <v>1</v>
      </c>
      <c r="R17" s="9">
        <v>2710000006</v>
      </c>
      <c r="S17" s="9">
        <v>45574</v>
      </c>
      <c r="T17" s="9">
        <v>85000</v>
      </c>
      <c r="U17" s="9" t="str">
        <v>January</v>
      </c>
      <c r="V17" s="9">
        <v>0</v>
      </c>
      <c r="W17" s="9">
        <v>0</v>
      </c>
      <c r="X17" s="9">
        <v>0</v>
      </c>
      <c r="Y17" s="9">
        <v>0</v>
      </c>
      <c r="Z17" s="9" t="str">
        <v>October</v>
      </c>
      <c r="AA17" s="9">
        <v>3875820</v>
      </c>
      <c r="AB17" s="9">
        <v>3303797</v>
      </c>
    </row>
    <row r="18" spans="1:28">
      <c r="A18" s="9">
        <v>8</v>
      </c>
      <c r="B18" s="9">
        <v>45689</v>
      </c>
      <c r="C18" s="9" t="str">
        <v>Rotomotive Powerdrives India Ltd</v>
      </c>
      <c r="D18" s="9" t="str">
        <v>Anand</v>
      </c>
      <c r="E18" s="9" t="str">
        <v>Production</v>
      </c>
      <c r="F18" s="9" t="str">
        <v>Hitesh Patel</v>
      </c>
      <c r="G18" s="9">
        <v>9824637297</v>
      </c>
      <c r="H18" s="9" t="str">
        <v>prod-gbx@rotomotive.com</v>
      </c>
      <c r="I18" s="9" t="str">
        <v>11008006/001</v>
      </c>
      <c r="J18" s="9" t="str">
        <v>Relocation</v>
      </c>
      <c r="K18" s="9" t="str">
        <v>No</v>
      </c>
      <c r="L18" s="9" t="str">
        <v>KXIND/W/MV/RE/25001</v>
      </c>
      <c r="M18" s="9">
        <v>45689</v>
      </c>
      <c r="N18" s="9">
        <v>350000</v>
      </c>
      <c r="O18" s="9" t="str">
        <v>January</v>
      </c>
      <c r="P18" s="9" t="str">
        <v>February</v>
      </c>
      <c r="Q18" s="9">
        <v>1</v>
      </c>
      <c r="R18" s="9" t="str">
        <v>PO/24/05048</v>
      </c>
      <c r="S18" s="9" t="str">
        <v>28/01/2025</v>
      </c>
      <c r="T18" s="9">
        <v>322000</v>
      </c>
      <c r="U18" s="9" t="str">
        <v>February</v>
      </c>
      <c r="V18" s="9">
        <v>0</v>
      </c>
      <c r="W18" s="9">
        <v>0</v>
      </c>
      <c r="X18" s="9">
        <v>0</v>
      </c>
      <c r="Y18" s="9">
        <v>0</v>
      </c>
      <c r="Z18" s="9" t="str">
        <v>November</v>
      </c>
      <c r="AA18" s="9">
        <v>1175400</v>
      </c>
      <c r="AB18" s="9">
        <v>507710</v>
      </c>
    </row>
    <row r="19" spans="1:28">
      <c r="A19" s="9">
        <v>9</v>
      </c>
      <c r="B19" s="9">
        <v>45901</v>
      </c>
      <c r="C19" s="9" t="str">
        <v>Elecon Engg Co Ltd</v>
      </c>
      <c r="D19" s="9" t="str">
        <v>Anand</v>
      </c>
      <c r="E19" s="9" t="str">
        <v>Maintenance</v>
      </c>
      <c r="F19" s="9" t="str">
        <v>Darshan Upadhyay</v>
      </c>
      <c r="G19" s="9">
        <v>9723071561</v>
      </c>
      <c r="H19" s="9" t="str">
        <v>daupadhyay@akaaish.com</v>
      </c>
      <c r="I19" s="9" t="str">
        <v>03007902/001</v>
      </c>
      <c r="J19" s="9" t="str">
        <v>SPP</v>
      </c>
      <c r="K19" s="9" t="str">
        <v>NO</v>
      </c>
      <c r="L19" s="9" t="str">
        <v>KXIND/W/MV/SPP/24100</v>
      </c>
      <c r="M19" s="9">
        <v>45639</v>
      </c>
      <c r="N19" s="9">
        <v>45200</v>
      </c>
      <c r="O19" s="9" t="str">
        <v>January</v>
      </c>
      <c r="P19" s="9" t="str">
        <v>January</v>
      </c>
      <c r="Q19" s="9">
        <v>1</v>
      </c>
      <c r="R19" s="9" t="str">
        <v>659391/0</v>
      </c>
      <c r="S19" s="9">
        <v>45652</v>
      </c>
      <c r="T19" s="9">
        <v>43392</v>
      </c>
      <c r="U19" s="9" t="str">
        <v>January</v>
      </c>
      <c r="V19" s="9">
        <v>0</v>
      </c>
      <c r="W19" s="9">
        <v>0</v>
      </c>
      <c r="X19" s="9">
        <v>0</v>
      </c>
      <c r="Y19" s="9" t="str">
        <v>30/1/2025</v>
      </c>
      <c r="Z19" s="9" t="str">
        <v>December</v>
      </c>
      <c r="AA19" s="9">
        <v>1442500</v>
      </c>
      <c r="AB19" s="9">
        <v>820814</v>
      </c>
    </row>
    <row r="20" spans="1:28">
      <c r="A20" s="9">
        <v>10</v>
      </c>
      <c r="B20" s="9">
        <v>45870</v>
      </c>
      <c r="C20" s="9" t="str">
        <v>Elecon Engg Co Ltd</v>
      </c>
      <c r="D20" s="9" t="str">
        <v>Anand</v>
      </c>
      <c r="E20" s="9" t="str">
        <v>Purchase</v>
      </c>
      <c r="F20" s="9" t="str">
        <v>Gawrang Soni</v>
      </c>
      <c r="G20" s="9">
        <v>8160147583</v>
      </c>
      <c r="H20" s="9" t="str">
        <v>gjsoni@elecon.com</v>
      </c>
      <c r="I20" s="9" t="str">
        <v>03007902/001</v>
      </c>
      <c r="J20" s="9" t="str">
        <v>SPP</v>
      </c>
      <c r="K20" s="9" t="str">
        <v>Yes</v>
      </c>
      <c r="L20" s="9" t="str">
        <v>KXIND/W/MV/SPP/25002</v>
      </c>
      <c r="M20" s="9">
        <v>45870</v>
      </c>
      <c r="N20" s="9">
        <v>83000</v>
      </c>
      <c r="O20" s="9" t="str">
        <v>January</v>
      </c>
      <c r="P20" s="9" t="str">
        <v>January</v>
      </c>
      <c r="Q20" s="9">
        <v>1</v>
      </c>
      <c r="R20" s="9" t="str">
        <v>661955/0</v>
      </c>
      <c r="S20" s="9">
        <v>45870</v>
      </c>
      <c r="T20" s="9">
        <v>83000</v>
      </c>
      <c r="U20" s="9" t="str">
        <v>January</v>
      </c>
      <c r="V20" s="9">
        <v>0</v>
      </c>
      <c r="W20" s="9">
        <v>0</v>
      </c>
      <c r="X20" s="9">
        <v>0</v>
      </c>
      <c r="Y20" s="9" t="str">
        <v>16/1/2025</v>
      </c>
    </row>
    <row r="21" spans="1:28">
      <c r="A21" s="9">
        <v>11</v>
      </c>
      <c r="B21" s="9">
        <v>45901</v>
      </c>
      <c r="C21" s="9" t="str">
        <v>Power Build  Ltd</v>
      </c>
      <c r="D21" s="9" t="str">
        <v>Anand</v>
      </c>
      <c r="E21" s="9" t="str">
        <v>Maitenance</v>
      </c>
      <c r="F21" s="9" t="str">
        <v>Alpesh J.Thakkar</v>
      </c>
      <c r="G21" s="9" t="str">
        <v>98795 07642</v>
      </c>
      <c r="H21" s="9" t="str">
        <v>ajthakkar@akaaish.com</v>
      </c>
      <c r="I21" s="9" t="str">
        <v>02002802/001</v>
      </c>
      <c r="J21" s="9" t="str">
        <v>SPP</v>
      </c>
      <c r="K21" s="9" t="str">
        <v>Yes</v>
      </c>
      <c r="L21" s="9" t="str">
        <v>KXIND/W/MV/MLU/24090</v>
      </c>
      <c r="M21" s="9">
        <v>45588</v>
      </c>
      <c r="N21" s="9">
        <v>927200</v>
      </c>
      <c r="O21" s="9" t="str">
        <v>January</v>
      </c>
      <c r="P21" s="9" t="str">
        <v>January</v>
      </c>
      <c r="Q21" s="9">
        <v>1</v>
      </c>
      <c r="R21" s="9" t="str">
        <v>2411048818/0</v>
      </c>
      <c r="S21" s="9">
        <v>45611</v>
      </c>
      <c r="T21" s="9">
        <v>853024</v>
      </c>
      <c r="U21" s="9" t="str">
        <v>January</v>
      </c>
      <c r="V21" s="9">
        <v>0</v>
      </c>
      <c r="W21" s="9">
        <v>0</v>
      </c>
      <c r="X21" s="9">
        <v>0</v>
      </c>
      <c r="Y21" s="9" t="str">
        <v>16/1/2025</v>
      </c>
    </row>
    <row r="22" spans="1:28">
      <c r="A22" s="9">
        <v>12</v>
      </c>
      <c r="B22" s="9">
        <v>45901</v>
      </c>
      <c r="C22" s="9" t="str">
        <v>KHS Machinery Pvt Ltd</v>
      </c>
      <c r="D22" s="9" t="str">
        <v>Ahmadabad</v>
      </c>
      <c r="E22" s="9" t="str">
        <v>Maintenance</v>
      </c>
      <c r="F22" s="9" t="str">
        <v>Biresh Banerjee</v>
      </c>
      <c r="G22" s="9">
        <v>9898646272</v>
      </c>
      <c r="H22" s="9" t="str">
        <v>Biresh.Banerjee@khs.com</v>
      </c>
      <c r="I22" s="9" t="str">
        <v>06007041/001</v>
      </c>
      <c r="J22" s="9" t="str">
        <v>Contract</v>
      </c>
      <c r="K22" s="9" t="str">
        <v>NO</v>
      </c>
      <c r="L22" s="9" t="str">
        <v>KXIND/W/MV/MC/24104</v>
      </c>
      <c r="M22" s="9">
        <v>45639</v>
      </c>
      <c r="N22" s="9">
        <v>52500</v>
      </c>
      <c r="O22" s="9" t="str">
        <v>January</v>
      </c>
      <c r="P22" s="9" t="str">
        <v>January</v>
      </c>
      <c r="Q22" s="9">
        <v>1</v>
      </c>
      <c r="R22" s="9" t="str">
        <v>91029375 -</v>
      </c>
      <c r="S22" s="9">
        <v>45640</v>
      </c>
      <c r="T22" s="9">
        <v>52500</v>
      </c>
      <c r="U22" s="9" t="str">
        <v>January</v>
      </c>
      <c r="V22" s="9">
        <v>0</v>
      </c>
      <c r="W22" s="9" t="str">
        <v>Already booked in Dec-25 remove from offer funnel</v>
      </c>
      <c r="X22" s="9">
        <v>0</v>
      </c>
      <c r="Y22" s="9" t="str">
        <v>31/12/2024</v>
      </c>
    </row>
    <row r="23" spans="1:28">
      <c r="A23" s="9">
        <v>0</v>
      </c>
      <c r="B23" s="9">
        <v>0</v>
      </c>
      <c r="C23" s="9" t="str">
        <v>KHS Machinery Pvt Ltd</v>
      </c>
      <c r="D23" s="9" t="str">
        <v>Ahmadabad</v>
      </c>
      <c r="E23" s="9" t="str">
        <v>Maintenance</v>
      </c>
      <c r="F23" s="9" t="str">
        <v>Biresh Banerjee</v>
      </c>
      <c r="G23" s="9">
        <v>9898646272</v>
      </c>
      <c r="H23" s="9" t="str">
        <v>Biresh.Banerjee@khs.com</v>
      </c>
      <c r="I23" s="9" t="str">
        <v>06007041/002</v>
      </c>
      <c r="J23" s="9" t="str">
        <v>Contract</v>
      </c>
      <c r="K23" s="9" t="str">
        <v>NO</v>
      </c>
      <c r="L23" s="9" t="str">
        <v>KXIND/W/MV/MC/24104</v>
      </c>
      <c r="M23" s="9">
        <v>45639</v>
      </c>
      <c r="N23" s="9">
        <v>52500</v>
      </c>
      <c r="O23" s="9" t="str">
        <v>January</v>
      </c>
      <c r="P23" s="9" t="str">
        <v>January</v>
      </c>
      <c r="Q23" s="9">
        <v>1</v>
      </c>
      <c r="R23" s="9" t="str">
        <v>91029375 -</v>
      </c>
      <c r="S23" s="9">
        <v>45640</v>
      </c>
      <c r="T23" s="9">
        <v>52500</v>
      </c>
      <c r="U23" s="9" t="str">
        <v>January</v>
      </c>
      <c r="V23" s="9">
        <v>0</v>
      </c>
      <c r="W23" s="9" t="str">
        <v>Already booked in Dec-25 remove from offer funnel</v>
      </c>
      <c r="X23" s="9">
        <v>0</v>
      </c>
      <c r="Y23" s="9" t="str">
        <v>31/12/2024</v>
      </c>
    </row>
    <row r="24" spans="1:28">
      <c r="A24" s="9">
        <v>0</v>
      </c>
      <c r="B24" s="9">
        <v>0</v>
      </c>
      <c r="C24" s="9" t="str">
        <v>KHS Machinery Pvt Ltd</v>
      </c>
      <c r="D24" s="9" t="str">
        <v>Ahmadabad</v>
      </c>
      <c r="E24" s="9" t="str">
        <v>Maintenance</v>
      </c>
      <c r="F24" s="9" t="str">
        <v>Biresh Banerjee</v>
      </c>
      <c r="G24" s="9">
        <v>9898646272</v>
      </c>
      <c r="H24" s="9" t="str">
        <v>Biresh.Banerjee@khs.com</v>
      </c>
      <c r="I24" s="9" t="str">
        <v>06007041/003</v>
      </c>
      <c r="J24" s="9" t="str">
        <v>Contract</v>
      </c>
      <c r="K24" s="9" t="str">
        <v>NO</v>
      </c>
      <c r="L24" s="9" t="str">
        <v>KXIND/W/MV/MC/24104</v>
      </c>
      <c r="M24" s="9">
        <v>45639</v>
      </c>
      <c r="N24" s="9">
        <v>52500</v>
      </c>
      <c r="O24" s="9" t="str">
        <v>January</v>
      </c>
      <c r="P24" s="9" t="str">
        <v>January</v>
      </c>
      <c r="Q24" s="9">
        <v>1</v>
      </c>
      <c r="R24" s="9" t="str">
        <v>91029375 -</v>
      </c>
      <c r="S24" s="9">
        <v>45640</v>
      </c>
      <c r="T24" s="9">
        <v>52500</v>
      </c>
      <c r="U24" s="9" t="str">
        <v>January</v>
      </c>
      <c r="V24" s="9">
        <v>0</v>
      </c>
      <c r="W24" s="9" t="str">
        <v>Already booked in Dec-25 remove from offer funnel</v>
      </c>
      <c r="X24" s="9">
        <v>0</v>
      </c>
      <c r="Y24" s="9" t="str">
        <v>31/12/2024</v>
      </c>
    </row>
    <row r="25" spans="1:28">
      <c r="A25" s="9">
        <v>0</v>
      </c>
      <c r="B25" s="9">
        <v>0</v>
      </c>
      <c r="C25" s="9" t="str">
        <v>KHS Machinery Pvt Ltd</v>
      </c>
      <c r="D25" s="9" t="str">
        <v>Ahmadabad</v>
      </c>
      <c r="E25" s="9" t="str">
        <v>Maintenance</v>
      </c>
      <c r="F25" s="9" t="str">
        <v>Biresh Banerjee</v>
      </c>
      <c r="G25" s="9">
        <v>9898646272</v>
      </c>
      <c r="H25" s="9" t="str">
        <v>Biresh.Banerjee@khs.com</v>
      </c>
      <c r="I25" s="9" t="str">
        <v>06007041/004</v>
      </c>
      <c r="J25" s="9" t="str">
        <v>Contract</v>
      </c>
      <c r="K25" s="9" t="str">
        <v>NO</v>
      </c>
      <c r="L25" s="9" t="str">
        <v>KXIND/W/MV/MC/24104</v>
      </c>
      <c r="M25" s="9">
        <v>45639</v>
      </c>
      <c r="N25" s="9">
        <v>52500</v>
      </c>
      <c r="O25" s="9" t="str">
        <v>January</v>
      </c>
      <c r="P25" s="9" t="str">
        <v>January</v>
      </c>
      <c r="Q25" s="9">
        <v>1</v>
      </c>
      <c r="R25" s="9" t="str">
        <v>91029375 -</v>
      </c>
      <c r="S25" s="9">
        <v>45640</v>
      </c>
      <c r="T25" s="9">
        <v>52500</v>
      </c>
      <c r="U25" s="9" t="str">
        <v>January</v>
      </c>
      <c r="V25" s="9">
        <v>0</v>
      </c>
      <c r="W25" s="9" t="str">
        <v>Already booked in Dec-25 remove from offer funnel</v>
      </c>
      <c r="X25" s="9">
        <v>0</v>
      </c>
      <c r="Y25" s="9" t="str">
        <v>31/12/2024</v>
      </c>
    </row>
    <row r="26" spans="1:28">
      <c r="A26" s="9">
        <v>0</v>
      </c>
      <c r="B26" s="9">
        <v>0</v>
      </c>
      <c r="C26" s="9" t="str">
        <v>KHS Machinery Pvt Ltd</v>
      </c>
      <c r="D26" s="9" t="str">
        <v>Ahmadabad</v>
      </c>
      <c r="E26" s="9" t="str">
        <v>Maintenance</v>
      </c>
      <c r="F26" s="9" t="str">
        <v>Biresh Banerjee</v>
      </c>
      <c r="G26" s="9">
        <v>9898646272</v>
      </c>
      <c r="H26" s="9" t="str">
        <v>Biresh.Banerjee@khs.com</v>
      </c>
      <c r="I26" s="9" t="str">
        <v>06007041/005</v>
      </c>
      <c r="J26" s="9" t="str">
        <v>Contract</v>
      </c>
      <c r="K26" s="9" t="str">
        <v>NO</v>
      </c>
      <c r="L26" s="9" t="str">
        <v>KXIND/W/MV/MC/24104</v>
      </c>
      <c r="M26" s="9">
        <v>45639</v>
      </c>
      <c r="N26" s="9">
        <v>52500</v>
      </c>
      <c r="O26" s="9" t="str">
        <v>January</v>
      </c>
      <c r="P26" s="9" t="str">
        <v>January</v>
      </c>
      <c r="Q26" s="9">
        <v>1</v>
      </c>
      <c r="R26" s="9" t="str">
        <v>91029375 -</v>
      </c>
      <c r="S26" s="9">
        <v>45640</v>
      </c>
      <c r="T26" s="9">
        <v>52500</v>
      </c>
      <c r="U26" s="9" t="str">
        <v>January</v>
      </c>
      <c r="V26" s="9">
        <v>0</v>
      </c>
      <c r="W26" s="9" t="str">
        <v>Already booked in Dec-25 remove from offer funnel</v>
      </c>
      <c r="X26" s="9">
        <v>0</v>
      </c>
      <c r="Y26" s="9" t="str">
        <v>31/12/2024</v>
      </c>
    </row>
    <row r="27" spans="1:28">
      <c r="A27" s="9">
        <v>13</v>
      </c>
      <c r="B27" s="9">
        <v>45901</v>
      </c>
      <c r="C27" s="9" t="str">
        <v>Ferromatik Milacron India Ltd (Milacron India Pvt ltd)</v>
      </c>
      <c r="D27" s="9" t="str">
        <v>Ahmadabad</v>
      </c>
      <c r="E27" s="9" t="str">
        <v>Maintenance</v>
      </c>
      <c r="F27" s="9" t="str">
        <v>Kalpesh Panchal</v>
      </c>
      <c r="G27" s="9">
        <v>9722013361</v>
      </c>
      <c r="H27" s="9" t="str">
        <v>Kalpesh_Panchal@milacron.com</v>
      </c>
      <c r="I27" s="9" t="str">
        <v>11002444/001</v>
      </c>
      <c r="J27" s="9" t="str">
        <v>Contract</v>
      </c>
      <c r="K27" s="9" t="str">
        <v>No</v>
      </c>
      <c r="L27" s="9" t="str">
        <v>KXIND/W/MV/MC/24094 - R1</v>
      </c>
      <c r="M27" s="9">
        <v>45681</v>
      </c>
      <c r="N27" s="9">
        <v>53000</v>
      </c>
      <c r="O27" s="9" t="str">
        <v>January</v>
      </c>
      <c r="P27" s="9" t="str">
        <v>January</v>
      </c>
      <c r="Q27" s="9">
        <v>1</v>
      </c>
      <c r="R27" s="9" t="str">
        <v>30010283/O2/24152993</v>
      </c>
      <c r="S27" s="9">
        <v>45686</v>
      </c>
      <c r="T27" s="9">
        <v>53000</v>
      </c>
      <c r="U27" s="9" t="str">
        <v>January</v>
      </c>
      <c r="V27" s="9">
        <v>0</v>
      </c>
      <c r="W27" s="9">
        <v>0</v>
      </c>
      <c r="X27" s="9">
        <v>0</v>
      </c>
      <c r="Y27" s="9">
        <v>0</v>
      </c>
    </row>
    <row r="28" spans="1:28">
      <c r="A28" s="9">
        <v>0</v>
      </c>
      <c r="B28" s="9">
        <v>0</v>
      </c>
      <c r="C28" s="9" t="str">
        <v>Ferromatik Milacron India Ltd (Milacron India Pvt ltd)</v>
      </c>
      <c r="D28" s="9" t="str">
        <v>Ahmadabad</v>
      </c>
      <c r="E28" s="9" t="str">
        <v>Maintenance</v>
      </c>
      <c r="F28" s="9" t="str">
        <v>Kalpesh Panchal</v>
      </c>
      <c r="G28" s="9">
        <v>9722013361</v>
      </c>
      <c r="H28" s="9" t="str">
        <v>Kalpesh_Panchal@milacron.com</v>
      </c>
      <c r="I28" s="9" t="str">
        <v>11002457/001</v>
      </c>
      <c r="J28" s="9" t="str">
        <v>Contract</v>
      </c>
      <c r="K28" s="9" t="str">
        <v>No</v>
      </c>
      <c r="L28" s="9" t="str">
        <v>KXIND/W/MV/MC/24094 - R1</v>
      </c>
      <c r="M28" s="9">
        <v>45681</v>
      </c>
      <c r="N28" s="9">
        <v>53000</v>
      </c>
      <c r="O28" s="9" t="str">
        <v>January</v>
      </c>
      <c r="P28" s="9" t="str">
        <v>January</v>
      </c>
      <c r="Q28" s="9">
        <v>1</v>
      </c>
      <c r="R28" s="9" t="str">
        <v>30010283/O2/24152993</v>
      </c>
      <c r="S28" s="9">
        <v>45686</v>
      </c>
      <c r="T28" s="9">
        <v>53000</v>
      </c>
      <c r="U28" s="9" t="str">
        <v>January</v>
      </c>
      <c r="V28" s="9">
        <v>0</v>
      </c>
      <c r="W28" s="9">
        <v>0</v>
      </c>
      <c r="X28" s="9">
        <v>0</v>
      </c>
      <c r="Y28" s="9">
        <v>0</v>
      </c>
    </row>
    <row r="29" spans="1:28">
      <c r="A29" s="9">
        <v>0</v>
      </c>
      <c r="B29" s="9">
        <v>0</v>
      </c>
      <c r="C29" s="9" t="str">
        <v>Ferromatik Milacron India Ltd (Milacron India Pvt ltd)</v>
      </c>
      <c r="D29" s="9" t="str">
        <v>Ahmadabad</v>
      </c>
      <c r="E29" s="9" t="str">
        <v>Maintenance</v>
      </c>
      <c r="F29" s="9" t="str">
        <v>Kalpesh Panchal</v>
      </c>
      <c r="G29" s="9">
        <v>9722013361</v>
      </c>
      <c r="H29" s="9" t="str">
        <v>Kalpesh_Panchal@milacron.com</v>
      </c>
      <c r="I29" s="9" t="str">
        <v>10003923/001</v>
      </c>
      <c r="J29" s="9" t="str">
        <v>Contract</v>
      </c>
      <c r="K29" s="9" t="str">
        <v>No</v>
      </c>
      <c r="L29" s="9" t="str">
        <v>KXIND/W/MV/MC/24094 - R1</v>
      </c>
      <c r="M29" s="9">
        <v>45681</v>
      </c>
      <c r="N29" s="9">
        <v>53000</v>
      </c>
      <c r="O29" s="9" t="str">
        <v>January</v>
      </c>
      <c r="P29" s="9" t="str">
        <v>January</v>
      </c>
      <c r="Q29" s="9">
        <v>1</v>
      </c>
      <c r="R29" s="9" t="str">
        <v>30010283/O2/24152993</v>
      </c>
      <c r="S29" s="9">
        <v>45686</v>
      </c>
      <c r="T29" s="9">
        <v>53000</v>
      </c>
      <c r="U29" s="9" t="str">
        <v>January</v>
      </c>
      <c r="V29" s="9">
        <v>0</v>
      </c>
      <c r="W29" s="9">
        <v>0</v>
      </c>
      <c r="X29" s="9">
        <v>0</v>
      </c>
      <c r="Y29" s="9">
        <v>0</v>
      </c>
    </row>
    <row r="30" spans="1:28">
      <c r="A30" s="9">
        <v>14</v>
      </c>
      <c r="B30" s="9">
        <v>45901</v>
      </c>
      <c r="C30" s="9" t="str">
        <v>Prashant Ferber Logistics Automation Pvt Ltd (Prashant Gamatex Pvt Ltd)</v>
      </c>
      <c r="D30" s="9" t="str">
        <v>Ahmadabad</v>
      </c>
      <c r="E30" s="9" t="str">
        <v>Purchase</v>
      </c>
      <c r="F30" s="9" t="str">
        <v>Ghanshyam Borse</v>
      </c>
      <c r="G30" s="9">
        <v>7874699823</v>
      </c>
      <c r="H30" s="9" t="str">
        <v>c-purchase@prashantgroup.com</v>
      </c>
      <c r="I30" s="9" t="str">
        <v>12006388/001</v>
      </c>
      <c r="J30" s="9" t="str">
        <v>Contract</v>
      </c>
      <c r="K30" s="9" t="str">
        <v>NO</v>
      </c>
      <c r="L30" s="9" t="str">
        <v>KXIND/W/MV/MC/24084</v>
      </c>
      <c r="M30" s="9">
        <v>45575</v>
      </c>
      <c r="N30" s="9">
        <v>52800</v>
      </c>
      <c r="O30" s="9" t="str">
        <v>January</v>
      </c>
      <c r="P30" s="9" t="str">
        <v>January</v>
      </c>
      <c r="Q30" s="9">
        <v>1</v>
      </c>
      <c r="R30" s="9" t="str">
        <v>SERVICE/30</v>
      </c>
      <c r="S30" s="9">
        <v>45394</v>
      </c>
      <c r="T30" s="9">
        <v>52800</v>
      </c>
      <c r="U30" s="9" t="str">
        <v>January</v>
      </c>
      <c r="V30" s="9">
        <v>0</v>
      </c>
      <c r="W30" s="9">
        <v>0</v>
      </c>
      <c r="X30" s="9">
        <v>0</v>
      </c>
      <c r="Y30" s="9">
        <v>45840</v>
      </c>
    </row>
    <row r="31" spans="1:28">
      <c r="A31" s="9">
        <v>15</v>
      </c>
      <c r="B31" s="9">
        <v>45901</v>
      </c>
      <c r="C31" s="9" t="str">
        <v>Truetzschler India Pvt Ltd</v>
      </c>
      <c r="D31" s="9" t="str">
        <v>Ahmadabad</v>
      </c>
      <c r="E31" s="9" t="str">
        <v>Maintenance</v>
      </c>
      <c r="F31" s="9" t="str">
        <v>Arun Kavta</v>
      </c>
      <c r="G31" s="9">
        <v>7046372509</v>
      </c>
      <c r="H31" s="9" t="str">
        <v>ankavta@truetzschler.in</v>
      </c>
      <c r="I31" s="9" t="str">
        <v>18001462/001</v>
      </c>
      <c r="J31" s="9" t="str">
        <v>Contract</v>
      </c>
      <c r="K31" s="9" t="str">
        <v>No</v>
      </c>
      <c r="L31" s="9" t="str">
        <v>KXIND/W/MV/MC/24098</v>
      </c>
      <c r="M31" s="9">
        <v>45623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</row>
    <row r="32" spans="1:28">
      <c r="A32" s="9">
        <v>16</v>
      </c>
      <c r="B32" s="9">
        <v>45901</v>
      </c>
      <c r="C32" s="9" t="str">
        <v>Truetzschler India Pvt Ltd</v>
      </c>
      <c r="D32" s="9" t="str">
        <v>Ahmadabad</v>
      </c>
      <c r="E32" s="9" t="str">
        <v>Maintenance</v>
      </c>
      <c r="F32" s="9" t="str">
        <v>Arun Kavta</v>
      </c>
      <c r="G32" s="9">
        <v>7046372509</v>
      </c>
      <c r="H32" s="9" t="str">
        <v>ankavta@truetzschler.in</v>
      </c>
      <c r="I32" s="9" t="str">
        <v>11001979/001</v>
      </c>
      <c r="J32" s="9" t="str">
        <v>Relocation</v>
      </c>
      <c r="K32" s="9" t="str">
        <v>No</v>
      </c>
      <c r="L32" s="9" t="str">
        <v>KXIND/W/MV/RE/24099 – R1</v>
      </c>
      <c r="M32" s="9">
        <v>45640</v>
      </c>
      <c r="N32" s="9">
        <v>370000</v>
      </c>
      <c r="O32" s="9" t="str">
        <v>January</v>
      </c>
      <c r="P32" s="9" t="str">
        <v>January</v>
      </c>
      <c r="Q32" s="9">
        <v>1</v>
      </c>
      <c r="R32" s="9" t="str">
        <v>P2406119</v>
      </c>
      <c r="S32" s="9">
        <v>45651</v>
      </c>
      <c r="T32" s="9">
        <v>370000</v>
      </c>
      <c r="U32" s="9" t="str">
        <v>January</v>
      </c>
      <c r="V32" s="9">
        <v>0</v>
      </c>
      <c r="W32" s="9">
        <v>0</v>
      </c>
      <c r="X32" s="9">
        <v>0</v>
      </c>
      <c r="Y32" s="9" t="str">
        <v>30/1/2025</v>
      </c>
    </row>
    <row r="33" spans="1:25">
      <c r="A33" s="9">
        <v>0</v>
      </c>
      <c r="B33" s="9">
        <v>0</v>
      </c>
      <c r="C33" s="9" t="str">
        <v>Truetzschler India Pvt Ltd</v>
      </c>
      <c r="D33" s="9" t="str">
        <v>Ahmadabad</v>
      </c>
      <c r="E33" s="9" t="str">
        <v>Maintenance</v>
      </c>
      <c r="F33" s="9" t="str">
        <v>Arun Kavta</v>
      </c>
      <c r="G33" s="9">
        <v>7046372509</v>
      </c>
      <c r="H33" s="9" t="str">
        <v>ankavta@truetzschler.in</v>
      </c>
      <c r="I33" s="9" t="str">
        <v>11001980/001</v>
      </c>
      <c r="J33" s="9" t="str">
        <v>Relocation</v>
      </c>
      <c r="K33" s="9" t="str">
        <v>No</v>
      </c>
      <c r="L33" s="9" t="str">
        <v>KXIND/W/MV/RE/24099 – R1</v>
      </c>
      <c r="M33" s="9">
        <v>45640</v>
      </c>
      <c r="N33" s="9">
        <v>370000</v>
      </c>
      <c r="O33" s="9" t="str">
        <v>January</v>
      </c>
      <c r="P33" s="9" t="str">
        <v>January</v>
      </c>
      <c r="Q33" s="9">
        <v>1</v>
      </c>
      <c r="R33" s="9" t="str">
        <v>P2406119</v>
      </c>
      <c r="S33" s="9">
        <v>45651</v>
      </c>
      <c r="T33" s="9">
        <v>370000</v>
      </c>
      <c r="U33" s="9" t="str">
        <v>January</v>
      </c>
      <c r="V33" s="9">
        <v>0</v>
      </c>
      <c r="W33" s="9">
        <v>0</v>
      </c>
      <c r="X33" s="9">
        <v>0</v>
      </c>
      <c r="Y33" s="9" t="str">
        <v>30/1/2025</v>
      </c>
    </row>
    <row r="34" spans="1:25">
      <c r="A34" s="9">
        <v>0</v>
      </c>
      <c r="B34" s="9">
        <v>0</v>
      </c>
      <c r="C34" s="9" t="str">
        <v>Truetzschler India Pvt Ltd</v>
      </c>
      <c r="D34" s="9" t="str">
        <v>Ahmadabad</v>
      </c>
      <c r="E34" s="9" t="str">
        <v>Maintenance</v>
      </c>
      <c r="F34" s="9" t="str">
        <v>Arun Kavta</v>
      </c>
      <c r="G34" s="9">
        <v>7046372509</v>
      </c>
      <c r="H34" s="9" t="str">
        <v>ankavta@truetzschler.in</v>
      </c>
      <c r="I34" s="9" t="str">
        <v>18001462/001</v>
      </c>
      <c r="J34" s="9" t="str">
        <v>Relocation</v>
      </c>
      <c r="K34" s="9" t="str">
        <v>No</v>
      </c>
      <c r="L34" s="9" t="str">
        <v>KXIND/W/MV/RE/24099 – R1</v>
      </c>
      <c r="M34" s="9">
        <v>45640</v>
      </c>
      <c r="N34" s="9">
        <v>370000</v>
      </c>
      <c r="O34" s="9" t="str">
        <v>January</v>
      </c>
      <c r="P34" s="9" t="str">
        <v>January</v>
      </c>
      <c r="Q34" s="9">
        <v>1</v>
      </c>
      <c r="R34" s="9" t="str">
        <v>P2406119</v>
      </c>
      <c r="S34" s="9">
        <v>45651</v>
      </c>
      <c r="T34" s="9">
        <v>370000</v>
      </c>
      <c r="U34" s="9" t="str">
        <v>January</v>
      </c>
      <c r="V34" s="9">
        <v>0</v>
      </c>
      <c r="W34" s="9">
        <v>0</v>
      </c>
      <c r="X34" s="9">
        <v>0</v>
      </c>
      <c r="Y34" s="9" t="str">
        <v>30/1/2025</v>
      </c>
    </row>
    <row r="35" spans="1:25">
      <c r="A35" s="9">
        <v>17</v>
      </c>
      <c r="B35" s="9">
        <v>45901</v>
      </c>
      <c r="C35" s="9" t="str">
        <v>Innovatec India Pvt ltd</v>
      </c>
      <c r="D35" s="9" t="str">
        <v>Ahmadabad</v>
      </c>
      <c r="E35" s="9" t="str">
        <v>Production</v>
      </c>
      <c r="F35" s="9" t="str">
        <v>Prasanna Manogaran</v>
      </c>
      <c r="G35" s="9">
        <v>8939560604</v>
      </c>
      <c r="H35" s="9" t="str">
        <v>prasanna.manogaran@fermator.com</v>
      </c>
      <c r="I35" s="9" t="str">
        <v>21008408/001</v>
      </c>
      <c r="J35" s="9" t="str">
        <v>Contract</v>
      </c>
      <c r="K35" s="9" t="str">
        <v>Yes</v>
      </c>
      <c r="L35" s="9" t="str">
        <v>KXIND/W/MV/MC/24083</v>
      </c>
      <c r="M35" s="9">
        <v>45556</v>
      </c>
      <c r="N35" s="9">
        <v>90000</v>
      </c>
      <c r="O35" s="9" t="str">
        <v>January</v>
      </c>
      <c r="P35" s="9" t="str">
        <v>June</v>
      </c>
      <c r="Q35" s="9">
        <v>1</v>
      </c>
      <c r="R35" s="9" t="str">
        <v>2025/67</v>
      </c>
      <c r="S35" s="9" t="str">
        <v>14/04/2025</v>
      </c>
      <c r="T35" s="9">
        <v>90000</v>
      </c>
      <c r="U35" s="9" t="str">
        <v>May</v>
      </c>
      <c r="V35" s="9">
        <v>0</v>
      </c>
      <c r="W35" s="9">
        <v>0</v>
      </c>
      <c r="X35" s="9">
        <v>0</v>
      </c>
      <c r="Y35" s="9">
        <v>0</v>
      </c>
    </row>
    <row r="36" spans="1:25">
      <c r="A36" s="9">
        <v>18</v>
      </c>
      <c r="B36" s="9">
        <v>45901</v>
      </c>
      <c r="C36" s="9" t="str">
        <v xml:space="preserve">Kirloskar brothers LTD </v>
      </c>
      <c r="D36" s="9" t="str">
        <v>sanand</v>
      </c>
      <c r="E36" s="9" t="str">
        <v>Maitenance</v>
      </c>
      <c r="F36" s="9" t="str">
        <v>Hiren Patel</v>
      </c>
      <c r="G36" s="9">
        <v>7624008077</v>
      </c>
      <c r="H36" s="9" t="str">
        <v>Hirenkumar.Patel@kbl.co.in</v>
      </c>
      <c r="I36" s="9" t="str">
        <v>17001433/003</v>
      </c>
      <c r="J36" s="9" t="str">
        <v>Contract</v>
      </c>
      <c r="K36" s="9" t="str">
        <v>Yes</v>
      </c>
      <c r="L36" s="9" t="str">
        <v>KXIND/W/MV/MC/24073</v>
      </c>
      <c r="M36" s="9">
        <v>45534</v>
      </c>
      <c r="N36" s="9">
        <v>71250</v>
      </c>
      <c r="O36" s="9" t="str">
        <v>January</v>
      </c>
      <c r="P36" s="9" t="str">
        <v>January</v>
      </c>
      <c r="Q36" s="9">
        <v>1</v>
      </c>
      <c r="R36" s="9" t="str">
        <v>1600029226 -</v>
      </c>
      <c r="S36" s="9">
        <v>45580</v>
      </c>
      <c r="T36" s="9">
        <v>71250</v>
      </c>
      <c r="U36" s="9" t="str">
        <v>January</v>
      </c>
      <c r="V36" s="9">
        <v>0</v>
      </c>
      <c r="W36" s="9">
        <v>0</v>
      </c>
      <c r="X36" s="9">
        <v>0</v>
      </c>
      <c r="Y36" s="9" t="str">
        <v>23/1/2025</v>
      </c>
    </row>
    <row r="37" spans="1:25">
      <c r="A37" s="9">
        <v>19</v>
      </c>
      <c r="B37" s="9">
        <v>45901</v>
      </c>
      <c r="C37" s="9" t="str">
        <v>Nayara Energy Ltd.</v>
      </c>
      <c r="D37" s="9" t="str">
        <v>Dwarka</v>
      </c>
      <c r="E37" s="9" t="str">
        <v>Manager</v>
      </c>
      <c r="F37" s="9" t="str">
        <v>Arvind Jadeja</v>
      </c>
      <c r="G37" s="9">
        <v>9825207929</v>
      </c>
      <c r="H37" s="9" t="str">
        <v>Arvindsinh.jadeja@nayaraenergy.com</v>
      </c>
      <c r="I37" s="9" t="str">
        <v>18009095/001</v>
      </c>
      <c r="J37" s="9" t="str">
        <v>Contract</v>
      </c>
      <c r="K37" s="9" t="str">
        <v>No</v>
      </c>
      <c r="L37" s="9" t="str">
        <v>KXIND/W/MV/MC/24054</v>
      </c>
      <c r="M37" s="9">
        <v>45357</v>
      </c>
      <c r="N37" s="9">
        <v>98000</v>
      </c>
      <c r="O37" s="9" t="str">
        <v>January</v>
      </c>
      <c r="P37" s="9" t="str">
        <v>January</v>
      </c>
      <c r="Q37" s="9">
        <v>1</v>
      </c>
      <c r="R37" s="9">
        <v>5300005783</v>
      </c>
      <c r="S37" s="9">
        <v>45467</v>
      </c>
      <c r="T37" s="9">
        <v>98000</v>
      </c>
      <c r="U37" s="9" t="str">
        <v>January</v>
      </c>
      <c r="V37" s="9">
        <v>0</v>
      </c>
      <c r="W37" s="9" t="str">
        <v>we have received PO for 3 years contract (2025 to 2027 @ INR 98000 / machine / year</v>
      </c>
      <c r="X37" s="9">
        <v>0</v>
      </c>
      <c r="Y37" s="9">
        <v>0</v>
      </c>
    </row>
    <row r="38" spans="1:25">
      <c r="A38" s="9">
        <v>0</v>
      </c>
      <c r="B38" s="9">
        <v>0</v>
      </c>
      <c r="C38" s="9" t="str">
        <v>Nayara Energy Ltd.</v>
      </c>
      <c r="D38" s="9" t="str">
        <v>Dwarka</v>
      </c>
      <c r="E38" s="9" t="str">
        <v>Manager</v>
      </c>
      <c r="F38" s="9" t="str">
        <v>Arvind Jadeja</v>
      </c>
      <c r="G38" s="9">
        <v>9825207929</v>
      </c>
      <c r="H38" s="9" t="str">
        <v>Arvindsinh.jadeja@nayaraenergy.com</v>
      </c>
      <c r="I38" s="9" t="str">
        <v>18009095/002</v>
      </c>
      <c r="J38" s="9" t="str">
        <v>Contract</v>
      </c>
      <c r="K38" s="9" t="str">
        <v>No</v>
      </c>
      <c r="L38" s="9" t="str">
        <v>KXIND/W/MV/MC/24054</v>
      </c>
      <c r="M38" s="9">
        <v>45357</v>
      </c>
      <c r="N38" s="9">
        <v>98000</v>
      </c>
      <c r="O38" s="9" t="str">
        <v>January</v>
      </c>
      <c r="P38" s="9" t="str">
        <v>January</v>
      </c>
      <c r="Q38" s="9">
        <v>1</v>
      </c>
      <c r="R38" s="9">
        <v>5300005783</v>
      </c>
      <c r="S38" s="9">
        <v>45467</v>
      </c>
      <c r="T38" s="9">
        <v>98000</v>
      </c>
      <c r="U38" s="9" t="str">
        <v>January</v>
      </c>
      <c r="V38" s="9">
        <v>0</v>
      </c>
      <c r="W38" s="9" t="str">
        <v>we have received PO for 3 years contract (2025 to 2027 @ INR 98000 / machine / year</v>
      </c>
      <c r="X38" s="9">
        <v>0</v>
      </c>
      <c r="Y38" s="9">
        <v>0</v>
      </c>
    </row>
    <row r="39" spans="1:25">
      <c r="A39" s="9">
        <v>0</v>
      </c>
      <c r="B39" s="9">
        <v>0</v>
      </c>
      <c r="C39" s="9" t="str">
        <v>Nayara Energy Ltd.</v>
      </c>
      <c r="D39" s="9" t="str">
        <v>Dwarka</v>
      </c>
      <c r="E39" s="9" t="str">
        <v>Manager</v>
      </c>
      <c r="F39" s="9" t="str">
        <v>Arvind Jadeja</v>
      </c>
      <c r="G39" s="9">
        <v>9825207929</v>
      </c>
      <c r="H39" s="9" t="str">
        <v>Arvindsinh.jadeja@nayaraenergy.com</v>
      </c>
      <c r="I39" s="9" t="str">
        <v>18009095/003</v>
      </c>
      <c r="J39" s="9" t="str">
        <v>Contract</v>
      </c>
      <c r="K39" s="9" t="str">
        <v>No</v>
      </c>
      <c r="L39" s="9" t="str">
        <v>KXIND/W/MV/MC/24054</v>
      </c>
      <c r="M39" s="9">
        <v>45357</v>
      </c>
      <c r="N39" s="9">
        <v>98000</v>
      </c>
      <c r="O39" s="9" t="str">
        <v>January</v>
      </c>
      <c r="P39" s="9" t="str">
        <v>January</v>
      </c>
      <c r="Q39" s="9">
        <v>1</v>
      </c>
      <c r="R39" s="9">
        <v>5300005783</v>
      </c>
      <c r="S39" s="9">
        <v>45467</v>
      </c>
      <c r="T39" s="9">
        <v>98000</v>
      </c>
      <c r="U39" s="9" t="str">
        <v>January</v>
      </c>
      <c r="V39" s="9">
        <v>0</v>
      </c>
      <c r="W39" s="9" t="str">
        <v>we have received PO for 3 years contract (2025 to 2027 @ INR 98000 / machine / year</v>
      </c>
      <c r="X39" s="9">
        <v>0</v>
      </c>
      <c r="Y39" s="9">
        <v>0</v>
      </c>
    </row>
    <row r="40" spans="1:25">
      <c r="A40" s="9">
        <v>20</v>
      </c>
      <c r="B40" s="9">
        <v>45901</v>
      </c>
      <c r="C40" s="9" t="str">
        <v>Grundfos Pumps India Pvt Ltd</v>
      </c>
      <c r="D40" s="9" t="str">
        <v>Ahmadabad</v>
      </c>
      <c r="E40" s="9" t="str">
        <v>Maintenance</v>
      </c>
      <c r="F40" s="9" t="str">
        <v>Govind Rajput</v>
      </c>
      <c r="G40" s="9">
        <v>8469867330</v>
      </c>
      <c r="H40" s="9" t="str">
        <v>rajput@grundfos.com</v>
      </c>
      <c r="I40" s="9" t="str">
        <v>16006392/001</v>
      </c>
      <c r="J40" s="9" t="str">
        <v>Contract</v>
      </c>
      <c r="K40" s="9" t="str">
        <v>No</v>
      </c>
      <c r="L40" s="9" t="str">
        <v>KXIND/W/MV/MC/24106</v>
      </c>
      <c r="M40" s="9">
        <v>45641</v>
      </c>
      <c r="N40" s="9">
        <v>77200</v>
      </c>
      <c r="O40" s="9" t="str">
        <v>January</v>
      </c>
      <c r="P40" s="9" t="str">
        <v>January</v>
      </c>
      <c r="Q40" s="9">
        <v>1</v>
      </c>
      <c r="R40" s="9">
        <v>4516924874</v>
      </c>
      <c r="S40" s="9">
        <v>45717</v>
      </c>
      <c r="T40" s="9">
        <v>77200</v>
      </c>
      <c r="U40" s="9" t="str">
        <v>January</v>
      </c>
      <c r="V40" s="9">
        <v>0</v>
      </c>
      <c r="W40" s="9" t="str">
        <v>we have received PO for 2 years contract @ INR 77200 / machine / year</v>
      </c>
      <c r="X40" s="9">
        <v>0</v>
      </c>
      <c r="Y40" s="9">
        <v>0</v>
      </c>
    </row>
    <row r="41" spans="1:25">
      <c r="A41" s="9">
        <v>0</v>
      </c>
      <c r="B41" s="9">
        <v>0</v>
      </c>
      <c r="C41" s="9" t="str">
        <v>Grundfos Pumps India Pvt Ltd</v>
      </c>
      <c r="D41" s="9" t="str">
        <v>Ahmadabad</v>
      </c>
      <c r="E41" s="9" t="str">
        <v>Maintenance</v>
      </c>
      <c r="F41" s="9" t="str">
        <v>Govind Rajput</v>
      </c>
      <c r="G41" s="9">
        <v>8469867330</v>
      </c>
      <c r="H41" s="9" t="str">
        <v>rajput@grundfos.com</v>
      </c>
      <c r="I41" s="9" t="str">
        <v>16006392/002</v>
      </c>
      <c r="J41" s="9" t="str">
        <v>Contract</v>
      </c>
      <c r="K41" s="9" t="str">
        <v>No</v>
      </c>
      <c r="L41" s="9" t="str">
        <v>KXIND/W/MV/MC/24106</v>
      </c>
      <c r="M41" s="9">
        <v>45641</v>
      </c>
      <c r="N41" s="9">
        <v>77200</v>
      </c>
      <c r="O41" s="9" t="str">
        <v>January</v>
      </c>
      <c r="P41" s="9" t="str">
        <v>January</v>
      </c>
      <c r="Q41" s="9">
        <v>1</v>
      </c>
      <c r="R41" s="9">
        <v>4516924874</v>
      </c>
      <c r="S41" s="9">
        <v>45717</v>
      </c>
      <c r="T41" s="9">
        <v>77200</v>
      </c>
      <c r="U41" s="9" t="str">
        <v>January</v>
      </c>
      <c r="V41" s="9">
        <v>0</v>
      </c>
      <c r="W41" s="9" t="str">
        <v>we have received PO for 2 years contract @ INR 77200 / machine / year</v>
      </c>
      <c r="X41" s="9">
        <v>0</v>
      </c>
      <c r="Y41" s="9">
        <v>0</v>
      </c>
    </row>
    <row r="42" spans="1:25">
      <c r="A42" s="9">
        <v>0</v>
      </c>
      <c r="B42" s="9">
        <v>0</v>
      </c>
      <c r="C42" s="9" t="str">
        <v>Grundfos Pumps India Pvt Ltd</v>
      </c>
      <c r="D42" s="9" t="str">
        <v>Ahmadabad</v>
      </c>
      <c r="E42" s="9" t="str">
        <v>Maintenance</v>
      </c>
      <c r="F42" s="9" t="str">
        <v>Govind Rajput</v>
      </c>
      <c r="G42" s="9">
        <v>8469867330</v>
      </c>
      <c r="H42" s="9" t="str">
        <v>rajput@grundfos.com</v>
      </c>
      <c r="I42" s="9">
        <v>102006293</v>
      </c>
      <c r="J42" s="9" t="str">
        <v>Contract</v>
      </c>
      <c r="K42" s="9" t="str">
        <v>No</v>
      </c>
      <c r="L42" s="9" t="str">
        <v>KXIND/W/MV/MC/24106</v>
      </c>
      <c r="M42" s="9">
        <v>45641</v>
      </c>
      <c r="N42" s="9">
        <v>65100</v>
      </c>
      <c r="O42" s="9" t="str">
        <v>January</v>
      </c>
      <c r="P42" s="9" t="str">
        <v>January</v>
      </c>
      <c r="Q42" s="9">
        <v>1</v>
      </c>
      <c r="R42" s="9">
        <v>4516924874</v>
      </c>
      <c r="S42" s="9">
        <v>45717</v>
      </c>
      <c r="T42" s="9">
        <v>65100</v>
      </c>
      <c r="U42" s="9" t="str">
        <v>January</v>
      </c>
      <c r="V42" s="9">
        <v>0</v>
      </c>
      <c r="W42" s="9" t="str">
        <v>we have received PO for 2 years contract @ INR 65100 / machine / year</v>
      </c>
      <c r="X42" s="9">
        <v>0</v>
      </c>
      <c r="Y42" s="9">
        <v>0</v>
      </c>
    </row>
    <row r="43" spans="1:25">
      <c r="A43" s="9">
        <v>21</v>
      </c>
      <c r="B43" s="9">
        <v>45901</v>
      </c>
      <c r="C43" s="9" t="str">
        <v xml:space="preserve">Mylan Laboratories LTD </v>
      </c>
      <c r="D43" s="9" t="str">
        <v>pithampur</v>
      </c>
      <c r="E43" s="9" t="str">
        <v>Maintenance</v>
      </c>
      <c r="F43" s="9" t="str">
        <v>Rajev Jain</v>
      </c>
      <c r="G43" s="9">
        <v>9575802320</v>
      </c>
      <c r="H43" s="9" t="str">
        <v>Rajev.Jain@viatris.com</v>
      </c>
      <c r="I43" s="9" t="str">
        <v>18005564/001</v>
      </c>
      <c r="J43" s="9" t="str">
        <v>Contract</v>
      </c>
      <c r="K43" s="9" t="str">
        <v>No</v>
      </c>
      <c r="L43" s="9" t="str">
        <v>KXIND/W/MV/MC/24105</v>
      </c>
      <c r="M43" s="9">
        <v>45640</v>
      </c>
      <c r="N43" s="9">
        <v>118335</v>
      </c>
      <c r="O43" s="9" t="str">
        <v>January</v>
      </c>
      <c r="P43" s="9" t="str">
        <v>February</v>
      </c>
      <c r="Q43" s="9">
        <v>1</v>
      </c>
      <c r="R43" s="9">
        <v>5700171274</v>
      </c>
      <c r="S43" s="9" t="str">
        <v>17/02/2025</v>
      </c>
      <c r="T43" s="9">
        <v>118335</v>
      </c>
      <c r="U43" s="9" t="str">
        <v>February</v>
      </c>
      <c r="V43" s="9">
        <v>0</v>
      </c>
      <c r="W43" s="9" t="str">
        <v>we have received PO for 2 years contract (2025 &amp; 2026) @ INR 118335 / machine / year</v>
      </c>
      <c r="X43" s="9">
        <v>0</v>
      </c>
      <c r="Y43" s="9">
        <v>0</v>
      </c>
    </row>
    <row r="44" spans="1:25">
      <c r="A44" s="9">
        <v>0</v>
      </c>
      <c r="B44" s="9">
        <v>0</v>
      </c>
      <c r="C44" s="9" t="str">
        <v xml:space="preserve">Mylan Laboratories LTD </v>
      </c>
      <c r="D44" s="9" t="str">
        <v>pithampur</v>
      </c>
      <c r="E44" s="9" t="str">
        <v>Maintenance</v>
      </c>
      <c r="F44" s="9" t="str">
        <v>Rajev Jain</v>
      </c>
      <c r="G44" s="9">
        <v>9575802320</v>
      </c>
      <c r="H44" s="9" t="str">
        <v>Rajev.Jain@viatris.com</v>
      </c>
      <c r="I44" s="9" t="str">
        <v>18005564/002</v>
      </c>
      <c r="J44" s="9" t="str">
        <v>Contract</v>
      </c>
      <c r="K44" s="9" t="str">
        <v>No</v>
      </c>
      <c r="L44" s="9" t="str">
        <v>KXIND/W/MV/MC/24105</v>
      </c>
      <c r="M44" s="9">
        <v>45640</v>
      </c>
      <c r="N44" s="9">
        <v>118335</v>
      </c>
      <c r="O44" s="9" t="str">
        <v>January</v>
      </c>
      <c r="P44" s="9" t="str">
        <v>February</v>
      </c>
      <c r="Q44" s="9">
        <v>1</v>
      </c>
      <c r="R44" s="9">
        <v>5700171274</v>
      </c>
      <c r="S44" s="9" t="str">
        <v>17/02/2025</v>
      </c>
      <c r="T44" s="9">
        <v>118335</v>
      </c>
      <c r="U44" s="9" t="str">
        <v>February</v>
      </c>
      <c r="V44" s="9">
        <v>0</v>
      </c>
      <c r="W44" s="9" t="str">
        <v>we have received PO for 2 years contract (2025 &amp; 2026) @ INR 118335 / machine / year</v>
      </c>
      <c r="X44" s="9">
        <v>0</v>
      </c>
      <c r="Y44" s="9">
        <v>0</v>
      </c>
    </row>
    <row r="45" spans="1:25">
      <c r="A45" s="9">
        <v>0</v>
      </c>
      <c r="B45" s="9">
        <v>0</v>
      </c>
      <c r="C45" s="9" t="str">
        <v xml:space="preserve">Mylan Laboratories LTD </v>
      </c>
      <c r="D45" s="9" t="str">
        <v>pithampur</v>
      </c>
      <c r="E45" s="9" t="str">
        <v>Maintenance</v>
      </c>
      <c r="F45" s="9" t="str">
        <v>Rajev Jain</v>
      </c>
      <c r="G45" s="9">
        <v>9575802320</v>
      </c>
      <c r="H45" s="9" t="str">
        <v>Rajev.Jain@viatris.com</v>
      </c>
      <c r="I45" s="9" t="str">
        <v>20004153/001</v>
      </c>
      <c r="J45" s="9" t="str">
        <v>Contract</v>
      </c>
      <c r="K45" s="9" t="str">
        <v>No</v>
      </c>
      <c r="L45" s="9" t="str">
        <v>KXIND/W/MV/MC/24105</v>
      </c>
      <c r="M45" s="9">
        <v>45640</v>
      </c>
      <c r="N45" s="9">
        <v>118335</v>
      </c>
      <c r="O45" s="9" t="str">
        <v>January</v>
      </c>
      <c r="P45" s="9" t="str">
        <v>February</v>
      </c>
      <c r="Q45" s="9">
        <v>1</v>
      </c>
      <c r="R45" s="9">
        <v>5700171274</v>
      </c>
      <c r="S45" s="9" t="str">
        <v>17/02/2025</v>
      </c>
      <c r="T45" s="9">
        <v>118335</v>
      </c>
      <c r="U45" s="9" t="str">
        <v>February</v>
      </c>
      <c r="V45" s="9">
        <v>0</v>
      </c>
      <c r="W45" s="9" t="str">
        <v>we have received PO for 2 years contract (2025 &amp; 2026) @ INR 118335 / machine / year</v>
      </c>
      <c r="X45" s="9">
        <v>0</v>
      </c>
      <c r="Y45" s="9">
        <v>0</v>
      </c>
    </row>
    <row r="46" spans="1:25">
      <c r="A46" s="9">
        <v>0</v>
      </c>
      <c r="B46" s="9">
        <v>0</v>
      </c>
      <c r="C46" s="9" t="str">
        <v xml:space="preserve">Mylan Laboratories LTD </v>
      </c>
      <c r="D46" s="9" t="str">
        <v>pithampur</v>
      </c>
      <c r="E46" s="9" t="str">
        <v>Maintenance</v>
      </c>
      <c r="F46" s="9" t="str">
        <v>Rajev Jain</v>
      </c>
      <c r="G46" s="9">
        <v>9575802320</v>
      </c>
      <c r="H46" s="9" t="str">
        <v>Rajev.Jain@viatris.com</v>
      </c>
      <c r="I46" s="9" t="str">
        <v>20004153/002</v>
      </c>
      <c r="J46" s="9" t="str">
        <v>Contract</v>
      </c>
      <c r="K46" s="9" t="str">
        <v>No</v>
      </c>
      <c r="L46" s="9" t="str">
        <v>KXIND/W/MV/MC/24105</v>
      </c>
      <c r="M46" s="9">
        <v>45640</v>
      </c>
      <c r="N46" s="9">
        <v>118335</v>
      </c>
      <c r="O46" s="9" t="str">
        <v>January</v>
      </c>
      <c r="P46" s="9" t="str">
        <v>February</v>
      </c>
      <c r="Q46" s="9">
        <v>1</v>
      </c>
      <c r="R46" s="9">
        <v>5700171274</v>
      </c>
      <c r="S46" s="9" t="str">
        <v>17/02/2025</v>
      </c>
      <c r="T46" s="9">
        <v>118335</v>
      </c>
      <c r="U46" s="9" t="str">
        <v>February</v>
      </c>
      <c r="V46" s="9">
        <v>0</v>
      </c>
      <c r="W46" s="9" t="str">
        <v>we have received PO for 2 years contract (2025 &amp; 2026) @ INR 118335 / machine / year</v>
      </c>
      <c r="X46" s="9">
        <v>0</v>
      </c>
      <c r="Y46" s="9">
        <v>0</v>
      </c>
    </row>
    <row r="47" spans="1:25">
      <c r="A47" s="9">
        <v>0</v>
      </c>
      <c r="B47" s="9">
        <v>0</v>
      </c>
      <c r="C47" s="9" t="str">
        <v xml:space="preserve">Mylan Laboratories LTD </v>
      </c>
      <c r="D47" s="9" t="str">
        <v>pithampur</v>
      </c>
      <c r="E47" s="9" t="str">
        <v>Maintenance</v>
      </c>
      <c r="F47" s="9" t="str">
        <v>Rajev Jain</v>
      </c>
      <c r="G47" s="9">
        <v>9575802320</v>
      </c>
      <c r="H47" s="9" t="str">
        <v>Rajev.Jain@viatris.com</v>
      </c>
      <c r="I47" s="9" t="str">
        <v>21003856/001</v>
      </c>
      <c r="J47" s="9" t="str">
        <v>Contract</v>
      </c>
      <c r="K47" s="9" t="str">
        <v>No</v>
      </c>
      <c r="L47" s="9" t="str">
        <v>KXIND/W/MV/MC/24105</v>
      </c>
      <c r="M47" s="9">
        <v>45640</v>
      </c>
      <c r="N47" s="9">
        <v>118335</v>
      </c>
      <c r="O47" s="9" t="str">
        <v>January</v>
      </c>
      <c r="P47" s="9" t="str">
        <v>February</v>
      </c>
      <c r="Q47" s="9">
        <v>1</v>
      </c>
      <c r="R47" s="9">
        <v>5700171274</v>
      </c>
      <c r="S47" s="9" t="str">
        <v>17/02/2025</v>
      </c>
      <c r="T47" s="9">
        <v>118335</v>
      </c>
      <c r="U47" s="9" t="str">
        <v>February</v>
      </c>
      <c r="V47" s="9">
        <v>0</v>
      </c>
      <c r="W47" s="9" t="str">
        <v>we have received PO for 2 years contract (2025 &amp; 2026) @ INR 118335 / machine / year</v>
      </c>
      <c r="X47" s="9">
        <v>0</v>
      </c>
      <c r="Y47" s="9">
        <v>0</v>
      </c>
    </row>
    <row r="48" spans="1:25">
      <c r="A48" s="9">
        <v>22</v>
      </c>
      <c r="B48" s="9">
        <v>45901</v>
      </c>
      <c r="C48" s="9" t="str">
        <v>Force Motors Ltd</v>
      </c>
      <c r="D48" s="9" t="str">
        <v>pithampur</v>
      </c>
      <c r="E48" s="9" t="str">
        <v>Maintenance</v>
      </c>
      <c r="F48" s="9" t="str">
        <v>Manoj Verma</v>
      </c>
      <c r="G48" s="9">
        <v>9575300235</v>
      </c>
      <c r="H48" s="9" t="str">
        <v>mverma@forcemotors.com</v>
      </c>
      <c r="I48" s="9" t="str">
        <v>15005798/001</v>
      </c>
      <c r="J48" s="9" t="str">
        <v>Contract</v>
      </c>
      <c r="K48" s="9" t="str">
        <v>Yes</v>
      </c>
      <c r="L48" s="9" t="str">
        <v>KXIND/W/MV/MC/24093</v>
      </c>
      <c r="M48" s="9">
        <v>45615</v>
      </c>
      <c r="N48" s="9">
        <v>62500</v>
      </c>
      <c r="O48" s="9" t="str">
        <v>January</v>
      </c>
      <c r="P48" s="9" t="str">
        <v>January</v>
      </c>
      <c r="Q48" s="9">
        <v>1</v>
      </c>
      <c r="R48" s="9">
        <v>6460007868</v>
      </c>
      <c r="S48" s="9">
        <v>45652</v>
      </c>
      <c r="T48" s="9">
        <v>60000</v>
      </c>
      <c r="U48" s="9" t="str">
        <v>January</v>
      </c>
      <c r="V48" s="9">
        <v>0</v>
      </c>
      <c r="W48" s="9">
        <v>0</v>
      </c>
      <c r="X48" s="9">
        <v>0</v>
      </c>
      <c r="Y48" s="9">
        <v>0</v>
      </c>
    </row>
    <row r="49" spans="1:25">
      <c r="A49" s="9">
        <v>23</v>
      </c>
      <c r="B49" s="9">
        <v>45901</v>
      </c>
      <c r="C49" s="9" t="str">
        <v xml:space="preserve">Hitachi Energy India Ltd </v>
      </c>
      <c r="D49" s="9" t="str">
        <v>Vadodara</v>
      </c>
      <c r="E49" s="9" t="str">
        <v>Maintenance</v>
      </c>
      <c r="F49" s="9" t="str">
        <v>Parth Bhatwadekar</v>
      </c>
      <c r="G49" s="9">
        <v>9909972542</v>
      </c>
      <c r="H49" s="9" t="str">
        <v>parth.bhatwadekar@hitachienergy.com</v>
      </c>
      <c r="I49" s="9" t="str">
        <v xml:space="preserve">12005859/001 </v>
      </c>
      <c r="J49" s="9" t="str">
        <v>Midlife Upgrade</v>
      </c>
      <c r="K49" s="9" t="str">
        <v>Yes</v>
      </c>
      <c r="L49" s="9" t="str">
        <v>KXIND/W/MV/MLU/24080</v>
      </c>
      <c r="M49" s="9">
        <v>45551</v>
      </c>
      <c r="N49" s="9">
        <v>694970</v>
      </c>
      <c r="O49" s="9" t="str">
        <v>January</v>
      </c>
      <c r="P49" s="9" t="str">
        <v>May</v>
      </c>
      <c r="Q49" s="9">
        <v>1</v>
      </c>
      <c r="R49" s="9">
        <v>7000147895</v>
      </c>
      <c r="S49" s="9">
        <v>45662</v>
      </c>
      <c r="T49" s="9">
        <v>660221</v>
      </c>
      <c r="U49" s="9" t="str">
        <v>May</v>
      </c>
      <c r="V49" s="9">
        <v>0</v>
      </c>
      <c r="W49" s="9">
        <v>0</v>
      </c>
      <c r="X49" s="9">
        <v>0</v>
      </c>
      <c r="Y49" s="9">
        <v>0</v>
      </c>
    </row>
    <row r="50" spans="1:25">
      <c r="A50" s="9">
        <v>24</v>
      </c>
      <c r="B50" s="9">
        <v>45670</v>
      </c>
      <c r="C50" s="9" t="str">
        <v xml:space="preserve">Hindustan Aeronautics LTD </v>
      </c>
      <c r="D50" s="9" t="str">
        <v>Bengaluru</v>
      </c>
      <c r="E50" s="9" t="str">
        <v>Purchase</v>
      </c>
      <c r="F50" s="9" t="str">
        <v>Arivalagan S</v>
      </c>
      <c r="G50" s="9">
        <v>0</v>
      </c>
      <c r="H50" s="9" t="str">
        <v>imm_commercial.engines@hal-india.co.in</v>
      </c>
      <c r="I50" s="9" t="str">
        <v>21000483/004</v>
      </c>
      <c r="J50" s="9" t="str">
        <v>Contract</v>
      </c>
      <c r="K50" s="9" t="str">
        <v>Yes</v>
      </c>
      <c r="L50" s="9" t="str">
        <v>KRIND/S/MC/ASK2300039 R2</v>
      </c>
      <c r="M50" s="9">
        <v>45459</v>
      </c>
      <c r="N50" s="9">
        <v>142000</v>
      </c>
      <c r="O50" s="9" t="str">
        <v>January</v>
      </c>
      <c r="P50" s="9" t="str">
        <v>January</v>
      </c>
      <c r="Q50" s="9">
        <v>1</v>
      </c>
      <c r="R50" s="9">
        <v>16882528</v>
      </c>
      <c r="S50" s="9">
        <v>45670</v>
      </c>
      <c r="T50" s="9">
        <v>142000</v>
      </c>
      <c r="U50" s="9" t="str">
        <v>January</v>
      </c>
      <c r="V50" s="9">
        <v>0</v>
      </c>
      <c r="W50" s="9">
        <v>0</v>
      </c>
      <c r="X50" s="9">
        <v>0</v>
      </c>
      <c r="Y50" s="9">
        <v>0</v>
      </c>
    </row>
    <row r="51" spans="1:25">
      <c r="A51" s="9">
        <v>25</v>
      </c>
      <c r="B51" s="9">
        <v>45674</v>
      </c>
      <c r="C51" s="9" t="str">
        <v>Burckhardt Compression</v>
      </c>
      <c r="D51" s="9" t="str">
        <v>Vadodara</v>
      </c>
      <c r="E51" s="9" t="str">
        <v>Purchase</v>
      </c>
      <c r="F51" s="9" t="str">
        <v>Hardik Jadav</v>
      </c>
      <c r="G51" s="9">
        <v>9409775475</v>
      </c>
      <c r="H51" s="9" t="str">
        <v>Hardik.jadav@burckhardtcompression.com</v>
      </c>
      <c r="I51" s="9" t="str">
        <v>18005150 / 001</v>
      </c>
      <c r="J51" s="9" t="str">
        <v>SPP</v>
      </c>
      <c r="K51" s="9" t="str">
        <v>No</v>
      </c>
      <c r="L51" s="9" t="str">
        <v>KXIND/W/MV/SPP/24091</v>
      </c>
      <c r="M51" s="9">
        <v>45589</v>
      </c>
      <c r="N51" s="9">
        <v>242600</v>
      </c>
      <c r="O51" s="9" t="str">
        <v>January</v>
      </c>
      <c r="P51" s="9" t="str">
        <v>January</v>
      </c>
      <c r="Q51" s="9">
        <v>1</v>
      </c>
      <c r="R51" s="9">
        <v>10169675</v>
      </c>
      <c r="S51" s="9">
        <v>45673</v>
      </c>
      <c r="T51" s="9">
        <v>223192</v>
      </c>
      <c r="U51" s="9" t="str">
        <v>January</v>
      </c>
      <c r="V51" s="9">
        <v>0</v>
      </c>
      <c r="W51" s="9">
        <v>0</v>
      </c>
      <c r="X51" s="9">
        <v>0</v>
      </c>
      <c r="Y51" s="9" t="str">
        <v>23/1/2025</v>
      </c>
    </row>
    <row r="52" spans="1:25">
      <c r="A52" s="9">
        <v>26</v>
      </c>
      <c r="B52" s="9">
        <v>45680</v>
      </c>
      <c r="C52" s="9" t="str">
        <v>PRASAD RAPID INDIA PRIVATE LIMITED</v>
      </c>
      <c r="D52" s="9" t="str">
        <v>Ahmadabad</v>
      </c>
      <c r="E52" s="9" t="str">
        <v>Purchase</v>
      </c>
      <c r="F52" s="9" t="str">
        <v>Darshak Sathvara</v>
      </c>
      <c r="G52" s="9">
        <v>9099031719</v>
      </c>
      <c r="H52" s="9" t="str">
        <v>purchase03-pmpl@prasadgroup.com</v>
      </c>
      <c r="I52" s="9" t="str">
        <v>12006484/001</v>
      </c>
      <c r="J52" s="9" t="str">
        <v>BD Charges</v>
      </c>
      <c r="K52" s="9" t="str">
        <v>No</v>
      </c>
      <c r="L52" s="9" t="str">
        <v>KXIND/W/MV/OTH/25003</v>
      </c>
      <c r="M52" s="9">
        <v>45680</v>
      </c>
      <c r="N52" s="9">
        <v>106000</v>
      </c>
      <c r="O52" s="9" t="str">
        <v>January</v>
      </c>
      <c r="P52" s="9" t="str">
        <v>January</v>
      </c>
      <c r="Q52" s="9">
        <v>1</v>
      </c>
      <c r="R52" s="9" t="str">
        <v>CAPITAL/3</v>
      </c>
      <c r="S52" s="9">
        <v>45685</v>
      </c>
      <c r="T52" s="9">
        <v>100700</v>
      </c>
      <c r="U52" s="9" t="str">
        <v>January</v>
      </c>
      <c r="V52" s="9">
        <v>0</v>
      </c>
      <c r="W52" s="9">
        <v>0</v>
      </c>
      <c r="X52" s="9">
        <v>0</v>
      </c>
      <c r="Y52" s="9">
        <v>0</v>
      </c>
    </row>
    <row r="53" spans="1:25">
      <c r="A53" s="9">
        <v>27</v>
      </c>
      <c r="B53" s="9">
        <v>45688</v>
      </c>
      <c r="C53" s="9" t="str">
        <v>PRASAD RAPID INDIA PRIVATE LIMITED</v>
      </c>
      <c r="D53" s="9" t="str">
        <v>Ahmadabad</v>
      </c>
      <c r="E53" s="9" t="str">
        <v>Purchase</v>
      </c>
      <c r="F53" s="9" t="str">
        <v>Darshak Sathvara</v>
      </c>
      <c r="G53" s="9">
        <v>9099031719</v>
      </c>
      <c r="H53" s="9" t="str">
        <v>purchase03-pmpl@prasadgroup.com</v>
      </c>
      <c r="I53" s="9" t="str">
        <v>12006484/001</v>
      </c>
      <c r="J53" s="9" t="str">
        <v>SPP</v>
      </c>
      <c r="K53" s="9" t="str">
        <v>Yes</v>
      </c>
      <c r="L53" s="9" t="str">
        <v>KXIND/W/MV/SPP/25004</v>
      </c>
      <c r="M53" s="9">
        <v>45688</v>
      </c>
      <c r="N53" s="9">
        <v>302490</v>
      </c>
      <c r="O53" s="9" t="str">
        <v>January</v>
      </c>
      <c r="P53" s="9" t="str">
        <v>February</v>
      </c>
      <c r="Q53" s="9">
        <v>1</v>
      </c>
      <c r="R53" s="9" t="str">
        <v>CAPITAL/4</v>
      </c>
      <c r="S53" s="9">
        <v>45749</v>
      </c>
      <c r="T53" s="9">
        <v>287365</v>
      </c>
      <c r="U53" s="9" t="str">
        <v>February</v>
      </c>
      <c r="V53" s="9">
        <v>0</v>
      </c>
      <c r="W53" s="9">
        <v>0</v>
      </c>
      <c r="X53" s="9">
        <v>0</v>
      </c>
      <c r="Y53" s="9">
        <v>45993</v>
      </c>
    </row>
    <row r="54" spans="1:25">
      <c r="A54" s="9">
        <v>28</v>
      </c>
      <c r="B54" s="9">
        <v>45932</v>
      </c>
      <c r="C54" s="9" t="str">
        <v>Secure Meters Limited</v>
      </c>
      <c r="D54" s="9" t="str">
        <v>Udaipur</v>
      </c>
      <c r="E54" s="9" t="str">
        <v>Stores</v>
      </c>
      <c r="F54" s="9" t="str">
        <v>Madan Mohan Singh</v>
      </c>
      <c r="G54" s="9">
        <v>9414738104</v>
      </c>
      <c r="H54" s="9" t="str">
        <v>Madan.Singh@Securemeters.Com</v>
      </c>
      <c r="I54" s="9" t="str">
        <v>16000992/001</v>
      </c>
      <c r="J54" s="9" t="str">
        <v>Contract</v>
      </c>
      <c r="K54" s="9" t="str">
        <v>No</v>
      </c>
      <c r="L54" s="9" t="str">
        <v>KXIND/W/MV/MC/25005 - R1</v>
      </c>
      <c r="M54" s="9" t="str">
        <v>17/04/2025</v>
      </c>
      <c r="N54" s="9">
        <v>83200</v>
      </c>
      <c r="O54" s="9" t="str">
        <v>April</v>
      </c>
      <c r="P54" s="9" t="str">
        <v>April</v>
      </c>
      <c r="Q54" s="9">
        <v>1</v>
      </c>
      <c r="R54" s="9">
        <v>2102500018</v>
      </c>
      <c r="S54" s="9">
        <v>45692</v>
      </c>
      <c r="T54" s="9">
        <v>83200</v>
      </c>
      <c r="U54" s="9" t="str">
        <v>April</v>
      </c>
      <c r="V54" s="9">
        <v>0</v>
      </c>
      <c r="W54" s="9">
        <v>0</v>
      </c>
      <c r="X54" s="9">
        <v>0</v>
      </c>
      <c r="Y54" s="9">
        <v>0</v>
      </c>
    </row>
    <row r="55" spans="1:25">
      <c r="A55" s="9">
        <v>0</v>
      </c>
      <c r="B55" s="9">
        <v>0</v>
      </c>
      <c r="C55" s="9" t="str">
        <v>Secure Meters Limited</v>
      </c>
      <c r="D55" s="9" t="str">
        <v>Udaipur</v>
      </c>
      <c r="E55" s="9" t="str">
        <v>Stores</v>
      </c>
      <c r="F55" s="9" t="str">
        <v>Madan Mohan Singh</v>
      </c>
      <c r="G55" s="9">
        <v>9414738104</v>
      </c>
      <c r="H55" s="9" t="str">
        <v>Madan.Singh@Securemeters.Com</v>
      </c>
      <c r="I55" s="9" t="str">
        <v>16000992/002</v>
      </c>
      <c r="J55" s="9" t="str">
        <v>Contract</v>
      </c>
      <c r="K55" s="9" t="str">
        <v>No</v>
      </c>
      <c r="L55" s="9" t="str">
        <v>KXIND/W/MV/MC/25005 - R1</v>
      </c>
      <c r="M55" s="9" t="str">
        <v>17/04/2025</v>
      </c>
      <c r="N55" s="9">
        <v>83200</v>
      </c>
      <c r="O55" s="9" t="str">
        <v>April</v>
      </c>
      <c r="P55" s="9" t="str">
        <v>April</v>
      </c>
      <c r="Q55" s="9">
        <v>1</v>
      </c>
      <c r="R55" s="9">
        <v>2102500018</v>
      </c>
      <c r="S55" s="9">
        <v>45692</v>
      </c>
      <c r="T55" s="9">
        <v>83200</v>
      </c>
      <c r="U55" s="9" t="str">
        <v>April</v>
      </c>
      <c r="V55" s="9">
        <v>0</v>
      </c>
      <c r="W55" s="9">
        <v>0</v>
      </c>
      <c r="X55" s="9">
        <v>0</v>
      </c>
      <c r="Y55" s="9">
        <v>0</v>
      </c>
    </row>
    <row r="56" spans="1:25">
      <c r="A56" s="9">
        <v>0</v>
      </c>
      <c r="B56" s="9">
        <v>0</v>
      </c>
      <c r="C56" s="9" t="str">
        <v>Secure Meters Limited</v>
      </c>
      <c r="D56" s="9" t="str">
        <v>Udaipur</v>
      </c>
      <c r="E56" s="9" t="str">
        <v>Stores</v>
      </c>
      <c r="F56" s="9" t="str">
        <v>Madan Mohan Singh</v>
      </c>
      <c r="G56" s="9">
        <v>9414738104</v>
      </c>
      <c r="H56" s="9" t="str">
        <v>Madan.Singh@Securemeters.Com</v>
      </c>
      <c r="I56" s="9" t="str">
        <v>17004640/001</v>
      </c>
      <c r="J56" s="9" t="str">
        <v>Contract</v>
      </c>
      <c r="K56" s="9" t="str">
        <v>No</v>
      </c>
      <c r="L56" s="9" t="str">
        <v>KXIND/W/MV/MC/25005 - R1</v>
      </c>
      <c r="M56" s="9" t="str">
        <v>17/04/2025</v>
      </c>
      <c r="N56" s="9">
        <v>83200</v>
      </c>
      <c r="O56" s="9" t="str">
        <v>April</v>
      </c>
      <c r="P56" s="9" t="str">
        <v>April</v>
      </c>
      <c r="Q56" s="9">
        <v>1</v>
      </c>
      <c r="R56" s="9">
        <v>2102500018</v>
      </c>
      <c r="S56" s="9">
        <v>45692</v>
      </c>
      <c r="T56" s="9">
        <v>83200</v>
      </c>
      <c r="U56" s="9" t="str">
        <v>April</v>
      </c>
      <c r="V56" s="9">
        <v>0</v>
      </c>
      <c r="W56" s="9">
        <v>0</v>
      </c>
      <c r="X56" s="9">
        <v>0</v>
      </c>
      <c r="Y56" s="9">
        <v>0</v>
      </c>
    </row>
    <row r="57" spans="1:25">
      <c r="A57" s="9">
        <v>0</v>
      </c>
      <c r="B57" s="9">
        <v>0</v>
      </c>
      <c r="C57" s="9" t="str">
        <v>Secure Meters Limited</v>
      </c>
      <c r="D57" s="9" t="str">
        <v>Udaipur</v>
      </c>
      <c r="E57" s="9" t="str">
        <v>Stores</v>
      </c>
      <c r="F57" s="9" t="str">
        <v>Madan Mohan Singh</v>
      </c>
      <c r="G57" s="9">
        <v>9414738104</v>
      </c>
      <c r="H57" s="9" t="str">
        <v>Madan.Singh@Securemeters.Com</v>
      </c>
      <c r="I57" s="9" t="str">
        <v>17004640/002</v>
      </c>
      <c r="J57" s="9" t="str">
        <v>Contract</v>
      </c>
      <c r="K57" s="9" t="str">
        <v>No</v>
      </c>
      <c r="L57" s="9" t="str">
        <v>KXIND/W/MV/MC/25005 - R1</v>
      </c>
      <c r="M57" s="9" t="str">
        <v>17/04/2025</v>
      </c>
      <c r="N57" s="9">
        <v>83200</v>
      </c>
      <c r="O57" s="9" t="str">
        <v>April</v>
      </c>
      <c r="P57" s="9" t="str">
        <v>April</v>
      </c>
      <c r="Q57" s="9">
        <v>1</v>
      </c>
      <c r="R57" s="9">
        <v>2102500018</v>
      </c>
      <c r="S57" s="9">
        <v>45692</v>
      </c>
      <c r="T57" s="9">
        <v>83200</v>
      </c>
      <c r="U57" s="9" t="str">
        <v>April</v>
      </c>
      <c r="V57" s="9">
        <v>0</v>
      </c>
      <c r="W57" s="9">
        <v>0</v>
      </c>
      <c r="X57" s="9">
        <v>0</v>
      </c>
      <c r="Y57" s="9">
        <v>0</v>
      </c>
    </row>
    <row r="58" spans="1:25">
      <c r="A58" s="9">
        <v>29</v>
      </c>
      <c r="B58" s="9">
        <v>45932</v>
      </c>
      <c r="C58" s="9" t="str">
        <v>Firmenich Aerometics I Pvt.ltd.</v>
      </c>
      <c r="D58" s="9" t="str">
        <v>Dahej</v>
      </c>
      <c r="E58" s="9" t="str">
        <v>QA/QC</v>
      </c>
      <c r="F58" s="9" t="str">
        <v>Vinay Thandar</v>
      </c>
      <c r="G58" s="9">
        <v>9099974577</v>
      </c>
      <c r="H58" s="9" t="str">
        <v>vinay.thandar@dsmfirmenich.com</v>
      </c>
      <c r="I58" s="9" t="str">
        <v>18001927/001</v>
      </c>
      <c r="J58" s="9" t="str">
        <v>Contract</v>
      </c>
      <c r="K58" s="9" t="str">
        <v>No</v>
      </c>
      <c r="L58" s="9" t="str">
        <v>KXIND/W/MV/MC/25006</v>
      </c>
      <c r="M58" s="9">
        <v>45932</v>
      </c>
      <c r="N58" s="9">
        <v>58000</v>
      </c>
      <c r="O58" s="9" t="str">
        <v>February</v>
      </c>
      <c r="P58" s="9" t="str">
        <v>February</v>
      </c>
      <c r="Q58" s="9">
        <v>1</v>
      </c>
      <c r="R58" s="9">
        <v>3001027074</v>
      </c>
      <c r="S58" s="9" t="str">
        <v>14/02/2025</v>
      </c>
      <c r="T58" s="9">
        <v>58000</v>
      </c>
      <c r="U58" s="9" t="str">
        <v>February</v>
      </c>
      <c r="V58" s="9">
        <v>0</v>
      </c>
      <c r="W58" s="9">
        <v>0</v>
      </c>
      <c r="X58" s="9">
        <v>0</v>
      </c>
      <c r="Y58" s="9">
        <v>0</v>
      </c>
    </row>
    <row r="59" spans="1:25">
      <c r="A59" s="9">
        <v>0</v>
      </c>
      <c r="B59" s="9">
        <v>0</v>
      </c>
      <c r="C59" s="9" t="str">
        <v>Firmenich Aerometics I Pvt.ltd.</v>
      </c>
      <c r="D59" s="9" t="str">
        <v>Dahej</v>
      </c>
      <c r="E59" s="9" t="str">
        <v>QA/QC</v>
      </c>
      <c r="F59" s="9" t="str">
        <v>Vinay Thandar</v>
      </c>
      <c r="G59" s="9">
        <v>9099974577</v>
      </c>
      <c r="H59" s="9" t="str">
        <v>vinay.thandar@dsmfirmenich.com</v>
      </c>
      <c r="I59" s="9" t="str">
        <v>18001927/002</v>
      </c>
      <c r="J59" s="9" t="str">
        <v>Contract</v>
      </c>
      <c r="K59" s="9" t="str">
        <v>No</v>
      </c>
      <c r="L59" s="9" t="str">
        <v>KXIND/W/MV/MC/25006</v>
      </c>
      <c r="M59" s="9">
        <v>45932</v>
      </c>
      <c r="N59" s="9">
        <v>58000</v>
      </c>
      <c r="O59" s="9" t="str">
        <v>February</v>
      </c>
      <c r="P59" s="9" t="str">
        <v>February</v>
      </c>
      <c r="Q59" s="9">
        <v>1</v>
      </c>
      <c r="R59" s="9">
        <v>3001027074</v>
      </c>
      <c r="S59" s="9" t="str">
        <v>14/02/2025</v>
      </c>
      <c r="T59" s="9">
        <v>58000</v>
      </c>
      <c r="U59" s="9" t="str">
        <v>February</v>
      </c>
      <c r="V59" s="9">
        <v>0</v>
      </c>
      <c r="W59" s="9">
        <v>0</v>
      </c>
      <c r="X59" s="9">
        <v>0</v>
      </c>
      <c r="Y59" s="9">
        <v>0</v>
      </c>
    </row>
    <row r="60" spans="1:25">
      <c r="A60" s="9">
        <v>0</v>
      </c>
      <c r="B60" s="9">
        <v>0</v>
      </c>
      <c r="C60" s="9" t="str">
        <v>Firmenich Aerometics I Pvt.ltd.</v>
      </c>
      <c r="D60" s="9" t="str">
        <v>Dahej</v>
      </c>
      <c r="E60" s="9" t="str">
        <v>QA/QC</v>
      </c>
      <c r="F60" s="9" t="str">
        <v>Vinay Thandar</v>
      </c>
      <c r="G60" s="9">
        <v>9099974577</v>
      </c>
      <c r="H60" s="9" t="str">
        <v>vinay.thandar@dsmfirmenich.com</v>
      </c>
      <c r="I60" s="9" t="str">
        <v>18001927/003</v>
      </c>
      <c r="J60" s="9" t="str">
        <v>Contract</v>
      </c>
      <c r="K60" s="9" t="str">
        <v>No</v>
      </c>
      <c r="L60" s="9" t="str">
        <v>KXIND/W/MV/MC/25006</v>
      </c>
      <c r="M60" s="9">
        <v>45932</v>
      </c>
      <c r="N60" s="9">
        <v>58000</v>
      </c>
      <c r="O60" s="9" t="str">
        <v>February</v>
      </c>
      <c r="P60" s="9" t="str">
        <v>February</v>
      </c>
      <c r="Q60" s="9">
        <v>1</v>
      </c>
      <c r="R60" s="9">
        <v>3001027074</v>
      </c>
      <c r="S60" s="9" t="str">
        <v>14/02/2025</v>
      </c>
      <c r="T60" s="9">
        <v>58000</v>
      </c>
      <c r="U60" s="9" t="str">
        <v>February</v>
      </c>
      <c r="V60" s="9">
        <v>0</v>
      </c>
      <c r="W60" s="9">
        <v>0</v>
      </c>
      <c r="X60" s="9">
        <v>0</v>
      </c>
      <c r="Y60" s="9">
        <v>0</v>
      </c>
    </row>
    <row r="61" spans="1:25">
      <c r="A61" s="9">
        <v>0</v>
      </c>
      <c r="B61" s="9">
        <v>0</v>
      </c>
      <c r="C61" s="9" t="str">
        <v>Firmenich Aerometics I Pvt.ltd.</v>
      </c>
      <c r="D61" s="9" t="str">
        <v>Dahej</v>
      </c>
      <c r="E61" s="9" t="str">
        <v>QA/QC</v>
      </c>
      <c r="F61" s="9" t="str">
        <v>Vinay Thandar</v>
      </c>
      <c r="G61" s="9">
        <v>9099974577</v>
      </c>
      <c r="H61" s="9" t="str">
        <v>vinay.thandar@dsmfirmenich.com</v>
      </c>
      <c r="I61" s="9" t="str">
        <v>19000224/001</v>
      </c>
      <c r="J61" s="9" t="str">
        <v>Contract</v>
      </c>
      <c r="K61" s="9" t="str">
        <v>No</v>
      </c>
      <c r="L61" s="9" t="str">
        <v>KXIND/W/MV/MC/25006</v>
      </c>
      <c r="M61" s="9">
        <v>45932</v>
      </c>
      <c r="N61" s="9">
        <v>58000</v>
      </c>
      <c r="O61" s="9" t="str">
        <v>February</v>
      </c>
      <c r="P61" s="9" t="str">
        <v>February</v>
      </c>
      <c r="Q61" s="9">
        <v>1</v>
      </c>
      <c r="R61" s="9">
        <v>3001027074</v>
      </c>
      <c r="S61" s="9" t="str">
        <v>14/02/2025</v>
      </c>
      <c r="T61" s="9">
        <v>58000</v>
      </c>
      <c r="U61" s="9" t="str">
        <v>February</v>
      </c>
      <c r="V61" s="9">
        <v>0</v>
      </c>
      <c r="W61" s="9">
        <v>0</v>
      </c>
      <c r="X61" s="9">
        <v>0</v>
      </c>
      <c r="Y61" s="9">
        <v>0</v>
      </c>
    </row>
    <row r="62" spans="1:25">
      <c r="A62" s="9">
        <v>0</v>
      </c>
      <c r="B62" s="9">
        <v>0</v>
      </c>
      <c r="C62" s="9" t="str">
        <v>Firmenich Aerometics I Pvt.ltd.</v>
      </c>
      <c r="D62" s="9" t="str">
        <v>Dahej</v>
      </c>
      <c r="E62" s="9" t="str">
        <v>QA/QC</v>
      </c>
      <c r="F62" s="9" t="str">
        <v>Vinay Thandar</v>
      </c>
      <c r="G62" s="9">
        <v>9099974577</v>
      </c>
      <c r="H62" s="9" t="str">
        <v>vinay.thandar@dsmfirmenich.com</v>
      </c>
      <c r="I62" s="9" t="str">
        <v>19000224/002</v>
      </c>
      <c r="J62" s="9" t="str">
        <v>Contract</v>
      </c>
      <c r="K62" s="9" t="str">
        <v>No</v>
      </c>
      <c r="L62" s="9" t="str">
        <v>KXIND/W/MV/MC/25006</v>
      </c>
      <c r="M62" s="9">
        <v>45932</v>
      </c>
      <c r="N62" s="9">
        <v>58000</v>
      </c>
      <c r="O62" s="9" t="str">
        <v>February</v>
      </c>
      <c r="P62" s="9" t="str">
        <v>February</v>
      </c>
      <c r="Q62" s="9">
        <v>1</v>
      </c>
      <c r="R62" s="9">
        <v>3001027074</v>
      </c>
      <c r="S62" s="9" t="str">
        <v>14/02/2025</v>
      </c>
      <c r="T62" s="9">
        <v>58000</v>
      </c>
      <c r="U62" s="9" t="str">
        <v>February</v>
      </c>
      <c r="V62" s="9">
        <v>0</v>
      </c>
      <c r="W62" s="9">
        <v>0</v>
      </c>
      <c r="X62" s="9">
        <v>0</v>
      </c>
      <c r="Y62" s="9">
        <v>0</v>
      </c>
    </row>
    <row r="63" spans="1:25">
      <c r="A63" s="9">
        <v>30</v>
      </c>
      <c r="B63" s="9" t="str">
        <v>20/02/2025</v>
      </c>
      <c r="C63" s="9" t="str">
        <v>Secure Meters Limited</v>
      </c>
      <c r="D63" s="9" t="str">
        <v>Udaipur</v>
      </c>
      <c r="E63" s="9" t="str">
        <v>Gas Meters</v>
      </c>
      <c r="F63" s="9" t="str">
        <v>Sunil Kumar</v>
      </c>
      <c r="G63" s="9">
        <v>9355229233</v>
      </c>
      <c r="H63" s="9" t="str">
        <v>Sunil.kumar@securemeters.com</v>
      </c>
      <c r="I63" s="9" t="str">
        <v>17001597/001</v>
      </c>
      <c r="J63" s="9" t="str">
        <v>Contract</v>
      </c>
      <c r="K63" s="9" t="str">
        <v>No</v>
      </c>
      <c r="L63" s="9" t="str">
        <v>KXIND/W/MV/MC/25007 - R1</v>
      </c>
      <c r="M63" s="9" t="str">
        <v>17/04/2025</v>
      </c>
      <c r="N63" s="9">
        <v>67600</v>
      </c>
      <c r="O63" s="9" t="str">
        <v>April</v>
      </c>
      <c r="P63" s="9" t="str">
        <v>April</v>
      </c>
      <c r="Q63" s="9">
        <v>1</v>
      </c>
      <c r="R63" s="9">
        <v>2102500206</v>
      </c>
      <c r="S63" s="9">
        <v>45965</v>
      </c>
      <c r="T63" s="9">
        <v>67600</v>
      </c>
      <c r="U63" s="9" t="str">
        <v>April</v>
      </c>
      <c r="V63" s="9">
        <v>0</v>
      </c>
      <c r="W63" s="9">
        <v>0</v>
      </c>
      <c r="X63" s="9">
        <v>0</v>
      </c>
      <c r="Y63" s="9">
        <v>0</v>
      </c>
    </row>
    <row r="64" spans="1:25">
      <c r="A64" s="9">
        <v>0</v>
      </c>
      <c r="B64" s="9">
        <v>0</v>
      </c>
      <c r="C64" s="9" t="str">
        <v>Secure Meters Limited</v>
      </c>
      <c r="D64" s="9" t="str">
        <v>Udaipur</v>
      </c>
      <c r="E64" s="9" t="str">
        <v>Gas Meters</v>
      </c>
      <c r="F64" s="9" t="str">
        <v>Sunil Kumar</v>
      </c>
      <c r="G64" s="9">
        <v>9355229233</v>
      </c>
      <c r="H64" s="9" t="str">
        <v>Sunil.kumar@securemeters.com</v>
      </c>
      <c r="I64" s="9" t="str">
        <v>17003534/002</v>
      </c>
      <c r="J64" s="9" t="str">
        <v>Contract</v>
      </c>
      <c r="K64" s="9" t="str">
        <v>No</v>
      </c>
      <c r="L64" s="9" t="str">
        <v>KXIND/W/MV/MC/25007 - R1</v>
      </c>
      <c r="M64" s="9" t="str">
        <v>17/04/2025</v>
      </c>
      <c r="N64" s="9">
        <v>67600</v>
      </c>
      <c r="O64" s="9" t="str">
        <v>April</v>
      </c>
      <c r="P64" s="9" t="str">
        <v>April</v>
      </c>
      <c r="Q64" s="9">
        <v>1</v>
      </c>
      <c r="R64" s="9">
        <v>2102500206</v>
      </c>
      <c r="S64" s="9">
        <v>45965</v>
      </c>
      <c r="T64" s="9">
        <v>67600</v>
      </c>
      <c r="U64" s="9" t="str">
        <v>April</v>
      </c>
      <c r="V64" s="9">
        <v>0</v>
      </c>
      <c r="W64" s="9">
        <v>0</v>
      </c>
      <c r="X64" s="9">
        <v>0</v>
      </c>
      <c r="Y64" s="9">
        <v>0</v>
      </c>
    </row>
    <row r="65" spans="1:25">
      <c r="A65" s="9">
        <v>0</v>
      </c>
      <c r="B65" s="9">
        <v>0</v>
      </c>
      <c r="C65" s="9" t="str">
        <v>Secure Meters Limited</v>
      </c>
      <c r="D65" s="9" t="str">
        <v>Udaipur</v>
      </c>
      <c r="E65" s="9" t="str">
        <v>Gas Meters</v>
      </c>
      <c r="F65" s="9" t="str">
        <v>Sunil Kumar</v>
      </c>
      <c r="G65" s="9">
        <v>9355229233</v>
      </c>
      <c r="H65" s="9" t="str">
        <v>Sunil.kumar@securemeters.com</v>
      </c>
      <c r="I65" s="9" t="str">
        <v>17001598 / 001</v>
      </c>
      <c r="J65" s="9" t="str">
        <v>Contract</v>
      </c>
      <c r="K65" s="9" t="str">
        <v>No</v>
      </c>
      <c r="L65" s="9" t="str">
        <v>KXIND/W/MV/MC/25007 - R1</v>
      </c>
      <c r="M65" s="9" t="str">
        <v>17/04/2025</v>
      </c>
      <c r="N65" s="9">
        <v>67600</v>
      </c>
      <c r="O65" s="9" t="str">
        <v>April</v>
      </c>
      <c r="P65" s="9" t="str">
        <v>April</v>
      </c>
      <c r="Q65" s="9">
        <v>1</v>
      </c>
      <c r="R65" s="9">
        <v>2102500206</v>
      </c>
      <c r="S65" s="9">
        <v>45965</v>
      </c>
      <c r="T65" s="9">
        <v>67600</v>
      </c>
      <c r="U65" s="9" t="str">
        <v>April</v>
      </c>
      <c r="V65" s="9">
        <v>0</v>
      </c>
      <c r="W65" s="9">
        <v>0</v>
      </c>
      <c r="X65" s="9">
        <v>0</v>
      </c>
      <c r="Y65" s="9">
        <v>0</v>
      </c>
    </row>
    <row r="66" spans="1:25">
      <c r="A66" s="9">
        <v>0</v>
      </c>
      <c r="B66" s="9">
        <v>0</v>
      </c>
      <c r="C66" s="9" t="str">
        <v>Secure Meters Limited</v>
      </c>
      <c r="D66" s="9" t="str">
        <v>Udaipur</v>
      </c>
      <c r="E66" s="9" t="str">
        <v>Gas Meters</v>
      </c>
      <c r="F66" s="9" t="str">
        <v>Sunil Kumar</v>
      </c>
      <c r="G66" s="9">
        <v>9355229233</v>
      </c>
      <c r="H66" s="9" t="str">
        <v>Sunil.kumar@securemeters.com</v>
      </c>
      <c r="I66" s="9" t="str">
        <v>17001598 / 002</v>
      </c>
      <c r="J66" s="9" t="str">
        <v>Contract</v>
      </c>
      <c r="K66" s="9" t="str">
        <v>No</v>
      </c>
      <c r="L66" s="9" t="str">
        <v>KXIND/W/MV/MC/25007 - R1</v>
      </c>
      <c r="M66" s="9" t="str">
        <v>17/04/2025</v>
      </c>
      <c r="N66" s="9">
        <v>67600</v>
      </c>
      <c r="O66" s="9" t="str">
        <v>April</v>
      </c>
      <c r="P66" s="9" t="str">
        <v>April</v>
      </c>
      <c r="Q66" s="9">
        <v>1</v>
      </c>
      <c r="R66" s="9">
        <v>2102500206</v>
      </c>
      <c r="S66" s="9">
        <v>45965</v>
      </c>
      <c r="T66" s="9">
        <v>67600</v>
      </c>
      <c r="U66" s="9" t="str">
        <v>April</v>
      </c>
      <c r="V66" s="9">
        <v>0</v>
      </c>
      <c r="W66" s="9">
        <v>0</v>
      </c>
      <c r="X66" s="9">
        <v>0</v>
      </c>
      <c r="Y66" s="9">
        <v>0</v>
      </c>
    </row>
    <row r="67" spans="1:25">
      <c r="A67" s="9">
        <v>31</v>
      </c>
      <c r="B67" s="9" t="str">
        <v>20/02/2025</v>
      </c>
      <c r="C67" s="9" t="str">
        <v>Secure Meters Limited</v>
      </c>
      <c r="D67" s="9" t="str">
        <v>Ahmadabad</v>
      </c>
      <c r="E67" s="9" t="str">
        <v>Maintenance</v>
      </c>
      <c r="F67" s="9" t="str">
        <v>Dharmendra Yadav</v>
      </c>
      <c r="G67" s="9" t="str">
        <v>95829 27693</v>
      </c>
      <c r="H67" s="9" t="str">
        <v>Dharmendra.yadav@securemeters.com</v>
      </c>
      <c r="I67" s="9" t="str">
        <v>17004137/001</v>
      </c>
      <c r="J67" s="9" t="str">
        <v>Contract</v>
      </c>
      <c r="K67" s="9" t="str">
        <v>No</v>
      </c>
      <c r="L67" s="9" t="str">
        <v>KXIND/W/MV/MC/25008 - R1</v>
      </c>
      <c r="M67" s="9" t="str">
        <v>17/04/2025</v>
      </c>
      <c r="N67" s="9">
        <v>83200</v>
      </c>
      <c r="O67" s="9" t="str">
        <v>April</v>
      </c>
      <c r="P67" s="9" t="str">
        <v>April</v>
      </c>
      <c r="Q67" s="9">
        <v>1</v>
      </c>
      <c r="R67" s="9">
        <v>3102500128</v>
      </c>
      <c r="S67" s="9" t="str">
        <v>18/04/2025</v>
      </c>
      <c r="T67" s="9">
        <v>83200</v>
      </c>
      <c r="U67" s="9" t="str">
        <v>April</v>
      </c>
      <c r="V67" s="9">
        <v>0</v>
      </c>
      <c r="W67" s="9">
        <v>0</v>
      </c>
      <c r="X67" s="9">
        <v>0</v>
      </c>
      <c r="Y67" s="9">
        <v>0</v>
      </c>
    </row>
    <row r="68" spans="1:25">
      <c r="A68" s="9">
        <v>0</v>
      </c>
      <c r="B68" s="9">
        <v>0</v>
      </c>
      <c r="C68" s="9" t="str">
        <v>Secure Meters Limited</v>
      </c>
      <c r="D68" s="9" t="str">
        <v>Ahmadabad</v>
      </c>
      <c r="E68" s="9" t="str">
        <v>Maintenance</v>
      </c>
      <c r="F68" s="9" t="str">
        <v>Dharmendra Yadav</v>
      </c>
      <c r="G68" s="9" t="str">
        <v>95829 27693</v>
      </c>
      <c r="H68" s="9" t="str">
        <v>Dharmendra.yadav@securemeters.com</v>
      </c>
      <c r="I68" s="9" t="str">
        <v>17004137/002</v>
      </c>
      <c r="J68" s="9" t="str">
        <v>Contract</v>
      </c>
      <c r="K68" s="9" t="str">
        <v>No</v>
      </c>
      <c r="L68" s="9" t="str">
        <v>KXIND/W/MV/MC/25008 - R1</v>
      </c>
      <c r="M68" s="9" t="str">
        <v>17/04/2025</v>
      </c>
      <c r="N68" s="9">
        <v>83200</v>
      </c>
      <c r="O68" s="9" t="str">
        <v>April</v>
      </c>
      <c r="P68" s="9" t="str">
        <v>April</v>
      </c>
      <c r="Q68" s="9">
        <v>1</v>
      </c>
      <c r="R68" s="9">
        <v>3102500128</v>
      </c>
      <c r="S68" s="9" t="str">
        <v>18/04/2025</v>
      </c>
      <c r="T68" s="9">
        <v>83200</v>
      </c>
      <c r="U68" s="9" t="str">
        <v>April</v>
      </c>
      <c r="V68" s="9">
        <v>0</v>
      </c>
      <c r="W68" s="9">
        <v>0</v>
      </c>
      <c r="X68" s="9">
        <v>0</v>
      </c>
      <c r="Y68" s="9">
        <v>0</v>
      </c>
    </row>
    <row r="69" spans="1:25">
      <c r="A69" s="9">
        <v>0</v>
      </c>
      <c r="B69" s="9">
        <v>0</v>
      </c>
      <c r="C69" s="9" t="str">
        <v>Secure Meters Limited</v>
      </c>
      <c r="D69" s="9" t="str">
        <v>Ahmadabad</v>
      </c>
      <c r="E69" s="9" t="str">
        <v>Maintenance</v>
      </c>
      <c r="F69" s="9" t="str">
        <v>Dharmendra Yadav</v>
      </c>
      <c r="G69" s="9" t="str">
        <v>95829 27693</v>
      </c>
      <c r="H69" s="9" t="str">
        <v>Dharmendra.yadav@securemeters.com</v>
      </c>
      <c r="I69" s="9" t="str">
        <v>17004137/003</v>
      </c>
      <c r="J69" s="9" t="str">
        <v>Contract</v>
      </c>
      <c r="K69" s="9" t="str">
        <v>No</v>
      </c>
      <c r="L69" s="9" t="str">
        <v>KXIND/W/MV/MC/25008 - R1</v>
      </c>
      <c r="M69" s="9" t="str">
        <v>17/04/2025</v>
      </c>
      <c r="N69" s="9">
        <v>83200</v>
      </c>
      <c r="O69" s="9" t="str">
        <v>April</v>
      </c>
      <c r="P69" s="9" t="str">
        <v>April</v>
      </c>
      <c r="Q69" s="9">
        <v>1</v>
      </c>
      <c r="R69" s="9">
        <v>3102500128</v>
      </c>
      <c r="S69" s="9" t="str">
        <v>18/04/2025</v>
      </c>
      <c r="T69" s="9">
        <v>83200</v>
      </c>
      <c r="U69" s="9" t="str">
        <v>April</v>
      </c>
      <c r="V69" s="9">
        <v>0</v>
      </c>
      <c r="W69" s="9">
        <v>0</v>
      </c>
      <c r="X69" s="9">
        <v>0</v>
      </c>
      <c r="Y69" s="9">
        <v>0</v>
      </c>
    </row>
    <row r="70" spans="1:25">
      <c r="A70" s="9">
        <v>0</v>
      </c>
      <c r="B70" s="9">
        <v>0</v>
      </c>
      <c r="C70" s="9" t="str">
        <v>Secure Meters Limited</v>
      </c>
      <c r="D70" s="9" t="str">
        <v>Ahmadabad</v>
      </c>
      <c r="E70" s="9" t="str">
        <v>Maintenance</v>
      </c>
      <c r="F70" s="9" t="str">
        <v>Dharmendra Yadav</v>
      </c>
      <c r="G70" s="9" t="str">
        <v>95829 27693</v>
      </c>
      <c r="H70" s="9" t="str">
        <v>Dharmendra.yadav@securemeters.com</v>
      </c>
      <c r="I70" s="9" t="str">
        <v>17003535/001</v>
      </c>
      <c r="J70" s="9" t="str">
        <v>Contract</v>
      </c>
      <c r="K70" s="9" t="str">
        <v>No</v>
      </c>
      <c r="L70" s="9" t="str">
        <v>KXIND/W/MV/MC/25008 - R1</v>
      </c>
      <c r="M70" s="9" t="str">
        <v>17/04/2025</v>
      </c>
      <c r="N70" s="9">
        <v>83200</v>
      </c>
      <c r="O70" s="9" t="str">
        <v>April</v>
      </c>
      <c r="P70" s="9" t="str">
        <v>April</v>
      </c>
      <c r="Q70" s="9">
        <v>1</v>
      </c>
      <c r="R70" s="9">
        <v>3102500128</v>
      </c>
      <c r="S70" s="9" t="str">
        <v>18/04/2025</v>
      </c>
      <c r="T70" s="9">
        <v>83200</v>
      </c>
      <c r="U70" s="9" t="str">
        <v>April</v>
      </c>
      <c r="V70" s="9">
        <v>0</v>
      </c>
      <c r="W70" s="9">
        <v>0</v>
      </c>
      <c r="X70" s="9">
        <v>0</v>
      </c>
      <c r="Y70" s="9">
        <v>0</v>
      </c>
    </row>
    <row r="71" spans="1:25">
      <c r="A71" s="9">
        <v>0</v>
      </c>
      <c r="B71" s="9">
        <v>0</v>
      </c>
      <c r="C71" s="9" t="str">
        <v>Secure Meters Limited</v>
      </c>
      <c r="D71" s="9" t="str">
        <v>Ahmadabad</v>
      </c>
      <c r="E71" s="9" t="str">
        <v>Maintenance</v>
      </c>
      <c r="F71" s="9" t="str">
        <v>Dharmendra Yadav</v>
      </c>
      <c r="G71" s="9" t="str">
        <v>95829 27693</v>
      </c>
      <c r="H71" s="9" t="str">
        <v>Dharmendra.yadav@securemeters.com</v>
      </c>
      <c r="I71" s="9" t="str">
        <v>17003534/001</v>
      </c>
      <c r="J71" s="9" t="str">
        <v>Contract</v>
      </c>
      <c r="K71" s="9" t="str">
        <v>No</v>
      </c>
      <c r="L71" s="9" t="str">
        <v>KXIND/W/MV/MC/25008 - R1</v>
      </c>
      <c r="M71" s="9" t="str">
        <v>17/04/2025</v>
      </c>
      <c r="N71" s="9">
        <v>67600</v>
      </c>
      <c r="O71" s="9" t="str">
        <v>April</v>
      </c>
      <c r="P71" s="9" t="str">
        <v>April</v>
      </c>
      <c r="Q71" s="9">
        <v>1</v>
      </c>
      <c r="R71" s="9">
        <v>3102500128</v>
      </c>
      <c r="S71" s="9" t="str">
        <v>18/04/2025</v>
      </c>
      <c r="T71" s="9">
        <v>67600</v>
      </c>
      <c r="U71" s="9" t="str">
        <v>April</v>
      </c>
      <c r="V71" s="9">
        <v>0</v>
      </c>
      <c r="W71" s="9">
        <v>0</v>
      </c>
      <c r="X71" s="9">
        <v>0</v>
      </c>
      <c r="Y71" s="9">
        <v>0</v>
      </c>
    </row>
    <row r="72" spans="1:25">
      <c r="A72" s="9">
        <v>0</v>
      </c>
      <c r="B72" s="9">
        <v>0</v>
      </c>
      <c r="C72" s="9" t="str">
        <v>Secure Meters Limited</v>
      </c>
      <c r="D72" s="9" t="str">
        <v>Ahmadabad</v>
      </c>
      <c r="E72" s="9" t="str">
        <v>Maintenance</v>
      </c>
      <c r="F72" s="9" t="str">
        <v>Dharmendra Yadav</v>
      </c>
      <c r="G72" s="9" t="str">
        <v>95829 27693</v>
      </c>
      <c r="H72" s="9" t="str">
        <v>Dharmendra.yadav@securemeters.com</v>
      </c>
      <c r="I72" s="9" t="str">
        <v>17003535/002</v>
      </c>
      <c r="J72" s="9" t="str">
        <v>Contract</v>
      </c>
      <c r="K72" s="9" t="str">
        <v>No</v>
      </c>
      <c r="L72" s="9" t="str">
        <v>KXIND/W/MV/MC/25008 - R1</v>
      </c>
      <c r="M72" s="9" t="str">
        <v>17/04/2025</v>
      </c>
      <c r="N72" s="9">
        <v>67600</v>
      </c>
      <c r="O72" s="9" t="str">
        <v>April</v>
      </c>
      <c r="P72" s="9" t="str">
        <v>April</v>
      </c>
      <c r="Q72" s="9">
        <v>1</v>
      </c>
      <c r="R72" s="9">
        <v>3102500128</v>
      </c>
      <c r="S72" s="9" t="str">
        <v>18/04/2025</v>
      </c>
      <c r="T72" s="9">
        <v>67600</v>
      </c>
      <c r="U72" s="9" t="str">
        <v>April</v>
      </c>
      <c r="V72" s="9">
        <v>0</v>
      </c>
      <c r="W72" s="9">
        <v>0</v>
      </c>
      <c r="X72" s="9">
        <v>0</v>
      </c>
      <c r="Y72" s="9">
        <v>0</v>
      </c>
    </row>
    <row r="73" spans="1:25">
      <c r="A73" s="9">
        <v>32</v>
      </c>
      <c r="B73" s="9">
        <v>45933</v>
      </c>
      <c r="C73" s="9" t="str">
        <v xml:space="preserve">Hitachi Energy India Ltd </v>
      </c>
      <c r="D73" s="9" t="str">
        <v>Vadodara</v>
      </c>
      <c r="E73" s="9" t="str">
        <v>Maintenance</v>
      </c>
      <c r="F73" s="9" t="str">
        <v>Deepak Kumar Parmar</v>
      </c>
      <c r="G73" s="9">
        <v>8460155846</v>
      </c>
      <c r="H73" s="9" t="str">
        <v>Deepakkumar.parmar@hitachienergy.com</v>
      </c>
      <c r="I73" s="9" t="str">
        <v xml:space="preserve">12005859/001 </v>
      </c>
      <c r="J73" s="9" t="str">
        <v>Contract</v>
      </c>
      <c r="K73" s="9" t="str">
        <v>No</v>
      </c>
      <c r="L73" s="9" t="str">
        <v>KXIND/W/MV/MC/25009</v>
      </c>
      <c r="M73" s="9">
        <v>45933</v>
      </c>
      <c r="N73" s="9">
        <v>90000</v>
      </c>
      <c r="O73" s="9" t="str">
        <v>March</v>
      </c>
      <c r="P73" s="9" t="str">
        <v>April</v>
      </c>
      <c r="Q73" s="9">
        <v>1</v>
      </c>
      <c r="R73" s="9">
        <v>7000168921</v>
      </c>
      <c r="S73" s="9" t="str">
        <v>26/6/2025</v>
      </c>
      <c r="T73" s="9">
        <v>90000</v>
      </c>
      <c r="U73" s="9" t="str">
        <v>April</v>
      </c>
      <c r="V73" s="9">
        <v>0</v>
      </c>
      <c r="W73" s="9">
        <v>0</v>
      </c>
      <c r="X73" s="9">
        <v>0</v>
      </c>
      <c r="Y73" s="9">
        <v>0</v>
      </c>
    </row>
    <row r="74" spans="1:25">
      <c r="A74" s="9">
        <v>0</v>
      </c>
      <c r="B74" s="9">
        <v>0</v>
      </c>
      <c r="C74" s="9" t="str">
        <v xml:space="preserve">Hitachi Energy India Ltd </v>
      </c>
      <c r="D74" s="9" t="str">
        <v>Vadodara</v>
      </c>
      <c r="E74" s="9" t="str">
        <v>Maintenance</v>
      </c>
      <c r="F74" s="9" t="str">
        <v>Deepak Kumar Parmar</v>
      </c>
      <c r="G74" s="9">
        <v>8460155846</v>
      </c>
      <c r="H74" s="9" t="str">
        <v>Deepakkumar.parmar@hitachienergy.com</v>
      </c>
      <c r="I74" s="9" t="str">
        <v>12005895/001</v>
      </c>
      <c r="J74" s="9" t="str">
        <v>Contract</v>
      </c>
      <c r="K74" s="9" t="str">
        <v>No</v>
      </c>
      <c r="L74" s="9" t="str">
        <v>KXIND/W/MV/MC/25009</v>
      </c>
      <c r="M74" s="9">
        <v>45933</v>
      </c>
      <c r="N74" s="9">
        <v>90000</v>
      </c>
      <c r="O74" s="9" t="str">
        <v>March</v>
      </c>
      <c r="P74" s="9" t="str">
        <v>April</v>
      </c>
      <c r="Q74" s="9">
        <v>1</v>
      </c>
      <c r="R74" s="9">
        <v>7000168921</v>
      </c>
      <c r="S74" s="9" t="str">
        <v>26/6/2025</v>
      </c>
      <c r="T74" s="9">
        <v>90000</v>
      </c>
      <c r="U74" s="9" t="str">
        <v>April</v>
      </c>
      <c r="V74" s="9">
        <v>0</v>
      </c>
      <c r="W74" s="9">
        <v>0</v>
      </c>
      <c r="X74" s="9">
        <v>0</v>
      </c>
      <c r="Y74" s="9">
        <v>0</v>
      </c>
    </row>
    <row r="75" spans="1:25">
      <c r="A75" s="9">
        <v>33</v>
      </c>
      <c r="B75" s="9">
        <v>45933</v>
      </c>
      <c r="C75" s="9" t="str">
        <v>Powerstatic Solutions India Private Limited (GE Power Systems India Pvt Ltd)</v>
      </c>
      <c r="D75" s="9" t="str">
        <v>Ahmedabad</v>
      </c>
      <c r="E75" s="9" t="str">
        <v>Maintenance</v>
      </c>
      <c r="F75" s="9" t="str">
        <v>Arvind Pardeshi</v>
      </c>
      <c r="G75" s="9">
        <v>7507659412</v>
      </c>
      <c r="H75" s="9" t="str">
        <v>Arvind.Pardeshi@gevernova.com</v>
      </c>
      <c r="I75" s="9" t="str">
        <v>14005716/001</v>
      </c>
      <c r="J75" s="9" t="str">
        <v>Contract</v>
      </c>
      <c r="K75" s="9" t="str">
        <v>No</v>
      </c>
      <c r="L75" s="9" t="str">
        <v>KXIND/W/MV/MC/25010</v>
      </c>
      <c r="M75" s="9">
        <v>45933</v>
      </c>
      <c r="N75" s="9">
        <v>84000</v>
      </c>
      <c r="O75" s="9" t="str">
        <v>March</v>
      </c>
      <c r="P75" s="9" t="str">
        <v>April</v>
      </c>
      <c r="Q75" s="9">
        <v>1</v>
      </c>
      <c r="R75" s="9">
        <v>7100337783</v>
      </c>
      <c r="S75" s="9" t="str">
        <v>26/04/2025</v>
      </c>
      <c r="T75" s="9">
        <v>84000</v>
      </c>
      <c r="U75" s="9" t="str">
        <v>April</v>
      </c>
      <c r="V75" s="9">
        <v>0</v>
      </c>
      <c r="W75" s="9">
        <v>0</v>
      </c>
      <c r="X75" s="9">
        <v>0</v>
      </c>
      <c r="Y75" s="9">
        <v>0</v>
      </c>
    </row>
    <row r="76" spans="1:25">
      <c r="A76" s="9">
        <v>0</v>
      </c>
      <c r="B76" s="9">
        <v>0</v>
      </c>
      <c r="C76" s="9" t="str">
        <v>Powerstatic Solutions India Private Limited (GE Power Systems India Pvt Ltd)</v>
      </c>
      <c r="D76" s="9" t="str">
        <v>Ahmedabad</v>
      </c>
      <c r="E76" s="9" t="str">
        <v>Maintenance</v>
      </c>
      <c r="F76" s="9" t="str">
        <v>Arvind Pardeshi</v>
      </c>
      <c r="G76" s="9">
        <v>7507659412</v>
      </c>
      <c r="H76" s="9" t="str">
        <v>Arvind.Pardeshi@gevernova.com</v>
      </c>
      <c r="I76" s="9" t="str">
        <v>14005716/002</v>
      </c>
      <c r="J76" s="9" t="str">
        <v>Contract</v>
      </c>
      <c r="K76" s="9" t="str">
        <v>No</v>
      </c>
      <c r="L76" s="9" t="str">
        <v>KXIND/W/MV/MC/25010</v>
      </c>
      <c r="M76" s="9">
        <v>45933</v>
      </c>
      <c r="N76" s="9">
        <v>84000</v>
      </c>
      <c r="O76" s="9" t="str">
        <v>March</v>
      </c>
      <c r="P76" s="9" t="str">
        <v>April</v>
      </c>
      <c r="Q76" s="9">
        <v>1</v>
      </c>
      <c r="R76" s="9">
        <v>7100337783</v>
      </c>
      <c r="S76" s="9" t="str">
        <v>26/04/2025</v>
      </c>
      <c r="T76" s="9">
        <v>84000</v>
      </c>
      <c r="U76" s="9" t="str">
        <v>April</v>
      </c>
      <c r="V76" s="9">
        <v>0</v>
      </c>
      <c r="W76" s="9">
        <v>0</v>
      </c>
      <c r="X76" s="9">
        <v>0</v>
      </c>
      <c r="Y76" s="9">
        <v>0</v>
      </c>
    </row>
    <row r="77" spans="1:25">
      <c r="A77" s="9">
        <v>34</v>
      </c>
      <c r="B77" s="9">
        <v>45933</v>
      </c>
      <c r="C77" s="9" t="str">
        <v>Inductotherm India Pvt Ltd.</v>
      </c>
      <c r="D77" s="9" t="str">
        <v>Ahmedabad</v>
      </c>
      <c r="E77" s="9" t="str">
        <v>Maintenance</v>
      </c>
      <c r="F77" s="9" t="str">
        <v>Amrut Patel</v>
      </c>
      <c r="G77" s="9">
        <v>9376985284</v>
      </c>
      <c r="H77" s="9" t="str">
        <v>maintedept-1@inductothermindia.com</v>
      </c>
      <c r="I77" s="9" t="str">
        <v>15003537/001</v>
      </c>
      <c r="J77" s="9" t="str">
        <v>Contract</v>
      </c>
      <c r="K77" s="9" t="str">
        <v>No</v>
      </c>
      <c r="L77" s="9" t="str">
        <v>KXIND/W/MV/MC/25011</v>
      </c>
      <c r="M77" s="9">
        <v>45933</v>
      </c>
      <c r="N77" s="9">
        <v>68250</v>
      </c>
      <c r="O77" s="9" t="str">
        <v>March</v>
      </c>
      <c r="P77" s="9" t="str">
        <v>April</v>
      </c>
      <c r="Q77" s="9">
        <v>1</v>
      </c>
      <c r="R77" s="9" t="str">
        <v>PO-2526-002296</v>
      </c>
      <c r="S77" s="9" t="str">
        <v>23/04/2025</v>
      </c>
      <c r="T77" s="9">
        <v>68250</v>
      </c>
      <c r="U77" s="9" t="str">
        <v>April</v>
      </c>
      <c r="V77" s="9">
        <v>0</v>
      </c>
      <c r="W77" s="9">
        <v>0</v>
      </c>
      <c r="X77" s="9">
        <v>0</v>
      </c>
      <c r="Y77" s="9">
        <v>0</v>
      </c>
    </row>
    <row r="78" spans="1:25">
      <c r="A78" s="9">
        <v>0</v>
      </c>
      <c r="B78" s="9">
        <v>0</v>
      </c>
      <c r="C78" s="9" t="str">
        <v>Inductotherm India Pvt Ltd.</v>
      </c>
      <c r="D78" s="9" t="str">
        <v>Ahmedabad</v>
      </c>
      <c r="E78" s="9" t="str">
        <v>Maintenance</v>
      </c>
      <c r="F78" s="9" t="str">
        <v>Amrut Patel</v>
      </c>
      <c r="G78" s="9">
        <v>9376985284</v>
      </c>
      <c r="H78" s="9" t="str">
        <v>maintedept-1@inductothermindia.com</v>
      </c>
      <c r="I78" s="9" t="str">
        <v>15003537/002</v>
      </c>
      <c r="J78" s="9" t="str">
        <v>Contract</v>
      </c>
      <c r="K78" s="9" t="str">
        <v>No</v>
      </c>
      <c r="L78" s="9" t="str">
        <v>KXIND/W/MV/MC/25011</v>
      </c>
      <c r="M78" s="9">
        <v>45933</v>
      </c>
      <c r="N78" s="9">
        <v>68250</v>
      </c>
      <c r="O78" s="9" t="str">
        <v>March</v>
      </c>
      <c r="P78" s="9" t="str">
        <v>April</v>
      </c>
      <c r="Q78" s="9">
        <v>1</v>
      </c>
      <c r="R78" s="9" t="str">
        <v>PO-2526-002296</v>
      </c>
      <c r="S78" s="9" t="str">
        <v>23/04/2025</v>
      </c>
      <c r="T78" s="9">
        <v>68250</v>
      </c>
      <c r="U78" s="9" t="str">
        <v>April</v>
      </c>
      <c r="V78" s="9">
        <v>0</v>
      </c>
      <c r="W78" s="9">
        <v>0</v>
      </c>
      <c r="X78" s="9">
        <v>0</v>
      </c>
      <c r="Y78" s="9">
        <v>0</v>
      </c>
    </row>
    <row r="79" spans="1:25">
      <c r="A79" s="9">
        <v>0</v>
      </c>
      <c r="B79" s="9">
        <v>0</v>
      </c>
      <c r="C79" s="9" t="str">
        <v>Inductotherm India Pvt Ltd.</v>
      </c>
      <c r="D79" s="9" t="str">
        <v>Ahmedabad</v>
      </c>
      <c r="E79" s="9" t="str">
        <v>Maintenance</v>
      </c>
      <c r="F79" s="9" t="str">
        <v>Amrut Patel</v>
      </c>
      <c r="G79" s="9">
        <v>9376985284</v>
      </c>
      <c r="H79" s="9" t="str">
        <v>maintedept-1@inductothermindia.com</v>
      </c>
      <c r="I79" s="9" t="str">
        <v>15003539/001</v>
      </c>
      <c r="J79" s="9" t="str">
        <v>Contract</v>
      </c>
      <c r="K79" s="9" t="str">
        <v>No</v>
      </c>
      <c r="L79" s="9" t="str">
        <v>KXIND/W/MV/MC/25011</v>
      </c>
      <c r="M79" s="9">
        <v>45933</v>
      </c>
      <c r="N79" s="9">
        <v>68250</v>
      </c>
      <c r="O79" s="9" t="str">
        <v>March</v>
      </c>
      <c r="P79" s="9" t="str">
        <v>April</v>
      </c>
      <c r="Q79" s="9">
        <v>1</v>
      </c>
      <c r="R79" s="9" t="str">
        <v>PO-2526-002296</v>
      </c>
      <c r="S79" s="9" t="str">
        <v>23/04/2025</v>
      </c>
      <c r="T79" s="9">
        <v>68250</v>
      </c>
      <c r="U79" s="9" t="str">
        <v>April</v>
      </c>
      <c r="V79" s="9">
        <v>0</v>
      </c>
      <c r="W79" s="9">
        <v>0</v>
      </c>
      <c r="X79" s="9">
        <v>0</v>
      </c>
      <c r="Y79" s="9">
        <v>0</v>
      </c>
    </row>
    <row r="80" spans="1:25">
      <c r="A80" s="9">
        <v>0</v>
      </c>
      <c r="B80" s="9">
        <v>0</v>
      </c>
      <c r="C80" s="9" t="str">
        <v>Inductotherm India Pvt Ltd.</v>
      </c>
      <c r="D80" s="9" t="str">
        <v>Ahmedabad</v>
      </c>
      <c r="E80" s="9" t="str">
        <v>Maintenance</v>
      </c>
      <c r="F80" s="9" t="str">
        <v>Amrut Patel</v>
      </c>
      <c r="G80" s="9">
        <v>9376985284</v>
      </c>
      <c r="H80" s="9" t="str">
        <v>maintedept-1@inductothermindia.com</v>
      </c>
      <c r="I80" s="9" t="str">
        <v>15003539/002</v>
      </c>
      <c r="J80" s="9" t="str">
        <v>Contract</v>
      </c>
      <c r="K80" s="9" t="str">
        <v>No</v>
      </c>
      <c r="L80" s="9" t="str">
        <v>KXIND/W/MV/MC/25011</v>
      </c>
      <c r="M80" s="9">
        <v>45933</v>
      </c>
      <c r="N80" s="9">
        <v>68250</v>
      </c>
      <c r="O80" s="9" t="str">
        <v>March</v>
      </c>
      <c r="P80" s="9" t="str">
        <v>April</v>
      </c>
      <c r="Q80" s="9">
        <v>1</v>
      </c>
      <c r="R80" s="9" t="str">
        <v>PO-2526-002296</v>
      </c>
      <c r="S80" s="9" t="str">
        <v>23/04/2025</v>
      </c>
      <c r="T80" s="9">
        <v>68250</v>
      </c>
      <c r="U80" s="9" t="str">
        <v>April</v>
      </c>
      <c r="V80" s="9">
        <v>0</v>
      </c>
      <c r="W80" s="9">
        <v>0</v>
      </c>
      <c r="X80" s="9">
        <v>0</v>
      </c>
      <c r="Y80" s="9">
        <v>0</v>
      </c>
    </row>
    <row r="81" spans="1:25">
      <c r="A81" s="9">
        <v>0</v>
      </c>
      <c r="B81" s="9">
        <v>0</v>
      </c>
      <c r="C81" s="9" t="str">
        <v>Inductotherm India Pvt Ltd.</v>
      </c>
      <c r="D81" s="9" t="str">
        <v>Ahmedabad</v>
      </c>
      <c r="E81" s="9" t="str">
        <v>Maintenance</v>
      </c>
      <c r="F81" s="9" t="str">
        <v>Amrut Patel</v>
      </c>
      <c r="G81" s="9">
        <v>9376985284</v>
      </c>
      <c r="H81" s="9" t="str">
        <v>maintedept-1@inductothermindia.com</v>
      </c>
      <c r="I81" s="9" t="str">
        <v>15003539/003</v>
      </c>
      <c r="J81" s="9" t="str">
        <v>Contract</v>
      </c>
      <c r="K81" s="9" t="str">
        <v>No</v>
      </c>
      <c r="L81" s="9" t="str">
        <v>KXIND/W/MV/MC/25011</v>
      </c>
      <c r="M81" s="9">
        <v>45933</v>
      </c>
      <c r="N81" s="9">
        <v>68250</v>
      </c>
      <c r="O81" s="9" t="str">
        <v>March</v>
      </c>
      <c r="P81" s="9" t="str">
        <v>April</v>
      </c>
      <c r="Q81" s="9">
        <v>1</v>
      </c>
      <c r="R81" s="9" t="str">
        <v>PO-2526-002296</v>
      </c>
      <c r="S81" s="9" t="str">
        <v>23/04/2025</v>
      </c>
      <c r="T81" s="9">
        <v>68250</v>
      </c>
      <c r="U81" s="9" t="str">
        <v>April</v>
      </c>
      <c r="V81" s="9">
        <v>0</v>
      </c>
      <c r="W81" s="9">
        <v>0</v>
      </c>
      <c r="X81" s="9">
        <v>0</v>
      </c>
      <c r="Y81" s="9">
        <v>0</v>
      </c>
    </row>
    <row r="82" spans="1:25">
      <c r="A82" s="9">
        <v>35</v>
      </c>
      <c r="B82" s="9">
        <v>45933</v>
      </c>
      <c r="C82" s="9" t="str">
        <v>Bhavani Industries</v>
      </c>
      <c r="D82" s="9" t="str">
        <v>Rajkot</v>
      </c>
      <c r="E82" s="9" t="str">
        <v>Maintenance</v>
      </c>
      <c r="F82" s="9" t="str">
        <v>Jagdish Paun</v>
      </c>
      <c r="G82" s="9" t="str">
        <v>99252 44520</v>
      </c>
      <c r="H82" s="9" t="str">
        <v>jagdish.paun@bhavani.co.in</v>
      </c>
      <c r="I82" s="9" t="str">
        <v>12002683/001</v>
      </c>
      <c r="J82" s="9" t="str">
        <v>Contract</v>
      </c>
      <c r="K82" s="9" t="str">
        <v>No</v>
      </c>
      <c r="L82" s="9" t="str">
        <v>KXIND/W/MV/MC/25012</v>
      </c>
      <c r="M82" s="9">
        <v>45933</v>
      </c>
      <c r="N82" s="9">
        <v>52000</v>
      </c>
      <c r="O82" s="9" t="str">
        <v>March</v>
      </c>
      <c r="P82" s="9" t="str">
        <v>May</v>
      </c>
      <c r="Q82" s="9">
        <v>1</v>
      </c>
      <c r="R82" s="9" t="str">
        <v>POC/25-26/1163</v>
      </c>
      <c r="S82" s="9" t="str">
        <v>15/05/2025</v>
      </c>
      <c r="T82" s="9">
        <v>52000</v>
      </c>
      <c r="U82" s="9" t="str">
        <v>May</v>
      </c>
      <c r="V82" s="9">
        <v>0</v>
      </c>
      <c r="W82" s="9">
        <v>0</v>
      </c>
      <c r="X82" s="9">
        <v>0</v>
      </c>
      <c r="Y82" s="9">
        <v>0</v>
      </c>
    </row>
    <row r="83" spans="1:25">
      <c r="A83" s="9">
        <v>0</v>
      </c>
      <c r="B83" s="9">
        <v>0</v>
      </c>
      <c r="C83" s="9" t="str">
        <v>Bhavani Industries</v>
      </c>
      <c r="D83" s="9" t="str">
        <v>Rajkot</v>
      </c>
      <c r="E83" s="9" t="str">
        <v>Maintenance</v>
      </c>
      <c r="F83" s="9" t="str">
        <v>Jagdish Paun</v>
      </c>
      <c r="G83" s="9" t="str">
        <v>99252 44520</v>
      </c>
      <c r="H83" s="9" t="str">
        <v>jagdish.paun@bhavani.co.in</v>
      </c>
      <c r="I83" s="9" t="str">
        <v>12002684/001</v>
      </c>
      <c r="J83" s="9" t="str">
        <v>Contract</v>
      </c>
      <c r="K83" s="9" t="str">
        <v>No</v>
      </c>
      <c r="L83" s="9" t="str">
        <v>KXIND/W/MV/MC/25012</v>
      </c>
      <c r="M83" s="9">
        <v>45933</v>
      </c>
      <c r="N83" s="9">
        <v>52000</v>
      </c>
      <c r="O83" s="9" t="str">
        <v>March</v>
      </c>
      <c r="P83" s="9" t="str">
        <v>May</v>
      </c>
      <c r="Q83" s="9">
        <v>1</v>
      </c>
      <c r="R83" s="9" t="str">
        <v>POC/25-26/1163</v>
      </c>
      <c r="S83" s="9" t="str">
        <v>15/05/2025</v>
      </c>
      <c r="T83" s="9">
        <v>52000</v>
      </c>
      <c r="U83" s="9" t="str">
        <v>May</v>
      </c>
      <c r="V83" s="9">
        <v>0</v>
      </c>
      <c r="W83" s="9">
        <v>0</v>
      </c>
      <c r="X83" s="9">
        <v>0</v>
      </c>
      <c r="Y83" s="9">
        <v>0</v>
      </c>
    </row>
    <row r="84" spans="1:25">
      <c r="A84" s="9">
        <v>0</v>
      </c>
      <c r="B84" s="9">
        <v>0</v>
      </c>
      <c r="C84" s="9" t="str">
        <v>Bhavani Industries</v>
      </c>
      <c r="D84" s="9" t="str">
        <v>Rajkot</v>
      </c>
      <c r="E84" s="9" t="str">
        <v>Maintenance</v>
      </c>
      <c r="F84" s="9" t="str">
        <v>Jagdish Paun</v>
      </c>
      <c r="G84" s="9" t="str">
        <v>99252 44520</v>
      </c>
      <c r="H84" s="9" t="str">
        <v>jagdish.paun@bhavani.co.in</v>
      </c>
      <c r="I84" s="9" t="str">
        <v>17005324/001</v>
      </c>
      <c r="J84" s="9" t="str">
        <v>Contract</v>
      </c>
      <c r="K84" s="9" t="str">
        <v>No</v>
      </c>
      <c r="L84" s="9" t="str">
        <v>KXIND/W/MV/MC/25012</v>
      </c>
      <c r="M84" s="9">
        <v>45933</v>
      </c>
      <c r="N84" s="9">
        <v>52000</v>
      </c>
      <c r="O84" s="9" t="str">
        <v>March</v>
      </c>
      <c r="P84" s="9" t="str">
        <v>May</v>
      </c>
      <c r="Q84" s="9">
        <v>1</v>
      </c>
      <c r="R84" s="9" t="str">
        <v>POC/25-26/1163</v>
      </c>
      <c r="S84" s="9" t="str">
        <v>15/05/2025</v>
      </c>
      <c r="T84" s="9">
        <v>52000</v>
      </c>
      <c r="U84" s="9" t="str">
        <v>May</v>
      </c>
      <c r="V84" s="9">
        <v>0</v>
      </c>
      <c r="W84" s="9">
        <v>0</v>
      </c>
      <c r="X84" s="9">
        <v>0</v>
      </c>
      <c r="Y84" s="9">
        <v>0</v>
      </c>
    </row>
    <row r="85" spans="1:25">
      <c r="A85" s="9">
        <v>36</v>
      </c>
      <c r="B85" s="9">
        <v>45964</v>
      </c>
      <c r="C85" s="9" t="str">
        <v>Prasad Koch Technik Pvt Ltd</v>
      </c>
      <c r="D85" s="9" t="str">
        <v>Ahmedabad</v>
      </c>
      <c r="E85" s="9" t="str">
        <v>Maintenance</v>
      </c>
      <c r="F85" s="9" t="str">
        <v>Mehul Patel</v>
      </c>
      <c r="G85" s="9" t="str">
        <v>97277 12118</v>
      </c>
      <c r="H85" s="9" t="str">
        <v>utility@prasadgroup.com</v>
      </c>
      <c r="I85" s="9" t="str">
        <v>12006519/001</v>
      </c>
      <c r="J85" s="9" t="str">
        <v>Contract</v>
      </c>
      <c r="K85" s="9" t="str">
        <v>No</v>
      </c>
      <c r="L85" s="9" t="str">
        <v>KXIND/W/MV/MC/25013</v>
      </c>
      <c r="M85" s="9">
        <v>45964</v>
      </c>
      <c r="N85" s="9">
        <v>55000</v>
      </c>
      <c r="O85" s="9" t="str">
        <v>March</v>
      </c>
      <c r="P85" s="9" t="str">
        <v>April</v>
      </c>
      <c r="Q85" s="9">
        <v>1</v>
      </c>
      <c r="R85" s="9" t="str">
        <v>MECHANICAL/47</v>
      </c>
      <c r="S85" s="9" t="str">
        <v>15/04/2025</v>
      </c>
      <c r="T85" s="9">
        <v>52800</v>
      </c>
      <c r="U85" s="9" t="str">
        <v>April</v>
      </c>
      <c r="V85" s="9">
        <v>0</v>
      </c>
      <c r="W85" s="9">
        <v>0</v>
      </c>
      <c r="X85" s="9">
        <v>0</v>
      </c>
      <c r="Y85" s="9">
        <v>0</v>
      </c>
    </row>
    <row r="86" spans="1:25">
      <c r="A86" s="9">
        <v>0</v>
      </c>
      <c r="B86" s="9">
        <v>0</v>
      </c>
      <c r="C86" s="9" t="str">
        <v>Prasad Koch Technik Pvt Ltd</v>
      </c>
      <c r="D86" s="9" t="str">
        <v>Ahmedabad</v>
      </c>
      <c r="E86" s="9" t="str">
        <v>Maintenance</v>
      </c>
      <c r="F86" s="9" t="str">
        <v>Mehul Patel</v>
      </c>
      <c r="G86" s="9" t="str">
        <v>97277 12118</v>
      </c>
      <c r="H86" s="9" t="str">
        <v>utility@prasadgroup.com</v>
      </c>
      <c r="I86" s="9" t="str">
        <v>12006495/001</v>
      </c>
      <c r="J86" s="9" t="str">
        <v>Contract</v>
      </c>
      <c r="K86" s="9" t="str">
        <v>No</v>
      </c>
      <c r="L86" s="9" t="str">
        <v>KXIND/W/MV/MC/25013</v>
      </c>
      <c r="M86" s="9">
        <v>45964</v>
      </c>
      <c r="N86" s="9">
        <v>55000</v>
      </c>
      <c r="O86" s="9" t="str">
        <v>March</v>
      </c>
      <c r="P86" s="9" t="str">
        <v>April</v>
      </c>
      <c r="Q86" s="9">
        <v>1</v>
      </c>
      <c r="R86" s="9" t="str">
        <v>MECHANICAL/47</v>
      </c>
      <c r="S86" s="9" t="str">
        <v>15/04/2025</v>
      </c>
      <c r="T86" s="9">
        <v>52800</v>
      </c>
      <c r="U86" s="9" t="str">
        <v>April</v>
      </c>
      <c r="V86" s="9">
        <v>0</v>
      </c>
      <c r="W86" s="9">
        <v>0</v>
      </c>
      <c r="X86" s="9">
        <v>0</v>
      </c>
      <c r="Y86" s="9">
        <v>0</v>
      </c>
    </row>
    <row r="87" spans="1:25">
      <c r="A87" s="9">
        <v>37</v>
      </c>
      <c r="B87" s="9">
        <v>45964</v>
      </c>
      <c r="C87" s="9" t="str">
        <v>Schaeffler India Limited</v>
      </c>
      <c r="D87" s="9" t="str">
        <v>Vadodara</v>
      </c>
      <c r="E87" s="9" t="str">
        <v>Maintenance</v>
      </c>
      <c r="F87" s="9" t="str">
        <v>Jignesh Shah</v>
      </c>
      <c r="G87" s="9" t="str">
        <v>88665 68532</v>
      </c>
      <c r="H87" s="9" t="str">
        <v>shahjgn@schaeffler.com</v>
      </c>
      <c r="I87" s="9" t="str">
        <v>19006352/001</v>
      </c>
      <c r="J87" s="9" t="str">
        <v>Contract</v>
      </c>
      <c r="K87" s="9" t="str">
        <v>No</v>
      </c>
      <c r="L87" s="9" t="str">
        <v>KXIND/W/MV/MC/25014</v>
      </c>
      <c r="M87" s="9">
        <v>45964</v>
      </c>
      <c r="N87" s="9">
        <v>78750</v>
      </c>
      <c r="O87" s="9" t="str">
        <v>March</v>
      </c>
      <c r="P87" s="9" t="str">
        <v>April</v>
      </c>
      <c r="Q87" s="9">
        <v>1</v>
      </c>
      <c r="R87" s="9">
        <v>7000880580</v>
      </c>
      <c r="S87" s="9">
        <v>45965</v>
      </c>
      <c r="T87" s="9">
        <v>78750</v>
      </c>
      <c r="U87" s="9" t="str">
        <v>April</v>
      </c>
      <c r="V87" s="9">
        <v>0</v>
      </c>
      <c r="W87" s="9">
        <v>0</v>
      </c>
      <c r="X87" s="9">
        <v>0</v>
      </c>
      <c r="Y87" s="9">
        <v>0</v>
      </c>
    </row>
    <row r="88" spans="1:25">
      <c r="A88" s="9">
        <v>38</v>
      </c>
      <c r="B88" s="9">
        <v>45964</v>
      </c>
      <c r="C88" s="9" t="str">
        <v>Bhavani Industries</v>
      </c>
      <c r="D88" s="9" t="str">
        <v>Ahmedabad</v>
      </c>
      <c r="E88" s="9" t="str">
        <v>Maintenance</v>
      </c>
      <c r="F88" s="9" t="str">
        <v>Parth Dave</v>
      </c>
      <c r="G88" s="9" t="str">
        <v>79904 93880</v>
      </c>
      <c r="H88" s="9" t="str">
        <v>maintenance.sanand@bhavani.co.in</v>
      </c>
      <c r="I88" s="9" t="str">
        <v>11007588/001</v>
      </c>
      <c r="J88" s="9" t="str">
        <v>Contract</v>
      </c>
      <c r="K88" s="9" t="str">
        <v>No</v>
      </c>
      <c r="L88" s="9" t="str">
        <v>KXIND/W/MV/MC/25015</v>
      </c>
      <c r="M88" s="9">
        <v>45964</v>
      </c>
      <c r="N88" s="9">
        <v>52000</v>
      </c>
      <c r="O88" s="9" t="str">
        <v>March</v>
      </c>
      <c r="P88" s="9" t="str">
        <v>March</v>
      </c>
      <c r="Q88" s="9">
        <v>1</v>
      </c>
      <c r="R88" s="9" t="str">
        <v>POC/24-25/1763</v>
      </c>
      <c r="S88" s="9">
        <v>45964</v>
      </c>
      <c r="T88" s="9">
        <v>52000</v>
      </c>
      <c r="U88" s="9" t="str">
        <v>March</v>
      </c>
      <c r="V88" s="9">
        <v>0</v>
      </c>
      <c r="W88" s="9">
        <v>0</v>
      </c>
      <c r="X88" s="9">
        <v>0</v>
      </c>
      <c r="Y88" s="9">
        <v>0</v>
      </c>
    </row>
    <row r="89" spans="1:25">
      <c r="A89" s="9">
        <v>39</v>
      </c>
      <c r="B89" s="9">
        <v>45994</v>
      </c>
      <c r="C89" s="9" t="str">
        <v>Secure Meters Limited</v>
      </c>
      <c r="D89" s="9" t="str">
        <v>Udaipur</v>
      </c>
      <c r="E89" s="9" t="str">
        <v>Gas Meters</v>
      </c>
      <c r="F89" s="9" t="str">
        <v>Sunil Kumar</v>
      </c>
      <c r="G89" s="9">
        <v>9355229233</v>
      </c>
      <c r="H89" s="9" t="str">
        <v>Sunil.kumar@securemeters.com</v>
      </c>
      <c r="I89" s="9" t="str">
        <v>17001598 / 001</v>
      </c>
      <c r="J89" s="9" t="str">
        <v>SPP</v>
      </c>
      <c r="K89" s="9" t="str">
        <v>Yes</v>
      </c>
      <c r="L89" s="9" t="str">
        <v>KXIND/W/MV/SPP/25016</v>
      </c>
      <c r="M89" s="9">
        <v>45994</v>
      </c>
      <c r="N89" s="9">
        <v>403220</v>
      </c>
      <c r="O89" s="9" t="str">
        <v>March</v>
      </c>
      <c r="P89" s="9" t="str">
        <v>May</v>
      </c>
      <c r="Q89" s="9">
        <v>1</v>
      </c>
      <c r="R89" s="9">
        <v>2102500530</v>
      </c>
      <c r="S89" s="9" t="str">
        <v>24/4/2025</v>
      </c>
      <c r="T89" s="9">
        <v>383054</v>
      </c>
      <c r="U89" s="9" t="str">
        <v>May</v>
      </c>
      <c r="V89" s="9">
        <v>0</v>
      </c>
      <c r="W89" s="9">
        <v>0</v>
      </c>
      <c r="X89" s="9">
        <v>0</v>
      </c>
      <c r="Y89" s="9">
        <v>0</v>
      </c>
    </row>
    <row r="90" spans="1:25">
      <c r="A90" s="9">
        <v>40</v>
      </c>
      <c r="B90" s="9">
        <v>45994</v>
      </c>
      <c r="C90" s="9" t="str">
        <v>Truetzschler India Pvt Ltd</v>
      </c>
      <c r="D90" s="9" t="str">
        <v>Ahmadabad</v>
      </c>
      <c r="E90" s="9" t="str">
        <v>Maintenance</v>
      </c>
      <c r="F90" s="9" t="str">
        <v>Arun Kavta</v>
      </c>
      <c r="G90" s="9">
        <v>7046372509</v>
      </c>
      <c r="H90" s="9" t="str">
        <v>ankavta@truetzschler.in</v>
      </c>
      <c r="I90" s="9" t="str">
        <v>18001462/001</v>
      </c>
      <c r="J90" s="9" t="str">
        <v>SPP</v>
      </c>
      <c r="K90" s="9" t="str">
        <v>Yes</v>
      </c>
      <c r="L90" s="9" t="str">
        <v>KXIND/W/MV/SPP/25017</v>
      </c>
      <c r="M90" s="9">
        <v>45994</v>
      </c>
      <c r="N90" s="9">
        <v>294600</v>
      </c>
      <c r="O90" s="9" t="str">
        <v>March</v>
      </c>
      <c r="P90" s="9" t="str">
        <v>March</v>
      </c>
      <c r="Q90" s="9">
        <v>1</v>
      </c>
      <c r="R90" s="9" t="str">
        <v>P2501133</v>
      </c>
      <c r="S90" s="9" t="str">
        <v>28/03/2025</v>
      </c>
      <c r="T90" s="9">
        <v>294600</v>
      </c>
      <c r="U90" s="9" t="str">
        <v>March</v>
      </c>
      <c r="V90" s="9">
        <v>0</v>
      </c>
      <c r="W90" s="9">
        <v>0</v>
      </c>
      <c r="X90" s="9">
        <v>0</v>
      </c>
      <c r="Y90" s="9">
        <v>0</v>
      </c>
    </row>
    <row r="91" spans="1:25">
      <c r="A91" s="9">
        <v>41</v>
      </c>
      <c r="B91" s="9">
        <v>45994</v>
      </c>
      <c r="C91" s="9" t="str">
        <v>PRASAD RAPID INDIA PRIVATE LIMITED</v>
      </c>
      <c r="D91" s="9" t="str">
        <v>Ahmadabad</v>
      </c>
      <c r="E91" s="9" t="str">
        <v>Production</v>
      </c>
      <c r="F91" s="9" t="str">
        <v>Ameet Luhar</v>
      </c>
      <c r="G91" s="9">
        <v>9099031729</v>
      </c>
      <c r="H91" s="9" t="str">
        <v>Production-pmpl@prasadgroup.com</v>
      </c>
      <c r="I91" s="9" t="str">
        <v>12006484/001</v>
      </c>
      <c r="J91" s="9" t="str">
        <v>SPP</v>
      </c>
      <c r="K91" s="9" t="str">
        <v>Yes</v>
      </c>
      <c r="L91" s="9" t="str">
        <v>KXIND/W/MV/SPP/25018</v>
      </c>
      <c r="M91" s="9">
        <v>45994</v>
      </c>
      <c r="N91" s="9">
        <v>425960</v>
      </c>
      <c r="O91" s="9" t="str">
        <v>March</v>
      </c>
      <c r="P91" s="9" t="str">
        <v>April</v>
      </c>
      <c r="Q91" s="9">
        <v>1</v>
      </c>
      <c r="R91" s="9" t="str">
        <v>CAPITAL/7</v>
      </c>
      <c r="S91" s="9" t="str">
        <v>25/03/2025</v>
      </c>
      <c r="T91" s="9">
        <v>262752</v>
      </c>
      <c r="U91" s="9" t="str">
        <v>March</v>
      </c>
      <c r="V91" s="9">
        <v>0</v>
      </c>
      <c r="W91" s="9">
        <v>0</v>
      </c>
      <c r="X91" s="9">
        <v>0</v>
      </c>
      <c r="Y91" s="9">
        <v>0</v>
      </c>
    </row>
    <row r="92" spans="1:25">
      <c r="A92" s="9">
        <v>42</v>
      </c>
      <c r="B92" s="9">
        <v>45994</v>
      </c>
      <c r="C92" s="9" t="str">
        <v xml:space="preserve">Hindustan Aeronautics LTD </v>
      </c>
      <c r="D92" s="9" t="str">
        <v>Porbandar</v>
      </c>
      <c r="E92" s="9" t="str">
        <v>Maintenance</v>
      </c>
      <c r="F92" s="9" t="str">
        <v>Arindam Pal</v>
      </c>
      <c r="G92" s="9">
        <v>8147703540</v>
      </c>
      <c r="H92" s="9" t="str">
        <v>Arindam.pal@hal-india.com</v>
      </c>
      <c r="I92" s="9" t="str">
        <v>21000483/004</v>
      </c>
      <c r="J92" s="9" t="str">
        <v>SPP</v>
      </c>
      <c r="K92" s="9" t="str">
        <v>Yes</v>
      </c>
      <c r="L92" s="9" t="str">
        <v>KXIND/W/MV/SPP/25019</v>
      </c>
      <c r="M92" s="9">
        <v>45994</v>
      </c>
      <c r="N92" s="9">
        <v>125930</v>
      </c>
      <c r="O92" s="9" t="str">
        <v>March</v>
      </c>
      <c r="P92" s="9">
        <v>0</v>
      </c>
      <c r="Q92" s="9">
        <v>0.5</v>
      </c>
      <c r="R92" s="9">
        <v>0</v>
      </c>
      <c r="S92" s="9">
        <v>0</v>
      </c>
      <c r="T92" s="9">
        <v>0</v>
      </c>
      <c r="U92" s="9">
        <v>0</v>
      </c>
      <c r="V92" s="9">
        <v>125930</v>
      </c>
      <c r="W92" s="9">
        <v>0</v>
      </c>
      <c r="X92" s="9">
        <v>0</v>
      </c>
      <c r="Y92" s="9">
        <v>0</v>
      </c>
    </row>
    <row r="93" spans="1:25">
      <c r="A93" s="9">
        <v>43</v>
      </c>
      <c r="B93" s="9" t="str">
        <v>16/3/2025</v>
      </c>
      <c r="C93" s="9" t="str">
        <v>Firmenich Aerometics I Pvt.ltd.</v>
      </c>
      <c r="D93" s="9" t="str">
        <v>Dahej</v>
      </c>
      <c r="E93" s="9" t="str">
        <v>QA/QC</v>
      </c>
      <c r="F93" s="9" t="str">
        <v>Vinay Thandar</v>
      </c>
      <c r="G93" s="9">
        <v>9099974577</v>
      </c>
      <c r="H93" s="9" t="str">
        <v>vinay.thandar@dsmfirmenich.com</v>
      </c>
      <c r="I93" s="9" t="str">
        <v>18001927/001</v>
      </c>
      <c r="J93" s="9" t="str">
        <v>SPP</v>
      </c>
      <c r="K93" s="9" t="str">
        <v>Yes</v>
      </c>
      <c r="L93" s="9" t="str">
        <v>KXIND/W/MV/SPP/25020</v>
      </c>
      <c r="M93" s="9" t="str">
        <v>16/3/2025</v>
      </c>
      <c r="N93" s="9">
        <v>670080</v>
      </c>
      <c r="O93" s="9" t="str">
        <v>March</v>
      </c>
      <c r="P93" s="9">
        <v>0</v>
      </c>
      <c r="Q93" s="9">
        <v>0.5</v>
      </c>
      <c r="R93" s="9">
        <v>0</v>
      </c>
      <c r="S93" s="9">
        <v>0</v>
      </c>
      <c r="T93" s="9">
        <v>0</v>
      </c>
      <c r="U93" s="9">
        <v>0</v>
      </c>
      <c r="V93" s="9">
        <v>670080</v>
      </c>
      <c r="W93" s="9">
        <v>0</v>
      </c>
      <c r="X93" s="9">
        <v>0</v>
      </c>
      <c r="Y93" s="9">
        <v>0</v>
      </c>
    </row>
    <row r="94" spans="1:25">
      <c r="A94" s="9">
        <v>44</v>
      </c>
      <c r="B94" s="9" t="str">
        <v>16/3/2025</v>
      </c>
      <c r="C94" s="9" t="str">
        <v>KHS Machinery Pvt Ltd</v>
      </c>
      <c r="D94" s="9" t="str">
        <v>Ahmadabad</v>
      </c>
      <c r="E94" s="9" t="str">
        <v>Maintenance</v>
      </c>
      <c r="F94" s="9" t="str">
        <v>Biresh Banerjee</v>
      </c>
      <c r="G94" s="9">
        <v>9898646272</v>
      </c>
      <c r="H94" s="9" t="str">
        <v>Biresh.Banerjee@khs.com</v>
      </c>
      <c r="I94" s="9" t="str">
        <v>06007041/001</v>
      </c>
      <c r="J94" s="9" t="str">
        <v>SPP</v>
      </c>
      <c r="K94" s="9" t="str">
        <v>Yes</v>
      </c>
      <c r="L94" s="9" t="str">
        <v>KXIND/W/MV/SPP/25021</v>
      </c>
      <c r="M94" s="9" t="str">
        <v>16/3/2025</v>
      </c>
      <c r="N94" s="9">
        <v>419000</v>
      </c>
      <c r="O94" s="9" t="str">
        <v>March</v>
      </c>
      <c r="P94" s="9" t="str">
        <v>September</v>
      </c>
      <c r="Q94" s="9">
        <v>0.5</v>
      </c>
      <c r="R94" s="9">
        <v>91044686</v>
      </c>
      <c r="S94" s="9" t="str">
        <v>15/10/2025</v>
      </c>
      <c r="T94" s="9">
        <v>41325</v>
      </c>
      <c r="U94" s="9" t="str">
        <v>October</v>
      </c>
      <c r="V94" s="9">
        <v>0</v>
      </c>
      <c r="W94" s="9">
        <v>0</v>
      </c>
      <c r="X94" s="9">
        <v>0</v>
      </c>
      <c r="Y94" s="9">
        <v>0</v>
      </c>
    </row>
    <row r="95" spans="1:25">
      <c r="A95" s="9">
        <v>45</v>
      </c>
      <c r="B95" s="9" t="str">
        <v>21/03/2025</v>
      </c>
      <c r="C95" s="9" t="str">
        <v>Force Motors Ltd</v>
      </c>
      <c r="D95" s="9" t="str">
        <v>pithampur</v>
      </c>
      <c r="E95" s="9" t="str">
        <v>Maintenance</v>
      </c>
      <c r="F95" s="9" t="str">
        <v>Manoj Verma</v>
      </c>
      <c r="G95" s="9">
        <v>9575300235</v>
      </c>
      <c r="H95" s="9" t="str">
        <v>mverma@forcemotors.com</v>
      </c>
      <c r="I95" s="9" t="str">
        <v>15005798/001</v>
      </c>
      <c r="J95" s="9" t="str">
        <v>SPP</v>
      </c>
      <c r="K95" s="9" t="str">
        <v>Yes</v>
      </c>
      <c r="L95" s="9" t="str">
        <v>KXIND/W/SPP/MV23-063</v>
      </c>
      <c r="M95" s="9">
        <v>44966</v>
      </c>
      <c r="N95" s="9">
        <v>59050</v>
      </c>
      <c r="O95" s="9" t="str">
        <v>March</v>
      </c>
      <c r="P95" s="9" t="str">
        <v>March</v>
      </c>
      <c r="Q95" s="9">
        <v>1</v>
      </c>
      <c r="R95" s="9">
        <v>6406013484</v>
      </c>
      <c r="S95" s="9">
        <v>45780</v>
      </c>
      <c r="T95" s="9">
        <v>56688</v>
      </c>
      <c r="U95" s="9" t="str">
        <v>March</v>
      </c>
      <c r="V95" s="9">
        <v>0</v>
      </c>
      <c r="W95" s="9">
        <v>0</v>
      </c>
      <c r="X95" s="9">
        <v>0</v>
      </c>
      <c r="Y95" s="9">
        <v>0</v>
      </c>
    </row>
    <row r="96" spans="1:25">
      <c r="A96" s="9">
        <v>46</v>
      </c>
      <c r="B96" s="9">
        <v>45934</v>
      </c>
      <c r="C96" s="9" t="str">
        <v>Ferromatik Milacron India Ltd (Milacron India Pvt ltd)</v>
      </c>
      <c r="D96" s="9" t="str">
        <v>Ahmadabad</v>
      </c>
      <c r="E96" s="9" t="str">
        <v>Maintenance</v>
      </c>
      <c r="F96" s="9" t="str">
        <v>Kalpesh Panchal</v>
      </c>
      <c r="G96" s="9">
        <v>9722013361</v>
      </c>
      <c r="H96" s="9" t="str">
        <v>Kalpesh_Panchal@milacron.com</v>
      </c>
      <c r="I96" s="9" t="str">
        <v>22006105/001</v>
      </c>
      <c r="J96" s="9" t="str">
        <v>Contract</v>
      </c>
      <c r="K96" s="9" t="str">
        <v>Yes</v>
      </c>
      <c r="L96" s="9" t="str">
        <v>KXIND/W/MV/MC/25022 – R1</v>
      </c>
      <c r="M96" s="9" t="str">
        <v>14/4/2025</v>
      </c>
      <c r="N96" s="9">
        <v>39750</v>
      </c>
      <c r="O96" s="9" t="str">
        <v>April</v>
      </c>
      <c r="P96" s="9" t="str">
        <v>April</v>
      </c>
      <c r="Q96" s="9">
        <v>1</v>
      </c>
      <c r="R96" s="9" t="str">
        <v>30010283/O2/25011844</v>
      </c>
      <c r="S96" s="9" t="str">
        <v>24/04/2025</v>
      </c>
      <c r="T96" s="9">
        <v>39750</v>
      </c>
      <c r="U96" s="9" t="str">
        <v>April</v>
      </c>
      <c r="V96" s="9">
        <v>0</v>
      </c>
      <c r="W96" s="9">
        <v>0</v>
      </c>
      <c r="X96" s="9">
        <v>0</v>
      </c>
      <c r="Y96" s="9">
        <v>0</v>
      </c>
    </row>
    <row r="97" spans="1:25">
      <c r="A97" s="9">
        <v>0</v>
      </c>
      <c r="B97" s="9">
        <v>0</v>
      </c>
      <c r="C97" s="9" t="str">
        <v>Ferromatik Milacron India Ltd (Milacron India Pvt ltd)</v>
      </c>
      <c r="D97" s="9" t="str">
        <v>Ahmadabad</v>
      </c>
      <c r="E97" s="9" t="str">
        <v>Maintenance</v>
      </c>
      <c r="F97" s="9" t="str">
        <v>Kalpesh Panchal</v>
      </c>
      <c r="G97" s="9">
        <v>9722013361</v>
      </c>
      <c r="H97" s="9" t="str">
        <v>Kalpesh_Panchal@milacron.com</v>
      </c>
      <c r="I97" s="9" t="str">
        <v>22006105/002</v>
      </c>
      <c r="J97" s="9" t="str">
        <v>Contract</v>
      </c>
      <c r="K97" s="9" t="str">
        <v>Yes</v>
      </c>
      <c r="L97" s="9" t="str">
        <v>KXIND/W/MV/MC/25022 – R1</v>
      </c>
      <c r="M97" s="9" t="str">
        <v>14/4/2025</v>
      </c>
      <c r="N97" s="9">
        <v>39750</v>
      </c>
      <c r="O97" s="9" t="str">
        <v>April</v>
      </c>
      <c r="P97" s="9" t="str">
        <v>April</v>
      </c>
      <c r="Q97" s="9">
        <v>1</v>
      </c>
      <c r="R97" s="9" t="str">
        <v>30010283/O2/25011844</v>
      </c>
      <c r="S97" s="9" t="str">
        <v>24/04/2025</v>
      </c>
      <c r="T97" s="9">
        <v>39750</v>
      </c>
      <c r="U97" s="9" t="str">
        <v>April</v>
      </c>
      <c r="V97" s="9">
        <v>0</v>
      </c>
      <c r="W97" s="9">
        <v>0</v>
      </c>
      <c r="X97" s="9">
        <v>0</v>
      </c>
      <c r="Y97" s="9">
        <v>0</v>
      </c>
    </row>
    <row r="98" spans="1:25">
      <c r="A98" s="9">
        <v>0</v>
      </c>
      <c r="B98" s="9">
        <v>0</v>
      </c>
      <c r="C98" s="9" t="str">
        <v>Ferromatik Milacron India Ltd (Milacron India Pvt ltd)</v>
      </c>
      <c r="D98" s="9" t="str">
        <v>Ahmadabad</v>
      </c>
      <c r="E98" s="9" t="str">
        <v>Maintenance</v>
      </c>
      <c r="F98" s="9" t="str">
        <v>Kalpesh Panchal</v>
      </c>
      <c r="G98" s="9">
        <v>9722013361</v>
      </c>
      <c r="H98" s="9" t="str">
        <v>Kalpesh_Panchal@milacron.com</v>
      </c>
      <c r="I98" s="9" t="str">
        <v>22006106/001</v>
      </c>
      <c r="J98" s="9" t="str">
        <v>Contract</v>
      </c>
      <c r="K98" s="9" t="str">
        <v>Yes</v>
      </c>
      <c r="L98" s="9" t="str">
        <v>KXIND/W/MV/MC/25022 – R1</v>
      </c>
      <c r="M98" s="9" t="str">
        <v>14/4/2025</v>
      </c>
      <c r="N98" s="9">
        <v>39750</v>
      </c>
      <c r="O98" s="9" t="str">
        <v>April</v>
      </c>
      <c r="P98" s="9" t="str">
        <v>April</v>
      </c>
      <c r="Q98" s="9">
        <v>1</v>
      </c>
      <c r="R98" s="9" t="str">
        <v>30010283/O2/25011844</v>
      </c>
      <c r="S98" s="9" t="str">
        <v>24/04/2025</v>
      </c>
      <c r="T98" s="9">
        <v>39750</v>
      </c>
      <c r="U98" s="9" t="str">
        <v>April</v>
      </c>
      <c r="V98" s="9">
        <v>0</v>
      </c>
      <c r="W98" s="9">
        <v>0</v>
      </c>
      <c r="X98" s="9">
        <v>0</v>
      </c>
      <c r="Y98" s="9">
        <v>0</v>
      </c>
    </row>
    <row r="99" spans="1:25">
      <c r="A99" s="9">
        <v>0</v>
      </c>
      <c r="B99" s="9">
        <v>0</v>
      </c>
      <c r="C99" s="9" t="str">
        <v>Ferromatik Milacron India Ltd (Milacron India Pvt ltd)</v>
      </c>
      <c r="D99" s="9" t="str">
        <v>Ahmadabad</v>
      </c>
      <c r="E99" s="9" t="str">
        <v>Maintenance</v>
      </c>
      <c r="F99" s="9" t="str">
        <v>Kalpesh Panchal</v>
      </c>
      <c r="G99" s="9">
        <v>9722013361</v>
      </c>
      <c r="H99" s="9" t="str">
        <v>Kalpesh_Panchal@milacron.com</v>
      </c>
      <c r="I99" s="9" t="str">
        <v>22006108/001</v>
      </c>
      <c r="J99" s="9" t="str">
        <v>Contract</v>
      </c>
      <c r="K99" s="9" t="str">
        <v>Yes</v>
      </c>
      <c r="L99" s="9" t="str">
        <v>KXIND/W/MV/MC/25022 – R1</v>
      </c>
      <c r="M99" s="9" t="str">
        <v>14/4/2025</v>
      </c>
      <c r="N99" s="9">
        <v>39750</v>
      </c>
      <c r="O99" s="9" t="str">
        <v>April</v>
      </c>
      <c r="P99" s="9" t="str">
        <v>April</v>
      </c>
      <c r="Q99" s="9">
        <v>1</v>
      </c>
      <c r="R99" s="9" t="str">
        <v>30010283/O2/25011844</v>
      </c>
      <c r="S99" s="9" t="str">
        <v>24/04/2025</v>
      </c>
      <c r="T99" s="9">
        <v>39750</v>
      </c>
      <c r="U99" s="9" t="str">
        <v>April</v>
      </c>
      <c r="V99" s="9">
        <v>0</v>
      </c>
      <c r="W99" s="9">
        <v>0</v>
      </c>
      <c r="X99" s="9">
        <v>0</v>
      </c>
      <c r="Y99" s="9">
        <v>0</v>
      </c>
    </row>
    <row r="100" spans="1:25">
      <c r="A100" s="9">
        <v>47</v>
      </c>
      <c r="B100" s="9">
        <v>45934</v>
      </c>
      <c r="C100" s="9" t="str">
        <v>Truetzschler India Pvt Ltd</v>
      </c>
      <c r="D100" s="9" t="str">
        <v>Ahmadabad</v>
      </c>
      <c r="E100" s="9" t="str">
        <v>Maintenance</v>
      </c>
      <c r="F100" s="9" t="str">
        <v>Arun Kavta</v>
      </c>
      <c r="G100" s="9">
        <v>7046372509</v>
      </c>
      <c r="H100" s="9" t="str">
        <v>ankavta@truetzschler.in</v>
      </c>
      <c r="I100" s="9" t="str">
        <v>18001462/001</v>
      </c>
      <c r="J100" s="9" t="str">
        <v>SPP</v>
      </c>
      <c r="K100" s="9" t="str">
        <v>No</v>
      </c>
      <c r="L100" s="9" t="str">
        <v>KXIND/W/MV/SPP/25023</v>
      </c>
      <c r="M100" s="9">
        <v>45934</v>
      </c>
      <c r="N100" s="9">
        <v>13780</v>
      </c>
      <c r="O100" s="9" t="str">
        <v>April</v>
      </c>
      <c r="P100" s="9" t="str">
        <v>April</v>
      </c>
      <c r="Q100" s="9">
        <v>1</v>
      </c>
      <c r="R100" s="9" t="str">
        <v>P2501614</v>
      </c>
      <c r="S100" s="9">
        <v>45965</v>
      </c>
      <c r="T100" s="9">
        <v>13780</v>
      </c>
      <c r="U100" s="9" t="str">
        <v>April</v>
      </c>
      <c r="V100" s="9">
        <v>0</v>
      </c>
      <c r="W100" s="9">
        <v>0</v>
      </c>
      <c r="X100" s="9">
        <v>0</v>
      </c>
      <c r="Y100" s="9">
        <v>0</v>
      </c>
    </row>
    <row r="101" spans="1:25">
      <c r="A101" s="9">
        <v>48</v>
      </c>
      <c r="B101" s="9" t="str">
        <v>14/4/2025</v>
      </c>
      <c r="C101" s="9" t="str">
        <v>Truetzschler India Pvt Ltd</v>
      </c>
      <c r="D101" s="9" t="str">
        <v>Ahmadabad</v>
      </c>
      <c r="E101" s="9" t="str">
        <v>Maintenance</v>
      </c>
      <c r="F101" s="9" t="str">
        <v>Arun Kavta</v>
      </c>
      <c r="G101" s="9">
        <v>7046372509</v>
      </c>
      <c r="H101" s="9" t="str">
        <v>ankavta@truetzschler.in</v>
      </c>
      <c r="I101" s="9" t="str">
        <v>11001979/001</v>
      </c>
      <c r="J101" s="9" t="str">
        <v>Contract</v>
      </c>
      <c r="K101" s="9" t="str">
        <v>No</v>
      </c>
      <c r="L101" s="9" t="str">
        <v>KXIND/W/MV/MC/25024</v>
      </c>
      <c r="M101" s="9" t="str">
        <v>14/4/2025</v>
      </c>
      <c r="N101" s="9">
        <v>67500</v>
      </c>
      <c r="O101" s="9" t="str">
        <v>April</v>
      </c>
      <c r="P101" s="9" t="str">
        <v>April</v>
      </c>
      <c r="Q101" s="9">
        <v>1</v>
      </c>
      <c r="R101" s="9" t="str">
        <v>P2501819</v>
      </c>
      <c r="S101" s="9" t="str">
        <v>21/04/2025</v>
      </c>
      <c r="T101" s="9">
        <v>67500</v>
      </c>
      <c r="U101" s="9" t="str">
        <v>April</v>
      </c>
      <c r="V101" s="9">
        <v>0</v>
      </c>
      <c r="W101" s="9">
        <v>0</v>
      </c>
      <c r="X101" s="9">
        <v>0</v>
      </c>
      <c r="Y101" s="9">
        <v>0</v>
      </c>
    </row>
    <row r="102" spans="1:25">
      <c r="A102" s="9">
        <v>0</v>
      </c>
      <c r="B102" s="9">
        <v>0</v>
      </c>
      <c r="C102" s="9" t="str">
        <v>Truetzschler India Pvt Ltd</v>
      </c>
      <c r="D102" s="9" t="str">
        <v>Ahmadabad</v>
      </c>
      <c r="E102" s="9" t="str">
        <v>Maintenance</v>
      </c>
      <c r="F102" s="9" t="str">
        <v>Arun Kavta</v>
      </c>
      <c r="G102" s="9">
        <v>7046372509</v>
      </c>
      <c r="H102" s="9" t="str">
        <v>ankavta@truetzschler.in</v>
      </c>
      <c r="I102" s="9" t="str">
        <v>11001980/001</v>
      </c>
      <c r="J102" s="9" t="str">
        <v>Contract</v>
      </c>
      <c r="K102" s="9" t="str">
        <v>No</v>
      </c>
      <c r="L102" s="9" t="str">
        <v>KXIND/W/MV/MC/25024</v>
      </c>
      <c r="M102" s="9" t="str">
        <v>14/4/2025</v>
      </c>
      <c r="N102" s="9">
        <v>67500</v>
      </c>
      <c r="O102" s="9" t="str">
        <v>April</v>
      </c>
      <c r="P102" s="9" t="str">
        <v>April</v>
      </c>
      <c r="Q102" s="9">
        <v>1</v>
      </c>
      <c r="R102" s="9" t="str">
        <v>P2501819</v>
      </c>
      <c r="S102" s="9" t="str">
        <v>21/04/2025</v>
      </c>
      <c r="T102" s="9">
        <v>67500</v>
      </c>
      <c r="U102" s="9" t="str">
        <v>April</v>
      </c>
      <c r="V102" s="9">
        <v>0</v>
      </c>
      <c r="W102" s="9">
        <v>0</v>
      </c>
      <c r="X102" s="9">
        <v>0</v>
      </c>
      <c r="Y102" s="9">
        <v>0</v>
      </c>
    </row>
    <row r="103" spans="1:25">
      <c r="A103" s="9">
        <v>0</v>
      </c>
      <c r="B103" s="9">
        <v>0</v>
      </c>
      <c r="C103" s="9" t="str">
        <v>Truetzschler India Pvt Ltd</v>
      </c>
      <c r="D103" s="9" t="str">
        <v>Ahmadabad</v>
      </c>
      <c r="E103" s="9" t="str">
        <v>Maintenance</v>
      </c>
      <c r="F103" s="9" t="str">
        <v>Arun Kavta</v>
      </c>
      <c r="G103" s="9">
        <v>7046372509</v>
      </c>
      <c r="H103" s="9" t="str">
        <v>ankavta@truetzschler.in</v>
      </c>
      <c r="I103" s="9" t="str">
        <v>18001462/001</v>
      </c>
      <c r="J103" s="9" t="str">
        <v>Contract</v>
      </c>
      <c r="K103" s="9" t="str">
        <v>No</v>
      </c>
      <c r="L103" s="9" t="str">
        <v>KXIND/W/MV/MC/25024</v>
      </c>
      <c r="M103" s="9" t="str">
        <v>14/4/2025</v>
      </c>
      <c r="N103" s="9">
        <v>67500</v>
      </c>
      <c r="O103" s="9" t="str">
        <v>April</v>
      </c>
      <c r="P103" s="9" t="str">
        <v>April</v>
      </c>
      <c r="Q103" s="9">
        <v>1</v>
      </c>
      <c r="R103" s="9" t="str">
        <v>P2501819</v>
      </c>
      <c r="S103" s="9" t="str">
        <v>21/04/2025</v>
      </c>
      <c r="T103" s="9">
        <v>67500</v>
      </c>
      <c r="U103" s="9" t="str">
        <v>April</v>
      </c>
      <c r="V103" s="9">
        <v>0</v>
      </c>
      <c r="W103" s="9">
        <v>0</v>
      </c>
      <c r="X103" s="9">
        <v>0</v>
      </c>
      <c r="Y103" s="9">
        <v>0</v>
      </c>
    </row>
    <row r="104" spans="1:25">
      <c r="A104" s="9">
        <v>49</v>
      </c>
      <c r="B104" s="9" t="str">
        <v>14/4/2025</v>
      </c>
      <c r="C104" s="9" t="str">
        <v>Subros Ltd.</v>
      </c>
      <c r="D104" s="9" t="str">
        <v>Ahmadabad</v>
      </c>
      <c r="E104" s="9" t="str">
        <v>Maintenance</v>
      </c>
      <c r="F104" s="9" t="str">
        <v>Virendrakumar Yadav</v>
      </c>
      <c r="G104" s="9" t="str">
        <v>96219 11288</v>
      </c>
      <c r="H104" s="9" t="str">
        <v>Virendrakumar.yadav@subros.com</v>
      </c>
      <c r="I104" s="9" t="str">
        <v>17002680/002</v>
      </c>
      <c r="J104" s="9" t="str">
        <v>Contract</v>
      </c>
      <c r="K104" s="9" t="str">
        <v>No</v>
      </c>
      <c r="L104" s="9" t="str">
        <v>KXIND/W/MV/MC/25025</v>
      </c>
      <c r="M104" s="9" t="str">
        <v>14/4/2025</v>
      </c>
      <c r="N104" s="9">
        <v>75000</v>
      </c>
      <c r="O104" s="9" t="str">
        <v>April</v>
      </c>
      <c r="P104" s="9" t="str">
        <v>May</v>
      </c>
      <c r="Q104" s="9">
        <v>1</v>
      </c>
      <c r="R104" s="9">
        <v>1100033993</v>
      </c>
      <c r="S104" s="9">
        <v>45721</v>
      </c>
      <c r="T104" s="9">
        <v>75000</v>
      </c>
      <c r="U104" s="9" t="str">
        <v>May</v>
      </c>
      <c r="V104" s="9">
        <v>0</v>
      </c>
      <c r="W104" s="9">
        <v>0</v>
      </c>
      <c r="X104" s="9">
        <v>0</v>
      </c>
      <c r="Y104" s="9">
        <v>0</v>
      </c>
    </row>
    <row r="105" spans="1:25">
      <c r="A105" s="9">
        <v>50</v>
      </c>
      <c r="B105" s="9" t="str">
        <v>14/4/2025</v>
      </c>
      <c r="C105" s="9" t="str">
        <v>Rotomotive Powerdrives India Ltd</v>
      </c>
      <c r="D105" s="9" t="str">
        <v>Anand</v>
      </c>
      <c r="E105" s="9" t="str">
        <v>Operations</v>
      </c>
      <c r="F105" s="9" t="str">
        <v>Anil Suthar</v>
      </c>
      <c r="G105" s="9">
        <v>9426567619</v>
      </c>
      <c r="H105" s="9" t="str">
        <v>anil.suthar@rotomotive.com</v>
      </c>
      <c r="I105" s="9" t="str">
        <v>11008006/001</v>
      </c>
      <c r="J105" s="9" t="str">
        <v>SPP</v>
      </c>
      <c r="K105" s="9" t="str">
        <v>Yes</v>
      </c>
      <c r="L105" s="9" t="str">
        <v>KXIND/W/MV/SPP/24097</v>
      </c>
      <c r="M105" s="9" t="str">
        <v>25/11/2024</v>
      </c>
      <c r="N105" s="9">
        <v>185900</v>
      </c>
      <c r="O105" s="9" t="str">
        <v>April</v>
      </c>
      <c r="P105" s="9" t="str">
        <v>April</v>
      </c>
      <c r="Q105" s="9">
        <v>1</v>
      </c>
      <c r="R105" s="9" t="str">
        <v>PON2/25/0059</v>
      </c>
      <c r="S105" s="9" t="str">
        <v>17/04/2025</v>
      </c>
      <c r="T105" s="9">
        <v>176605</v>
      </c>
      <c r="U105" s="9" t="str">
        <v>April</v>
      </c>
      <c r="V105" s="9">
        <v>0</v>
      </c>
      <c r="W105" s="9">
        <v>0</v>
      </c>
      <c r="X105" s="9">
        <v>0</v>
      </c>
      <c r="Y105" s="9">
        <v>0</v>
      </c>
    </row>
    <row r="106" spans="1:25">
      <c r="A106" s="9">
        <v>51</v>
      </c>
      <c r="B106" s="9" t="str">
        <v>15/4/2025</v>
      </c>
      <c r="C106" s="9" t="str">
        <v>Prashant Ferber Logistics Automation Pvt Ltd (Prashant Gamatex Pvt Ltd)</v>
      </c>
      <c r="D106" s="9" t="str">
        <v>Ahmadabad</v>
      </c>
      <c r="E106" s="9" t="str">
        <v>Maintenance</v>
      </c>
      <c r="F106" s="9" t="str">
        <v>Shailesh Patel</v>
      </c>
      <c r="G106" s="9">
        <v>8200502609</v>
      </c>
      <c r="H106" s="9" t="str">
        <v>utility@prashantgroup.com</v>
      </c>
      <c r="I106" s="9" t="str">
        <v>12006388/001</v>
      </c>
      <c r="J106" s="9" t="str">
        <v>SPP</v>
      </c>
      <c r="K106" s="9" t="str">
        <v>Yes</v>
      </c>
      <c r="L106" s="9" t="str">
        <v>KXIND/W/MV/SPP/25026</v>
      </c>
      <c r="M106" s="9" t="str">
        <v>15/4/2025</v>
      </c>
      <c r="N106" s="9">
        <v>285600</v>
      </c>
      <c r="O106" s="9" t="str">
        <v>April</v>
      </c>
      <c r="P106" s="9">
        <v>0</v>
      </c>
      <c r="Q106" s="9">
        <v>0.5</v>
      </c>
      <c r="R106" s="9">
        <v>0</v>
      </c>
      <c r="S106" s="9">
        <v>0</v>
      </c>
      <c r="T106" s="9">
        <v>0</v>
      </c>
      <c r="U106" s="9">
        <v>0</v>
      </c>
      <c r="V106" s="9">
        <v>285600</v>
      </c>
      <c r="W106" s="9">
        <v>0</v>
      </c>
      <c r="X106" s="9">
        <v>0</v>
      </c>
      <c r="Y106" s="9">
        <v>0</v>
      </c>
    </row>
    <row r="107" spans="1:25">
      <c r="A107" s="9">
        <v>52</v>
      </c>
      <c r="B107" s="9" t="str">
        <v>15/4/2025</v>
      </c>
      <c r="C107" s="9" t="str">
        <v>Polycab India Ltd</v>
      </c>
      <c r="D107" s="9" t="str">
        <v>Vadodara</v>
      </c>
      <c r="E107" s="9" t="str">
        <v>Maintenance</v>
      </c>
      <c r="F107" s="9" t="str">
        <v>Suryakant Tyagi</v>
      </c>
      <c r="G107" s="9">
        <v>8448031012</v>
      </c>
      <c r="H107" s="9" t="str">
        <v>Suryakant.Tyagi@Polycab.com</v>
      </c>
      <c r="I107" s="9" t="str">
        <v>23004242/001</v>
      </c>
      <c r="J107" s="9" t="str">
        <v>Contract</v>
      </c>
      <c r="K107" s="9" t="str">
        <v>Yes</v>
      </c>
      <c r="L107" s="9" t="str">
        <v>KXIND/W/MV/MC/25027</v>
      </c>
      <c r="M107" s="9" t="str">
        <v>15/4/2025</v>
      </c>
      <c r="N107" s="9">
        <v>85000</v>
      </c>
      <c r="O107" s="9" t="str">
        <v>April</v>
      </c>
      <c r="P107" s="9" t="str">
        <v>May</v>
      </c>
      <c r="Q107" s="9">
        <v>1</v>
      </c>
      <c r="R107" s="9">
        <v>115487274</v>
      </c>
      <c r="S107" s="9" t="str">
        <v>30/05/2025</v>
      </c>
      <c r="T107" s="9">
        <v>81600</v>
      </c>
      <c r="U107" s="9" t="str">
        <v>May</v>
      </c>
      <c r="V107" s="9">
        <v>0</v>
      </c>
      <c r="W107" s="9">
        <v>0</v>
      </c>
      <c r="X107" s="9">
        <v>0</v>
      </c>
      <c r="Y107" s="9">
        <v>0</v>
      </c>
    </row>
    <row r="108" spans="1:25">
      <c r="A108" s="9">
        <v>0</v>
      </c>
      <c r="B108" s="9">
        <v>0</v>
      </c>
      <c r="C108" s="9" t="str">
        <v>Polycab India Ltd</v>
      </c>
      <c r="D108" s="9" t="str">
        <v>Vadodara</v>
      </c>
      <c r="E108" s="9" t="str">
        <v>Maintenance</v>
      </c>
      <c r="F108" s="9" t="str">
        <v>Suryakant Tyagi</v>
      </c>
      <c r="G108" s="9">
        <v>8448031012</v>
      </c>
      <c r="H108" s="9" t="str">
        <v>Suryakant.Tyagi@Polycab.com</v>
      </c>
      <c r="I108" s="9" t="str">
        <v>23004242/002</v>
      </c>
      <c r="J108" s="9" t="str">
        <v>Contract</v>
      </c>
      <c r="K108" s="9" t="str">
        <v>Yes</v>
      </c>
      <c r="L108" s="9" t="str">
        <v>KXIND/W/MV/MC/25027</v>
      </c>
      <c r="M108" s="9" t="str">
        <v>15/4/2025</v>
      </c>
      <c r="N108" s="9">
        <v>85000</v>
      </c>
      <c r="O108" s="9" t="str">
        <v>April</v>
      </c>
      <c r="P108" s="9" t="str">
        <v>May</v>
      </c>
      <c r="Q108" s="9">
        <v>1</v>
      </c>
      <c r="R108" s="9">
        <v>115487274</v>
      </c>
      <c r="S108" s="9" t="str">
        <v>30/05/2025</v>
      </c>
      <c r="T108" s="9">
        <v>81600</v>
      </c>
      <c r="U108" s="9" t="str">
        <v>May</v>
      </c>
      <c r="V108" s="9">
        <v>0</v>
      </c>
      <c r="W108" s="9">
        <v>0</v>
      </c>
      <c r="X108" s="9">
        <v>0</v>
      </c>
      <c r="Y108" s="9">
        <v>0</v>
      </c>
    </row>
    <row r="109" spans="1:25">
      <c r="A109" s="9">
        <v>0</v>
      </c>
      <c r="B109" s="9">
        <v>0</v>
      </c>
      <c r="C109" s="9" t="str">
        <v>Polycab India Ltd</v>
      </c>
      <c r="D109" s="9" t="str">
        <v>Vadodara</v>
      </c>
      <c r="E109" s="9" t="str">
        <v>Maintenance</v>
      </c>
      <c r="F109" s="9" t="str">
        <v>Suryakant Tyagi</v>
      </c>
      <c r="G109" s="9">
        <v>8448031012</v>
      </c>
      <c r="H109" s="9" t="str">
        <v>Suryakant.Tyagi@Polycab.com</v>
      </c>
      <c r="I109" s="9" t="str">
        <v>23004242/003</v>
      </c>
      <c r="J109" s="9" t="str">
        <v>Contract</v>
      </c>
      <c r="K109" s="9" t="str">
        <v>Yes</v>
      </c>
      <c r="L109" s="9" t="str">
        <v>KXIND/W/MV/MC/25027</v>
      </c>
      <c r="M109" s="9" t="str">
        <v>15/4/2025</v>
      </c>
      <c r="N109" s="9">
        <v>85000</v>
      </c>
      <c r="O109" s="9" t="str">
        <v>April</v>
      </c>
      <c r="P109" s="9" t="str">
        <v>May</v>
      </c>
      <c r="Q109" s="9">
        <v>1</v>
      </c>
      <c r="R109" s="9">
        <v>115487274</v>
      </c>
      <c r="S109" s="9" t="str">
        <v>30/05/2025</v>
      </c>
      <c r="T109" s="9">
        <v>81600</v>
      </c>
      <c r="U109" s="9" t="str">
        <v>May</v>
      </c>
      <c r="V109" s="9">
        <v>0</v>
      </c>
      <c r="W109" s="9">
        <v>0</v>
      </c>
      <c r="X109" s="9">
        <v>0</v>
      </c>
      <c r="Y109" s="9">
        <v>0</v>
      </c>
    </row>
    <row r="110" spans="1:25">
      <c r="A110" s="9">
        <v>53</v>
      </c>
      <c r="B110" s="9" t="str">
        <v>20/04/2025</v>
      </c>
      <c r="C110" s="9" t="str">
        <v xml:space="preserve">Kirloskar brothers LTD </v>
      </c>
      <c r="D110" s="9" t="str">
        <v>sanand</v>
      </c>
      <c r="E110" s="9" t="str">
        <v>Maitenance</v>
      </c>
      <c r="F110" s="9" t="str">
        <v>Hiren Patel</v>
      </c>
      <c r="G110" s="9">
        <v>7624008077</v>
      </c>
      <c r="H110" s="9" t="str">
        <v>Hirenkumar.Patel@kbl.co.in</v>
      </c>
      <c r="I110" s="9" t="str">
        <v>17001433/003</v>
      </c>
      <c r="J110" s="9" t="str">
        <v>SPP</v>
      </c>
      <c r="K110" s="9" t="str">
        <v>No</v>
      </c>
      <c r="L110" s="9" t="str">
        <v>KXIND/W/MV/SPP/25028</v>
      </c>
      <c r="M110" s="9" t="str">
        <v>20/04/2025</v>
      </c>
      <c r="N110" s="9">
        <v>198600</v>
      </c>
      <c r="O110" s="9" t="str">
        <v>April</v>
      </c>
      <c r="P110" s="9" t="str">
        <v>May</v>
      </c>
      <c r="Q110" s="9">
        <v>1</v>
      </c>
      <c r="R110" s="9">
        <v>1500132699</v>
      </c>
      <c r="S110" s="9">
        <v>45874</v>
      </c>
      <c r="T110" s="9">
        <v>188670</v>
      </c>
      <c r="U110" s="9" t="str">
        <v>May</v>
      </c>
      <c r="V110" s="9">
        <v>0</v>
      </c>
      <c r="W110" s="9">
        <v>0</v>
      </c>
      <c r="X110" s="9">
        <v>0</v>
      </c>
      <c r="Y110" s="9">
        <v>0</v>
      </c>
    </row>
    <row r="111" spans="1:25">
      <c r="A111" s="9">
        <v>54</v>
      </c>
      <c r="B111" s="9" t="str">
        <v>21/04/2025</v>
      </c>
      <c r="C111" s="9" t="str">
        <v>Siemens Energy Industrial Turbomachinery India Pvt Ltd</v>
      </c>
      <c r="D111" s="9" t="str">
        <v>Ahmadabad</v>
      </c>
      <c r="E111" s="9" t="str">
        <v>Maintenance</v>
      </c>
      <c r="F111" s="9" t="str">
        <v>Nikhil Chitnis</v>
      </c>
      <c r="G111" s="9" t="str">
        <v>97125 97251</v>
      </c>
      <c r="H111" s="9" t="str">
        <v>nikhil.chitnis@siemensenergy.com</v>
      </c>
      <c r="I111" s="9" t="str">
        <v>05006887/001</v>
      </c>
      <c r="J111" s="9" t="str">
        <v>SPP</v>
      </c>
      <c r="K111" s="9" t="str">
        <v>Yes</v>
      </c>
      <c r="L111" s="9" t="str">
        <v>KXIND/W/MV/SPP/25029</v>
      </c>
      <c r="M111" s="9" t="str">
        <v>21/04/2025</v>
      </c>
      <c r="N111" s="9">
        <v>742000</v>
      </c>
      <c r="O111" s="9" t="str">
        <v>April</v>
      </c>
      <c r="P111" s="9" t="str">
        <v>May</v>
      </c>
      <c r="Q111" s="9">
        <v>1</v>
      </c>
      <c r="R111" s="9">
        <v>4510232266</v>
      </c>
      <c r="S111" s="9">
        <v>45996</v>
      </c>
      <c r="T111" s="9">
        <v>471295</v>
      </c>
      <c r="U111" s="9" t="str">
        <v>May</v>
      </c>
      <c r="V111" s="9">
        <v>0</v>
      </c>
      <c r="W111" s="9">
        <v>0</v>
      </c>
      <c r="X111" s="9">
        <v>0</v>
      </c>
      <c r="Y111" s="9">
        <v>0</v>
      </c>
    </row>
    <row r="112" spans="1:25">
      <c r="A112" s="9">
        <v>55</v>
      </c>
      <c r="B112" s="9">
        <v>45752</v>
      </c>
      <c r="C112" s="9" t="str">
        <v>Ferromatik Milacron India Ltd (Milacron India Pvt ltd)</v>
      </c>
      <c r="D112" s="9" t="str">
        <v>Ahmadabad</v>
      </c>
      <c r="E112" s="9" t="str">
        <v>Maintenance</v>
      </c>
      <c r="F112" s="9" t="str">
        <v>Kalpesh Panchal</v>
      </c>
      <c r="G112" s="9">
        <v>9722013361</v>
      </c>
      <c r="H112" s="9" t="str">
        <v>Kalpesh_Panchal@milacron.com</v>
      </c>
      <c r="I112" s="9" t="str">
        <v>22006108/001</v>
      </c>
      <c r="J112" s="9" t="str">
        <v>SPP</v>
      </c>
      <c r="K112" s="9" t="str">
        <v>No</v>
      </c>
      <c r="L112" s="9" t="str">
        <v>KXIND/W/MV/SPP/25030</v>
      </c>
      <c r="M112" s="9">
        <v>45752</v>
      </c>
      <c r="N112" s="9">
        <v>410500</v>
      </c>
      <c r="O112" s="9" t="str">
        <v>May</v>
      </c>
      <c r="P112" s="9" t="str">
        <v>June</v>
      </c>
      <c r="Q112" s="9">
        <v>1</v>
      </c>
      <c r="R112" s="9" t="str">
        <v>30010283/O2/25031800</v>
      </c>
      <c r="S112" s="9" t="str">
        <v>31/5/2025</v>
      </c>
      <c r="T112" s="9">
        <v>198360</v>
      </c>
      <c r="U112" s="9" t="str">
        <v>June</v>
      </c>
      <c r="V112" s="9">
        <v>0</v>
      </c>
      <c r="W112" s="9">
        <v>0</v>
      </c>
      <c r="X112" s="9">
        <v>0</v>
      </c>
      <c r="Y112" s="9">
        <v>0</v>
      </c>
    </row>
    <row r="113" spans="1:25">
      <c r="A113" s="9">
        <v>56</v>
      </c>
      <c r="B113" s="9">
        <v>45813</v>
      </c>
      <c r="C113" s="9" t="str">
        <v>Subros Ltd.</v>
      </c>
      <c r="D113" s="9" t="str">
        <v>Ahmadabad</v>
      </c>
      <c r="E113" s="9" t="str">
        <v>Purchase</v>
      </c>
      <c r="F113" s="9" t="str">
        <v>Ankit Mishra</v>
      </c>
      <c r="G113" s="9">
        <v>8368448480</v>
      </c>
      <c r="H113" s="9" t="str">
        <v>ankit.mishra@subros.com</v>
      </c>
      <c r="I113" s="9" t="str">
        <v>17002680/002</v>
      </c>
      <c r="J113" s="9" t="str">
        <v>SPP</v>
      </c>
      <c r="K113" s="9" t="str">
        <v>No</v>
      </c>
      <c r="L113" s="9" t="str">
        <v>KXIND/W/MV/SPP/25031</v>
      </c>
      <c r="M113" s="9">
        <v>45813</v>
      </c>
      <c r="N113" s="9">
        <v>47080</v>
      </c>
      <c r="O113" s="9" t="str">
        <v>May</v>
      </c>
      <c r="P113" s="9" t="str">
        <v>June</v>
      </c>
      <c r="Q113" s="9">
        <v>1</v>
      </c>
      <c r="R113" s="9">
        <v>6500021694</v>
      </c>
      <c r="S113" s="9">
        <v>45996</v>
      </c>
      <c r="T113" s="9">
        <v>45197</v>
      </c>
      <c r="U113" s="9" t="str">
        <v>May</v>
      </c>
      <c r="V113" s="9">
        <v>0</v>
      </c>
      <c r="W113" s="9">
        <v>0</v>
      </c>
      <c r="X113" s="9">
        <v>0</v>
      </c>
      <c r="Y113" s="9">
        <v>0</v>
      </c>
    </row>
    <row r="114" spans="1:25">
      <c r="A114" s="9">
        <v>57</v>
      </c>
      <c r="B114" s="9" t="str">
        <v>20/5/2025</v>
      </c>
      <c r="C114" s="9" t="str">
        <v>Force Motors Ltd</v>
      </c>
      <c r="D114" s="9" t="str">
        <v>pithampur</v>
      </c>
      <c r="E114" s="9" t="str">
        <v>Maintenance</v>
      </c>
      <c r="F114" s="9" t="str">
        <v>Manoj Verma</v>
      </c>
      <c r="G114" s="9">
        <v>9575300235</v>
      </c>
      <c r="H114" s="9" t="str">
        <v>mverma@forcemotors.com</v>
      </c>
      <c r="I114" s="9" t="str">
        <v>15005798/001</v>
      </c>
      <c r="J114" s="9" t="str">
        <v>SPP</v>
      </c>
      <c r="K114" s="9" t="str">
        <v>No</v>
      </c>
      <c r="L114" s="9" t="str">
        <v>KXIND/W/MV/SPP/25033</v>
      </c>
      <c r="M114" s="9" t="str">
        <v>20/5/2025</v>
      </c>
      <c r="N114" s="9">
        <v>17900</v>
      </c>
      <c r="O114" s="9" t="str">
        <v>May</v>
      </c>
      <c r="P114" s="9" t="str">
        <v>June</v>
      </c>
      <c r="Q114" s="9">
        <v>1</v>
      </c>
      <c r="R114" s="9">
        <v>6405019827</v>
      </c>
      <c r="S114" s="9" t="str">
        <v>20/5/2025</v>
      </c>
      <c r="T114" s="9">
        <v>17900</v>
      </c>
      <c r="U114" s="9" t="str">
        <v>June</v>
      </c>
      <c r="V114" s="9">
        <v>0</v>
      </c>
      <c r="W114" s="9">
        <v>0</v>
      </c>
      <c r="X114" s="9">
        <v>0</v>
      </c>
      <c r="Y114" s="9">
        <v>0</v>
      </c>
    </row>
    <row r="115" spans="1:25">
      <c r="A115" s="9">
        <v>58</v>
      </c>
      <c r="B115" s="9" t="str">
        <v>20/5/2025</v>
      </c>
      <c r="C115" s="9" t="str">
        <v>Prasad GWK Cooltech Pvt Ltd</v>
      </c>
      <c r="D115" s="9" t="str">
        <v>Ahmadabad</v>
      </c>
      <c r="E115" s="9" t="str">
        <v>Stores</v>
      </c>
      <c r="F115" s="9" t="str">
        <v>Rohan</v>
      </c>
      <c r="G115" s="9">
        <v>9913610133</v>
      </c>
      <c r="H115" s="9" t="str">
        <v>stores-gwk@prasadgroup.com</v>
      </c>
      <c r="I115" s="9" t="str">
        <v>12006436/001</v>
      </c>
      <c r="J115" s="9" t="str">
        <v>SPP</v>
      </c>
      <c r="K115" s="9" t="str">
        <v>Yes</v>
      </c>
      <c r="L115" s="9" t="str">
        <v>KXIND/W/MV/SPP/25034</v>
      </c>
      <c r="M115" s="9" t="str">
        <v>20/5/2025</v>
      </c>
      <c r="N115" s="9">
        <v>427190</v>
      </c>
      <c r="O115" s="9" t="str">
        <v>May</v>
      </c>
      <c r="P115" s="9">
        <v>0</v>
      </c>
      <c r="Q115" s="9">
        <v>0.5</v>
      </c>
      <c r="R115" s="9">
        <v>0</v>
      </c>
      <c r="S115" s="9">
        <v>0</v>
      </c>
      <c r="T115" s="9">
        <v>0</v>
      </c>
      <c r="U115" s="9">
        <v>0</v>
      </c>
      <c r="V115" s="9">
        <v>427190</v>
      </c>
      <c r="W115" s="9">
        <v>0</v>
      </c>
      <c r="X115" s="9">
        <v>0</v>
      </c>
      <c r="Y115" s="9">
        <v>0</v>
      </c>
    </row>
    <row r="116" spans="1:25">
      <c r="A116" s="9">
        <v>59</v>
      </c>
      <c r="B116" s="9" t="str">
        <v>27/5/2025</v>
      </c>
      <c r="C116" s="9" t="str">
        <v>Secure Meters Limited</v>
      </c>
      <c r="D116" s="9" t="str">
        <v>Udaipur</v>
      </c>
      <c r="E116" s="9" t="str">
        <v>Stores</v>
      </c>
      <c r="F116" s="9" t="str">
        <v>Madan Mohan Singh</v>
      </c>
      <c r="G116" s="9">
        <v>9414738104</v>
      </c>
      <c r="H116" s="9" t="str">
        <v>Madan.Singh@Securemeters.Com</v>
      </c>
      <c r="I116" s="9" t="str">
        <v>16000992/001</v>
      </c>
      <c r="J116" s="9" t="str">
        <v>SPP</v>
      </c>
      <c r="K116" s="9" t="str">
        <v>No</v>
      </c>
      <c r="L116" s="9" t="str">
        <v>KXIND/W/MV/SPP/25035</v>
      </c>
      <c r="M116" s="9" t="str">
        <v>27/5/2025</v>
      </c>
      <c r="N116" s="9">
        <v>246900</v>
      </c>
      <c r="O116" s="9" t="str">
        <v>May</v>
      </c>
      <c r="P116" s="9" t="str">
        <v>June</v>
      </c>
      <c r="Q116" s="9">
        <v>1</v>
      </c>
      <c r="R116" s="9">
        <v>2102501852</v>
      </c>
      <c r="S116" s="9">
        <v>45997</v>
      </c>
      <c r="T116" s="9">
        <v>234555</v>
      </c>
      <c r="U116" s="9" t="str">
        <v>June</v>
      </c>
      <c r="V116" s="9">
        <v>0</v>
      </c>
      <c r="W116" s="9">
        <v>0</v>
      </c>
      <c r="X116" s="9">
        <v>0</v>
      </c>
      <c r="Y116" s="9">
        <v>0</v>
      </c>
    </row>
    <row r="117" spans="1:25">
      <c r="A117" s="9">
        <v>60</v>
      </c>
      <c r="B117" s="9" t="str">
        <v>27/5/2025</v>
      </c>
      <c r="C117" s="9" t="str">
        <v xml:space="preserve">Vihan Engg Pvt Ltd </v>
      </c>
      <c r="D117" s="9" t="str">
        <v>Ahmadabad</v>
      </c>
      <c r="E117" s="9" t="str">
        <v>Operations</v>
      </c>
      <c r="F117" s="9" t="str">
        <v>Viren Joshipara</v>
      </c>
      <c r="G117" s="9">
        <v>9099032636</v>
      </c>
      <c r="H117" s="9" t="str">
        <v>vnj@vihanindia.com</v>
      </c>
      <c r="I117" s="9" t="str">
        <v>15006572/001</v>
      </c>
      <c r="J117" s="9" t="str">
        <v>Contract</v>
      </c>
      <c r="K117" s="9" t="str">
        <v>No</v>
      </c>
      <c r="L117" s="9" t="str">
        <v>KXIND/W/MV/MC/25036</v>
      </c>
      <c r="M117" s="9" t="str">
        <v>27/5/2025</v>
      </c>
      <c r="N117" s="9">
        <v>90000</v>
      </c>
      <c r="O117" s="9" t="str">
        <v>May</v>
      </c>
      <c r="P117" s="9" t="str">
        <v>June</v>
      </c>
      <c r="Q117" s="9">
        <v>1</v>
      </c>
      <c r="R117" s="9">
        <v>326050136</v>
      </c>
      <c r="S117" s="9" t="str">
        <v>23/6/2025</v>
      </c>
      <c r="T117" s="9">
        <v>90000</v>
      </c>
      <c r="U117" s="9" t="str">
        <v>June</v>
      </c>
      <c r="V117" s="9">
        <v>0</v>
      </c>
      <c r="W117" s="9">
        <v>0</v>
      </c>
      <c r="X117" s="9">
        <v>0</v>
      </c>
      <c r="Y117" s="9">
        <v>0</v>
      </c>
    </row>
    <row r="118" spans="1:25">
      <c r="A118" s="9">
        <v>61</v>
      </c>
      <c r="B118" s="9" t="str">
        <v>27/5/2025</v>
      </c>
      <c r="C118" s="9" t="str">
        <v>VE Commercial Vehicles Ltd</v>
      </c>
      <c r="D118" s="9" t="str">
        <v>pithampur</v>
      </c>
      <c r="E118" s="9" t="str">
        <v>Maintenance</v>
      </c>
      <c r="F118" s="9" t="str">
        <v>Praveen Kumar Gupta</v>
      </c>
      <c r="G118" s="9">
        <v>7389445566</v>
      </c>
      <c r="H118" s="9" t="str">
        <v>pkgupta9@VECV.IN</v>
      </c>
      <c r="I118" s="9" t="str">
        <v>16007190/001</v>
      </c>
      <c r="J118" s="9" t="str">
        <v>Contract</v>
      </c>
      <c r="K118" s="9" t="str">
        <v>No</v>
      </c>
      <c r="L118" s="9" t="str">
        <v>KXIND/W/MV/MC/25037</v>
      </c>
      <c r="M118" s="9" t="str">
        <v>27/5/2025</v>
      </c>
      <c r="N118" s="9">
        <v>84480</v>
      </c>
      <c r="O118" s="9" t="str">
        <v>May</v>
      </c>
      <c r="P118" s="9" t="str">
        <v>June</v>
      </c>
      <c r="Q118" s="9">
        <v>1</v>
      </c>
      <c r="R118" s="9">
        <v>1421076377</v>
      </c>
      <c r="S118" s="9">
        <v>45753</v>
      </c>
      <c r="T118" s="9">
        <v>84480</v>
      </c>
      <c r="U118" s="9" t="str">
        <v>June</v>
      </c>
      <c r="V118" s="9">
        <v>0</v>
      </c>
      <c r="W118" s="9">
        <v>0</v>
      </c>
      <c r="X118" s="9">
        <v>0</v>
      </c>
      <c r="Y118" s="9">
        <v>0</v>
      </c>
    </row>
    <row r="119" spans="1:25">
      <c r="A119" s="9">
        <v>62</v>
      </c>
      <c r="B119" s="9" t="str">
        <v>27/5/2025</v>
      </c>
      <c r="C119" s="9" t="str">
        <v>Bosch Rexroth India Ltd</v>
      </c>
      <c r="D119" s="9" t="str">
        <v>Ahmadabad</v>
      </c>
      <c r="E119" s="9" t="str">
        <v>Maintenance</v>
      </c>
      <c r="F119" s="9" t="str">
        <v>Nimit Shah</v>
      </c>
      <c r="G119" s="9">
        <v>9898877282</v>
      </c>
      <c r="H119" s="9" t="str">
        <v>shah.nn@boschrexroth.co.in</v>
      </c>
      <c r="I119" s="9" t="str">
        <v>11002664/001</v>
      </c>
      <c r="J119" s="9" t="str">
        <v>Contract</v>
      </c>
      <c r="K119" s="9" t="str">
        <v>No</v>
      </c>
      <c r="L119" s="9" t="str">
        <v>KXIND/W/MV/MC/25038</v>
      </c>
      <c r="M119" s="9" t="str">
        <v>27/5/2025</v>
      </c>
      <c r="N119" s="9">
        <v>76440</v>
      </c>
      <c r="O119" s="9" t="str">
        <v>May</v>
      </c>
      <c r="P119" s="9" t="str">
        <v>June</v>
      </c>
      <c r="Q119" s="9">
        <v>1</v>
      </c>
      <c r="R119" s="9">
        <v>8480224138</v>
      </c>
      <c r="S119" s="9">
        <v>45936</v>
      </c>
      <c r="T119" s="9">
        <v>76440</v>
      </c>
      <c r="U119" s="9" t="str">
        <v>June</v>
      </c>
      <c r="V119" s="9">
        <v>0</v>
      </c>
      <c r="W119" s="9">
        <v>0</v>
      </c>
      <c r="X119" s="9">
        <v>0</v>
      </c>
      <c r="Y119" s="9">
        <v>0</v>
      </c>
    </row>
    <row r="120" spans="1:25">
      <c r="A120" s="9">
        <v>0</v>
      </c>
      <c r="B120" s="9">
        <v>0</v>
      </c>
      <c r="C120" s="9" t="str">
        <v>Bosch Rexroth India Ltd</v>
      </c>
      <c r="D120" s="9" t="str">
        <v>Ahmadabad</v>
      </c>
      <c r="E120" s="9" t="str">
        <v>Maintenance</v>
      </c>
      <c r="F120" s="9" t="str">
        <v>Nimit Shah</v>
      </c>
      <c r="G120" s="9">
        <v>9898877282</v>
      </c>
      <c r="H120" s="9" t="str">
        <v>shah.nn@boschrexroth.co.in</v>
      </c>
      <c r="I120" s="9" t="str">
        <v>12004686/001</v>
      </c>
      <c r="J120" s="9" t="str">
        <v>Contract</v>
      </c>
      <c r="K120" s="9" t="str">
        <v>No</v>
      </c>
      <c r="L120" s="9" t="str">
        <v>KXIND/W/MV/MC/25038</v>
      </c>
      <c r="M120" s="9" t="str">
        <v>27/5/2025</v>
      </c>
      <c r="N120" s="9">
        <v>76440</v>
      </c>
      <c r="O120" s="9" t="str">
        <v>May</v>
      </c>
      <c r="P120" s="9" t="str">
        <v>June</v>
      </c>
      <c r="Q120" s="9">
        <v>1</v>
      </c>
      <c r="R120" s="9">
        <v>8480224138</v>
      </c>
      <c r="S120" s="9">
        <v>45936</v>
      </c>
      <c r="T120" s="9">
        <v>76440</v>
      </c>
      <c r="U120" s="9" t="str">
        <v>June</v>
      </c>
      <c r="V120" s="9">
        <v>0</v>
      </c>
      <c r="W120" s="9">
        <v>0</v>
      </c>
      <c r="X120" s="9">
        <v>0</v>
      </c>
      <c r="Y120" s="9">
        <v>0</v>
      </c>
    </row>
    <row r="121" spans="1:25">
      <c r="A121" s="9">
        <v>0</v>
      </c>
      <c r="B121" s="9">
        <v>0</v>
      </c>
      <c r="C121" s="9" t="str">
        <v>Bosch Rexroth India Ltd</v>
      </c>
      <c r="D121" s="9" t="str">
        <v>Ahmadabad</v>
      </c>
      <c r="E121" s="9" t="str">
        <v>Maintenance</v>
      </c>
      <c r="F121" s="9" t="str">
        <v>Nimit Shah</v>
      </c>
      <c r="G121" s="9">
        <v>9898877282</v>
      </c>
      <c r="H121" s="9" t="str">
        <v>shah.nn@boschrexroth.co.in</v>
      </c>
      <c r="I121" s="9" t="str">
        <v>12003603/001</v>
      </c>
      <c r="J121" s="9" t="str">
        <v>Contract</v>
      </c>
      <c r="K121" s="9" t="str">
        <v>No</v>
      </c>
      <c r="L121" s="9" t="str">
        <v>KXIND/W/MV/MC/25038</v>
      </c>
      <c r="M121" s="9" t="str">
        <v>27/5/2025</v>
      </c>
      <c r="N121" s="9">
        <v>76440</v>
      </c>
      <c r="O121" s="9" t="str">
        <v>May</v>
      </c>
      <c r="P121" s="9" t="str">
        <v>June</v>
      </c>
      <c r="Q121" s="9">
        <v>1</v>
      </c>
      <c r="R121" s="9">
        <v>8480224138</v>
      </c>
      <c r="S121" s="9">
        <v>45936</v>
      </c>
      <c r="T121" s="9">
        <v>76440</v>
      </c>
      <c r="U121" s="9" t="str">
        <v>June</v>
      </c>
      <c r="V121" s="9">
        <v>0</v>
      </c>
      <c r="W121" s="9">
        <v>0</v>
      </c>
      <c r="X121" s="9">
        <v>0</v>
      </c>
      <c r="Y121" s="9">
        <v>0</v>
      </c>
    </row>
    <row r="122" spans="1:25">
      <c r="A122" s="9">
        <v>0</v>
      </c>
      <c r="B122" s="9">
        <v>0</v>
      </c>
      <c r="C122" s="9" t="str">
        <v>Bosch Rexroth India Ltd</v>
      </c>
      <c r="D122" s="9" t="str">
        <v>Ahmadabad</v>
      </c>
      <c r="E122" s="9" t="str">
        <v>Maintenance</v>
      </c>
      <c r="F122" s="9" t="str">
        <v>Nimit Shah</v>
      </c>
      <c r="G122" s="9">
        <v>9898877282</v>
      </c>
      <c r="H122" s="9" t="str">
        <v>shah.nn@boschrexroth.co.in</v>
      </c>
      <c r="I122" s="9" t="str">
        <v xml:space="preserve">12003604/001 </v>
      </c>
      <c r="J122" s="9" t="str">
        <v>Contract</v>
      </c>
      <c r="K122" s="9" t="str">
        <v>No</v>
      </c>
      <c r="L122" s="9" t="str">
        <v>KXIND/W/MV/MC/25038</v>
      </c>
      <c r="M122" s="9" t="str">
        <v>27/5/2025</v>
      </c>
      <c r="N122" s="9">
        <v>76440</v>
      </c>
      <c r="O122" s="9" t="str">
        <v>May</v>
      </c>
      <c r="P122" s="9" t="str">
        <v>June</v>
      </c>
      <c r="Q122" s="9">
        <v>1</v>
      </c>
      <c r="R122" s="9">
        <v>8480224138</v>
      </c>
      <c r="S122" s="9">
        <v>45936</v>
      </c>
      <c r="T122" s="9">
        <v>76440</v>
      </c>
      <c r="U122" s="9" t="str">
        <v>June</v>
      </c>
      <c r="V122" s="9">
        <v>0</v>
      </c>
      <c r="W122" s="9">
        <v>0</v>
      </c>
      <c r="X122" s="9">
        <v>0</v>
      </c>
      <c r="Y122" s="9">
        <v>0</v>
      </c>
    </row>
    <row r="123" spans="1:25">
      <c r="A123" s="9">
        <v>0</v>
      </c>
      <c r="B123" s="9">
        <v>0</v>
      </c>
      <c r="C123" s="9" t="str">
        <v>Bosch Rexroth India Ltd</v>
      </c>
      <c r="D123" s="9" t="str">
        <v>Ahmadabad</v>
      </c>
      <c r="E123" s="9" t="str">
        <v>Maintenance</v>
      </c>
      <c r="F123" s="9" t="str">
        <v>Nimit Shah</v>
      </c>
      <c r="G123" s="9">
        <v>9898877282</v>
      </c>
      <c r="H123" s="9" t="str">
        <v>shah.nn@boschrexroth.co.in</v>
      </c>
      <c r="I123" s="9" t="str">
        <v>12003605/001</v>
      </c>
      <c r="J123" s="9" t="str">
        <v>Contract</v>
      </c>
      <c r="K123" s="9" t="str">
        <v>No</v>
      </c>
      <c r="L123" s="9" t="str">
        <v>KXIND/W/MV/MC/25038</v>
      </c>
      <c r="M123" s="9" t="str">
        <v>27/5/2025</v>
      </c>
      <c r="N123" s="9">
        <v>76440</v>
      </c>
      <c r="O123" s="9" t="str">
        <v>May</v>
      </c>
      <c r="P123" s="9" t="str">
        <v>June</v>
      </c>
      <c r="Q123" s="9">
        <v>1</v>
      </c>
      <c r="R123" s="9">
        <v>8480224138</v>
      </c>
      <c r="S123" s="9">
        <v>45936</v>
      </c>
      <c r="T123" s="9">
        <v>76440</v>
      </c>
      <c r="U123" s="9" t="str">
        <v>June</v>
      </c>
      <c r="V123" s="9">
        <v>0</v>
      </c>
      <c r="W123" s="9">
        <v>0</v>
      </c>
      <c r="X123" s="9">
        <v>0</v>
      </c>
      <c r="Y123" s="9">
        <v>0</v>
      </c>
    </row>
    <row r="124" spans="1:25">
      <c r="A124" s="9">
        <v>0</v>
      </c>
      <c r="B124" s="9">
        <v>0</v>
      </c>
      <c r="C124" s="9" t="str">
        <v>Bosch Rexroth India Ltd</v>
      </c>
      <c r="D124" s="9" t="str">
        <v>Ahmadabad</v>
      </c>
      <c r="E124" s="9" t="str">
        <v>Maintenance</v>
      </c>
      <c r="F124" s="9" t="str">
        <v>Nimit Shah</v>
      </c>
      <c r="G124" s="9">
        <v>9898877282</v>
      </c>
      <c r="H124" s="9" t="str">
        <v>shah.nn@boschrexroth.co.in</v>
      </c>
      <c r="I124" s="9" t="str">
        <v>12003606/001</v>
      </c>
      <c r="J124" s="9" t="str">
        <v>Contract</v>
      </c>
      <c r="K124" s="9" t="str">
        <v>No</v>
      </c>
      <c r="L124" s="9" t="str">
        <v>KXIND/W/MV/MC/25038</v>
      </c>
      <c r="M124" s="9" t="str">
        <v>27/5/2025</v>
      </c>
      <c r="N124" s="9">
        <v>76440</v>
      </c>
      <c r="O124" s="9" t="str">
        <v>May</v>
      </c>
      <c r="P124" s="9" t="str">
        <v>June</v>
      </c>
      <c r="Q124" s="9">
        <v>1</v>
      </c>
      <c r="R124" s="9">
        <v>8480224138</v>
      </c>
      <c r="S124" s="9">
        <v>45936</v>
      </c>
      <c r="T124" s="9">
        <v>76440</v>
      </c>
      <c r="U124" s="9" t="str">
        <v>June</v>
      </c>
      <c r="V124" s="9">
        <v>0</v>
      </c>
      <c r="W124" s="9">
        <v>0</v>
      </c>
      <c r="X124" s="9">
        <v>0</v>
      </c>
      <c r="Y124" s="9">
        <v>0</v>
      </c>
    </row>
    <row r="125" spans="1:25">
      <c r="A125" s="9">
        <v>0</v>
      </c>
      <c r="B125" s="9">
        <v>0</v>
      </c>
      <c r="C125" s="9" t="str">
        <v>Bosch Rexroth India Ltd</v>
      </c>
      <c r="D125" s="9" t="str">
        <v>Ahmadabad</v>
      </c>
      <c r="E125" s="9" t="str">
        <v>Maintenance</v>
      </c>
      <c r="F125" s="9" t="str">
        <v>Nimit Shah</v>
      </c>
      <c r="G125" s="9">
        <v>9898877282</v>
      </c>
      <c r="H125" s="9" t="str">
        <v>shah.nn@boschrexroth.co.in</v>
      </c>
      <c r="I125" s="9" t="str">
        <v>12003607/001</v>
      </c>
      <c r="J125" s="9" t="str">
        <v>Contract</v>
      </c>
      <c r="K125" s="9" t="str">
        <v>No</v>
      </c>
      <c r="L125" s="9" t="str">
        <v>KXIND/W/MV/MC/25038</v>
      </c>
      <c r="M125" s="9" t="str">
        <v>27/5/2025</v>
      </c>
      <c r="N125" s="9">
        <v>76440</v>
      </c>
      <c r="O125" s="9" t="str">
        <v>May</v>
      </c>
      <c r="P125" s="9" t="str">
        <v>June</v>
      </c>
      <c r="Q125" s="9">
        <v>1</v>
      </c>
      <c r="R125" s="9">
        <v>8480224138</v>
      </c>
      <c r="S125" s="9">
        <v>45936</v>
      </c>
      <c r="T125" s="9">
        <v>76440</v>
      </c>
      <c r="U125" s="9" t="str">
        <v>June</v>
      </c>
      <c r="V125" s="9">
        <v>0</v>
      </c>
      <c r="W125" s="9">
        <v>0</v>
      </c>
      <c r="X125" s="9">
        <v>0</v>
      </c>
      <c r="Y125" s="9">
        <v>0</v>
      </c>
    </row>
    <row r="126" spans="1:25">
      <c r="A126" s="9">
        <v>0</v>
      </c>
      <c r="B126" s="9">
        <v>0</v>
      </c>
      <c r="C126" s="9" t="str">
        <v>Bosch Rexroth India Ltd</v>
      </c>
      <c r="D126" s="9" t="str">
        <v>Ahmadabad</v>
      </c>
      <c r="E126" s="9" t="str">
        <v>Maintenance</v>
      </c>
      <c r="F126" s="9" t="str">
        <v>Nimit Shah</v>
      </c>
      <c r="G126" s="9">
        <v>9898877282</v>
      </c>
      <c r="H126" s="9" t="str">
        <v>shah.nn@boschrexroth.co.in</v>
      </c>
      <c r="I126" s="9" t="str">
        <v>12003608/001</v>
      </c>
      <c r="J126" s="9" t="str">
        <v>Contract</v>
      </c>
      <c r="K126" s="9" t="str">
        <v>No</v>
      </c>
      <c r="L126" s="9" t="str">
        <v>KXIND/W/MV/MC/25038</v>
      </c>
      <c r="M126" s="9" t="str">
        <v>27/5/2025</v>
      </c>
      <c r="N126" s="9">
        <v>76440</v>
      </c>
      <c r="O126" s="9" t="str">
        <v>May</v>
      </c>
      <c r="P126" s="9" t="str">
        <v>June</v>
      </c>
      <c r="Q126" s="9">
        <v>1</v>
      </c>
      <c r="R126" s="9">
        <v>8480224138</v>
      </c>
      <c r="S126" s="9">
        <v>45936</v>
      </c>
      <c r="T126" s="9">
        <v>76440</v>
      </c>
      <c r="U126" s="9" t="str">
        <v>June</v>
      </c>
      <c r="V126" s="9">
        <v>0</v>
      </c>
      <c r="W126" s="9">
        <v>0</v>
      </c>
      <c r="X126" s="9">
        <v>0</v>
      </c>
      <c r="Y126" s="9">
        <v>0</v>
      </c>
    </row>
    <row r="127" spans="1:25">
      <c r="A127" s="9">
        <v>0</v>
      </c>
      <c r="B127" s="9">
        <v>0</v>
      </c>
      <c r="C127" s="9" t="str">
        <v>Bosch Rexroth India Ltd</v>
      </c>
      <c r="D127" s="9" t="str">
        <v>Ahmadabad</v>
      </c>
      <c r="E127" s="9" t="str">
        <v>Maintenance</v>
      </c>
      <c r="F127" s="9" t="str">
        <v>Nimit Shah</v>
      </c>
      <c r="G127" s="9">
        <v>9898877282</v>
      </c>
      <c r="H127" s="9" t="str">
        <v>shah.nn@boschrexroth.co.in</v>
      </c>
      <c r="I127" s="9" t="str">
        <v>12003609/001</v>
      </c>
      <c r="J127" s="9" t="str">
        <v>Contract</v>
      </c>
      <c r="K127" s="9" t="str">
        <v>No</v>
      </c>
      <c r="L127" s="9" t="str">
        <v>KXIND/W/MV/MC/25038</v>
      </c>
      <c r="M127" s="9" t="str">
        <v>27/5/2025</v>
      </c>
      <c r="N127" s="9">
        <v>76440</v>
      </c>
      <c r="O127" s="9" t="str">
        <v>May</v>
      </c>
      <c r="P127" s="9" t="str">
        <v>June</v>
      </c>
      <c r="Q127" s="9">
        <v>1</v>
      </c>
      <c r="R127" s="9">
        <v>8480224138</v>
      </c>
      <c r="S127" s="9">
        <v>45936</v>
      </c>
      <c r="T127" s="9">
        <v>76440</v>
      </c>
      <c r="U127" s="9" t="str">
        <v>June</v>
      </c>
      <c r="V127" s="9">
        <v>0</v>
      </c>
      <c r="W127" s="9">
        <v>0</v>
      </c>
      <c r="X127" s="9">
        <v>0</v>
      </c>
      <c r="Y127" s="9">
        <v>0</v>
      </c>
    </row>
    <row r="128" spans="1:25">
      <c r="A128" s="9">
        <v>0</v>
      </c>
      <c r="B128" s="9">
        <v>0</v>
      </c>
      <c r="C128" s="9" t="str">
        <v>Bosch Rexroth India Ltd</v>
      </c>
      <c r="D128" s="9" t="str">
        <v>Ahmadabad</v>
      </c>
      <c r="E128" s="9" t="str">
        <v>Maintenance</v>
      </c>
      <c r="F128" s="9" t="str">
        <v>Nimit Shah</v>
      </c>
      <c r="G128" s="9">
        <v>9898877282</v>
      </c>
      <c r="H128" s="9" t="str">
        <v>shah.nn@boschrexroth.co.in</v>
      </c>
      <c r="I128" s="9" t="str">
        <v>12003610/001</v>
      </c>
      <c r="J128" s="9" t="str">
        <v>Contract</v>
      </c>
      <c r="K128" s="9" t="str">
        <v>No</v>
      </c>
      <c r="L128" s="9" t="str">
        <v>KXIND/W/MV/MC/25038</v>
      </c>
      <c r="M128" s="9" t="str">
        <v>27/5/2025</v>
      </c>
      <c r="N128" s="9">
        <v>76440</v>
      </c>
      <c r="O128" s="9" t="str">
        <v>May</v>
      </c>
      <c r="P128" s="9" t="str">
        <v>June</v>
      </c>
      <c r="Q128" s="9">
        <v>1</v>
      </c>
      <c r="R128" s="9">
        <v>8480224138</v>
      </c>
      <c r="S128" s="9">
        <v>45936</v>
      </c>
      <c r="T128" s="9">
        <v>76440</v>
      </c>
      <c r="U128" s="9" t="str">
        <v>June</v>
      </c>
      <c r="V128" s="9">
        <v>0</v>
      </c>
      <c r="W128" s="9">
        <v>0</v>
      </c>
      <c r="X128" s="9">
        <v>0</v>
      </c>
      <c r="Y128" s="9">
        <v>0</v>
      </c>
    </row>
    <row r="129" spans="1:25">
      <c r="A129" s="9">
        <v>63</v>
      </c>
      <c r="B129" s="9" t="str">
        <v>31/5/2025</v>
      </c>
      <c r="C129" s="9" t="str">
        <v>Secure Meters Limited</v>
      </c>
      <c r="D129" s="9" t="str">
        <v>Ahmadabad</v>
      </c>
      <c r="E129" s="9" t="str">
        <v>Purchase</v>
      </c>
      <c r="F129" s="9" t="str">
        <v>Harshil Patel</v>
      </c>
      <c r="G129" s="9">
        <v>9558210264</v>
      </c>
      <c r="H129" s="9" t="str">
        <v>harshil.patel@securemeters.com</v>
      </c>
      <c r="I129" s="9" t="str">
        <v>17003534/001</v>
      </c>
      <c r="J129" s="9" t="str">
        <v>Relocation</v>
      </c>
      <c r="K129" s="9" t="str">
        <v>No</v>
      </c>
      <c r="L129" s="9" t="str">
        <v>KXIND/W/MV/RE/25039 – R1</v>
      </c>
      <c r="M129" s="9">
        <v>45936</v>
      </c>
      <c r="N129" s="9">
        <v>180000</v>
      </c>
      <c r="O129" s="9" t="str">
        <v>June</v>
      </c>
      <c r="P129" s="9" t="str">
        <v>June</v>
      </c>
      <c r="Q129" s="9">
        <v>1</v>
      </c>
      <c r="R129" s="9">
        <v>3102500584</v>
      </c>
      <c r="S129" s="9" t="str">
        <v>14/6/2025</v>
      </c>
      <c r="T129" s="9">
        <v>180000</v>
      </c>
      <c r="U129" s="9" t="str">
        <v>June</v>
      </c>
      <c r="V129" s="9">
        <v>0</v>
      </c>
      <c r="W129" s="9">
        <v>0</v>
      </c>
      <c r="X129" s="9">
        <v>0</v>
      </c>
      <c r="Y129" s="9">
        <v>0</v>
      </c>
    </row>
    <row r="130" spans="1:25">
      <c r="A130" s="9">
        <v>64</v>
      </c>
      <c r="B130" s="9">
        <v>45722</v>
      </c>
      <c r="C130" s="9" t="str">
        <v>Schaeffler India Limited</v>
      </c>
      <c r="D130" s="9" t="str">
        <v>Vadodara</v>
      </c>
      <c r="E130" s="9" t="str">
        <v>Maintenance</v>
      </c>
      <c r="F130" s="9" t="str">
        <v>Jignesh Shah</v>
      </c>
      <c r="G130" s="9" t="str">
        <v>88665 68532</v>
      </c>
      <c r="H130" s="9" t="str">
        <v>shahjgn@schaeffler.com</v>
      </c>
      <c r="I130" s="9" t="str">
        <v>19006352/001</v>
      </c>
      <c r="J130" s="9" t="str">
        <v>BD Spare</v>
      </c>
      <c r="K130" s="9" t="str">
        <v>No</v>
      </c>
      <c r="L130" s="9" t="str">
        <v>KXIND/W/MV/SPP/25040</v>
      </c>
      <c r="M130" s="9">
        <v>45722</v>
      </c>
      <c r="N130" s="9">
        <v>243600</v>
      </c>
      <c r="O130" s="9" t="str">
        <v>June</v>
      </c>
      <c r="P130" s="9" t="str">
        <v>June</v>
      </c>
      <c r="Q130" s="9">
        <v>1</v>
      </c>
      <c r="R130" s="9">
        <v>39383774</v>
      </c>
      <c r="S130" s="9">
        <v>45722</v>
      </c>
      <c r="T130" s="9">
        <v>243600</v>
      </c>
      <c r="U130" s="9" t="str">
        <v>June</v>
      </c>
      <c r="V130" s="9">
        <v>0</v>
      </c>
      <c r="W130" s="9">
        <v>0</v>
      </c>
      <c r="X130" s="9">
        <v>0</v>
      </c>
      <c r="Y130" s="9">
        <v>0</v>
      </c>
    </row>
    <row r="131" spans="1:25">
      <c r="A131" s="9">
        <v>65</v>
      </c>
      <c r="B131" s="9">
        <v>45754</v>
      </c>
      <c r="C131" s="9" t="str">
        <v>PRASAD RAPID INDIA PRIVATE LIMITED</v>
      </c>
      <c r="D131" s="9" t="str">
        <v>Ahmadabad</v>
      </c>
      <c r="E131" s="9" t="str">
        <v>Maintenance</v>
      </c>
      <c r="F131" s="9" t="str">
        <v>Mehul Patel</v>
      </c>
      <c r="G131" s="9" t="str">
        <v>97277 12118</v>
      </c>
      <c r="H131" s="9" t="str">
        <v>utility@prasadgroup.com</v>
      </c>
      <c r="I131" s="9" t="str">
        <v>12006484/001</v>
      </c>
      <c r="J131" s="9" t="str">
        <v>Contract</v>
      </c>
      <c r="K131" s="9" t="str">
        <v>Yes</v>
      </c>
      <c r="L131" s="9" t="str">
        <v>KXIND/W/MV/MC/25041</v>
      </c>
      <c r="M131" s="9">
        <v>45754</v>
      </c>
      <c r="N131" s="9">
        <v>55000</v>
      </c>
      <c r="O131" s="9" t="str">
        <v>July</v>
      </c>
      <c r="P131" s="9" t="str">
        <v>July</v>
      </c>
      <c r="Q131" s="9">
        <v>1</v>
      </c>
      <c r="R131" s="9" t="str">
        <v>CAPITAL/2</v>
      </c>
      <c r="S131" s="9">
        <v>45907</v>
      </c>
      <c r="T131" s="9">
        <v>52800</v>
      </c>
      <c r="U131" s="9" t="str">
        <v>July</v>
      </c>
      <c r="V131" s="9">
        <v>0</v>
      </c>
      <c r="W131" s="9">
        <v>0</v>
      </c>
      <c r="X131" s="9">
        <v>0</v>
      </c>
      <c r="Y131" s="9">
        <v>0</v>
      </c>
    </row>
    <row r="132" spans="1:25">
      <c r="A132" s="9">
        <v>66</v>
      </c>
      <c r="B132" s="9">
        <v>45968</v>
      </c>
      <c r="C132" s="9" t="str">
        <v>Elecon Engg Co Ltd</v>
      </c>
      <c r="D132" s="9" t="str">
        <v>Anand</v>
      </c>
      <c r="E132" s="9" t="str">
        <v>Purchase</v>
      </c>
      <c r="F132" s="9" t="str">
        <v>Gawrang Soni</v>
      </c>
      <c r="G132" s="9">
        <v>8160147583</v>
      </c>
      <c r="H132" s="9" t="str">
        <v>gjsoni@elecon.com</v>
      </c>
      <c r="I132" s="9" t="str">
        <v>11004925/001</v>
      </c>
      <c r="J132" s="9" t="str">
        <v>SPP</v>
      </c>
      <c r="K132" s="9" t="str">
        <v>Yes</v>
      </c>
      <c r="L132" s="9" t="str">
        <v>KXIND/W/MV/SPP/25042</v>
      </c>
      <c r="M132" s="9">
        <v>45968</v>
      </c>
      <c r="N132" s="9">
        <v>74000</v>
      </c>
      <c r="O132" s="9" t="str">
        <v>July</v>
      </c>
      <c r="P132" s="9" t="str">
        <v>July</v>
      </c>
      <c r="Q132" s="9">
        <v>1</v>
      </c>
      <c r="R132" s="9" t="str">
        <v>699858/ 0</v>
      </c>
      <c r="S132" s="9" t="str">
        <v>15/7/2025</v>
      </c>
      <c r="T132" s="9">
        <v>148000</v>
      </c>
      <c r="U132" s="9" t="str">
        <v>July</v>
      </c>
      <c r="V132" s="9">
        <v>0</v>
      </c>
      <c r="W132" s="9">
        <v>0</v>
      </c>
      <c r="X132" s="9">
        <v>0</v>
      </c>
      <c r="Y132" s="9">
        <v>0</v>
      </c>
    </row>
    <row r="133" spans="1:25">
      <c r="A133" s="9">
        <v>67</v>
      </c>
      <c r="B133" s="9">
        <v>45968</v>
      </c>
      <c r="C133" s="9" t="str">
        <v>Eimco Elecon (i) Ltd</v>
      </c>
      <c r="D133" s="9" t="str">
        <v>Anand</v>
      </c>
      <c r="E133" s="9" t="str">
        <v>Maintenance</v>
      </c>
      <c r="F133" s="9" t="str">
        <v>Krupesh Talati</v>
      </c>
      <c r="G133" s="9">
        <v>9714726100</v>
      </c>
      <c r="H133" s="9" t="str">
        <v>kdtalati@akaaish.com</v>
      </c>
      <c r="I133" s="9" t="str">
        <v>03005917/002</v>
      </c>
      <c r="J133" s="9" t="str">
        <v>SPP</v>
      </c>
      <c r="K133" s="9" t="str">
        <v>Yes</v>
      </c>
      <c r="L133" s="9" t="str">
        <v>KXIND/W/MV/SPP/25043</v>
      </c>
      <c r="M133" s="9">
        <v>45968</v>
      </c>
      <c r="N133" s="9">
        <v>648400</v>
      </c>
      <c r="O133" s="9" t="str">
        <v>July</v>
      </c>
      <c r="P133" s="9" t="str">
        <v>September</v>
      </c>
      <c r="Q133" s="9">
        <v>1</v>
      </c>
      <c r="R133" s="9" t="str">
        <v>97714/0</v>
      </c>
      <c r="S133" s="9" t="str">
        <v>18/08/2025</v>
      </c>
      <c r="T133" s="9">
        <v>246624</v>
      </c>
      <c r="U133" s="9" t="str">
        <v>September</v>
      </c>
      <c r="V133" s="9">
        <v>0</v>
      </c>
      <c r="W133" s="9">
        <v>0</v>
      </c>
      <c r="X133" s="9">
        <v>0</v>
      </c>
      <c r="Y133" s="9">
        <v>0</v>
      </c>
    </row>
    <row r="134" spans="1:25">
      <c r="A134" s="9">
        <v>68</v>
      </c>
      <c r="B134" s="9">
        <v>45968</v>
      </c>
      <c r="C134" s="9" t="str">
        <v>ATC Tires Pvt Ltd</v>
      </c>
      <c r="D134" s="9" t="str">
        <v>Dahej</v>
      </c>
      <c r="E134" s="9" t="str">
        <v>Purchase</v>
      </c>
      <c r="F134" s="9" t="str">
        <v>Rohan Siraskar</v>
      </c>
      <c r="G134" s="9">
        <v>9284965234</v>
      </c>
      <c r="H134" s="9" t="str">
        <v>rsiraskar@yokohama-oht.com</v>
      </c>
      <c r="I134" s="9">
        <v>150885</v>
      </c>
      <c r="J134" s="9" t="str">
        <v>SPP</v>
      </c>
      <c r="K134" s="9" t="str">
        <v>Yes</v>
      </c>
      <c r="L134" s="9" t="str">
        <v>KXIND/W/MV/SPP/25044</v>
      </c>
      <c r="M134" s="9">
        <v>45968</v>
      </c>
      <c r="N134" s="9">
        <v>2861236</v>
      </c>
      <c r="O134" s="9" t="str">
        <v>July</v>
      </c>
      <c r="P134" s="9" t="str">
        <v>August</v>
      </c>
      <c r="Q134" s="9">
        <v>1</v>
      </c>
      <c r="R134" s="9">
        <v>4200064484</v>
      </c>
      <c r="S134" s="9" t="str">
        <v>18/7/2025</v>
      </c>
      <c r="T134" s="9">
        <v>463016</v>
      </c>
      <c r="U134" s="9" t="str">
        <v>August</v>
      </c>
      <c r="V134" s="9">
        <v>0</v>
      </c>
      <c r="W134" s="9">
        <v>0</v>
      </c>
      <c r="X134" s="9">
        <v>0</v>
      </c>
      <c r="Y134" s="9">
        <v>0</v>
      </c>
    </row>
    <row r="135" spans="1:25">
      <c r="A135" s="9">
        <v>69</v>
      </c>
      <c r="B135" s="9" t="str">
        <v>15/7/2025</v>
      </c>
      <c r="C135" s="9" t="str">
        <v>Bosch Rexroth India Ltd</v>
      </c>
      <c r="D135" s="9" t="str">
        <v>Ahmadabad</v>
      </c>
      <c r="E135" s="9" t="str">
        <v>Maintenance</v>
      </c>
      <c r="F135" s="9" t="str">
        <v>Ankur Mehta</v>
      </c>
      <c r="G135" s="9" t="str">
        <v>99982-23662</v>
      </c>
      <c r="H135" s="9" t="str">
        <v>mehta.ad@boschrexroth.co.in</v>
      </c>
      <c r="I135" s="9" t="str">
        <v>12003609/001</v>
      </c>
      <c r="J135" s="9" t="str">
        <v>SPP</v>
      </c>
      <c r="K135" s="9" t="str">
        <v>Yes</v>
      </c>
      <c r="L135" s="9" t="str">
        <v>KXIND/W/MV/SPP/25045</v>
      </c>
      <c r="M135" s="9" t="str">
        <v>15/7/2025</v>
      </c>
      <c r="N135" s="9">
        <v>165800</v>
      </c>
      <c r="O135" s="9" t="str">
        <v>July</v>
      </c>
      <c r="P135" s="9">
        <v>0</v>
      </c>
      <c r="Q135" s="9">
        <v>0.5</v>
      </c>
      <c r="R135" s="9">
        <v>0</v>
      </c>
      <c r="S135" s="9">
        <v>0</v>
      </c>
      <c r="T135" s="9">
        <v>0</v>
      </c>
      <c r="U135" s="9">
        <v>0</v>
      </c>
      <c r="V135" s="9">
        <v>165800</v>
      </c>
      <c r="W135" s="9">
        <v>0</v>
      </c>
      <c r="X135" s="9">
        <v>0</v>
      </c>
      <c r="Y135" s="9">
        <v>0</v>
      </c>
    </row>
    <row r="136" spans="1:25">
      <c r="A136" s="9">
        <v>70</v>
      </c>
      <c r="B136" s="9">
        <v>45816</v>
      </c>
      <c r="C136" s="9" t="str">
        <v>Elecon Engg Co Ltd</v>
      </c>
      <c r="D136" s="9" t="str">
        <v>Anand</v>
      </c>
      <c r="E136" s="9" t="str">
        <v>Maintenance</v>
      </c>
      <c r="F136" s="9" t="str">
        <v>Mihir J Soni</v>
      </c>
      <c r="G136" s="9">
        <v>8155032377</v>
      </c>
      <c r="H136" s="9" t="str">
        <v>mjsoni1@akaaish.com</v>
      </c>
      <c r="I136" s="9" t="str">
        <v>11004924/001</v>
      </c>
      <c r="J136" s="9" t="str">
        <v>SPP</v>
      </c>
      <c r="K136" s="9" t="str">
        <v>No</v>
      </c>
      <c r="L136" s="9" t="str">
        <v>KXIND/W/MV/SPP/25046</v>
      </c>
      <c r="M136" s="9">
        <v>45816</v>
      </c>
      <c r="N136" s="9">
        <v>370100</v>
      </c>
      <c r="O136" s="9" t="str">
        <v>August</v>
      </c>
      <c r="P136" s="9" t="str">
        <v>August</v>
      </c>
      <c r="Q136" s="9">
        <v>1</v>
      </c>
      <c r="R136" s="9" t="str">
        <v>707265/ 0</v>
      </c>
      <c r="S136" s="9" t="str">
        <v>19/8/2025</v>
      </c>
      <c r="T136" s="9">
        <v>370100</v>
      </c>
      <c r="U136" s="9" t="str">
        <v>August</v>
      </c>
      <c r="V136" s="9">
        <v>0</v>
      </c>
      <c r="W136" s="9">
        <v>0</v>
      </c>
      <c r="X136" s="9">
        <v>0</v>
      </c>
      <c r="Y136" s="9">
        <v>0</v>
      </c>
    </row>
    <row r="137" spans="1:25">
      <c r="A137" s="9">
        <v>71</v>
      </c>
      <c r="B137" s="9">
        <v>45816</v>
      </c>
      <c r="C137" s="9" t="str">
        <v>Schaeffler India Limited</v>
      </c>
      <c r="D137" s="9" t="str">
        <v>Savli, Vadodara</v>
      </c>
      <c r="E137" s="9" t="str">
        <v>Tool Crib</v>
      </c>
      <c r="F137" s="9" t="str">
        <v>Dinesh</v>
      </c>
      <c r="G137" s="9">
        <v>9099183804</v>
      </c>
      <c r="H137" s="9" t="str">
        <v>chouddne@schaeffler.com</v>
      </c>
      <c r="I137" s="9" t="str">
        <v>22007546/001</v>
      </c>
      <c r="J137" s="9" t="str">
        <v>Contract</v>
      </c>
      <c r="K137" s="9" t="str">
        <v>Yes</v>
      </c>
      <c r="L137" s="9" t="str">
        <v>KXIND/W/MV/MC/25047</v>
      </c>
      <c r="M137" s="9">
        <v>45816</v>
      </c>
      <c r="N137" s="9">
        <v>78750</v>
      </c>
      <c r="O137" s="9" t="str">
        <v>August</v>
      </c>
      <c r="P137" s="9" t="str">
        <v>September</v>
      </c>
      <c r="Q137" s="9">
        <v>0.7</v>
      </c>
      <c r="R137" s="9">
        <v>7001113889</v>
      </c>
      <c r="S137" s="9">
        <v>45727</v>
      </c>
      <c r="T137" s="9">
        <v>78750</v>
      </c>
      <c r="U137" s="9" t="str">
        <v>November</v>
      </c>
      <c r="V137" s="9">
        <v>0</v>
      </c>
      <c r="W137" s="9">
        <v>0</v>
      </c>
      <c r="X137" s="9">
        <v>0</v>
      </c>
      <c r="Y137" s="9">
        <v>0</v>
      </c>
    </row>
    <row r="138" spans="1:25">
      <c r="A138" s="9">
        <v>72</v>
      </c>
      <c r="B138" s="9">
        <v>45816</v>
      </c>
      <c r="C138" s="9" t="str">
        <v>Schaeffler India Limited</v>
      </c>
      <c r="D138" s="9" t="str">
        <v>Savli, Vadodara</v>
      </c>
      <c r="E138" s="9" t="str">
        <v>Maintenance</v>
      </c>
      <c r="F138" s="9" t="str">
        <v>Nirav Shah</v>
      </c>
      <c r="G138" s="9">
        <v>9825619914</v>
      </c>
      <c r="H138" s="9" t="str">
        <v>nirav.shah@schaeffler.com</v>
      </c>
      <c r="I138" s="9" t="str">
        <v>22007945/001</v>
      </c>
      <c r="J138" s="9" t="str">
        <v>Contract</v>
      </c>
      <c r="K138" s="9" t="str">
        <v>Yes</v>
      </c>
      <c r="L138" s="9" t="str">
        <v>KXIND/W/MV/MC/25048</v>
      </c>
      <c r="M138" s="9">
        <v>45816</v>
      </c>
      <c r="N138" s="9">
        <v>78750</v>
      </c>
      <c r="O138" s="9" t="str">
        <v>August</v>
      </c>
      <c r="P138" s="9" t="str">
        <v>December</v>
      </c>
      <c r="Q138" s="9">
        <v>0.7</v>
      </c>
      <c r="R138" s="9">
        <v>7001094920</v>
      </c>
      <c r="S138" s="9" t="str">
        <v>17/10/2025</v>
      </c>
      <c r="T138" s="9">
        <v>78750</v>
      </c>
      <c r="U138" s="9" t="str">
        <v>December</v>
      </c>
      <c r="V138" s="9">
        <v>0</v>
      </c>
      <c r="W138" s="9">
        <v>0</v>
      </c>
      <c r="X138" s="9">
        <v>0</v>
      </c>
      <c r="Y138" s="9">
        <v>0</v>
      </c>
    </row>
    <row r="139" spans="1:25">
      <c r="A139" s="9">
        <v>0</v>
      </c>
      <c r="B139" s="9">
        <v>0</v>
      </c>
      <c r="C139" s="9" t="str">
        <v>Schaeffler India Limited</v>
      </c>
      <c r="D139" s="9" t="str">
        <v>Savli, Vadodara</v>
      </c>
      <c r="E139" s="9" t="str">
        <v>Maintenance</v>
      </c>
      <c r="F139" s="9" t="str">
        <v>Nirav Shah</v>
      </c>
      <c r="G139" s="9">
        <v>9825619914</v>
      </c>
      <c r="H139" s="9" t="str">
        <v>nirav.shah@schaeffler.com</v>
      </c>
      <c r="I139" s="9" t="str">
        <v>22007945/002</v>
      </c>
      <c r="J139" s="9" t="str">
        <v>Contract</v>
      </c>
      <c r="K139" s="9" t="str">
        <v>Yes</v>
      </c>
      <c r="L139" s="9" t="str">
        <v>KXIND/W/MV/MC/25048</v>
      </c>
      <c r="M139" s="9">
        <v>45816</v>
      </c>
      <c r="N139" s="9">
        <v>78750</v>
      </c>
      <c r="O139" s="9" t="str">
        <v>August</v>
      </c>
      <c r="P139" s="9" t="str">
        <v>December</v>
      </c>
      <c r="Q139" s="9">
        <v>0.7</v>
      </c>
      <c r="R139" s="9">
        <v>7001175723</v>
      </c>
      <c r="S139" s="9" t="str">
        <v>28/12/2025</v>
      </c>
      <c r="T139" s="9">
        <v>78750</v>
      </c>
      <c r="U139" s="9" t="str">
        <v>December</v>
      </c>
      <c r="V139" s="9">
        <v>0</v>
      </c>
      <c r="W139" s="9">
        <v>0</v>
      </c>
      <c r="X139" s="9">
        <v>0</v>
      </c>
      <c r="Y139" s="9">
        <v>0</v>
      </c>
    </row>
    <row r="140" spans="1:25">
      <c r="A140" s="9">
        <v>73</v>
      </c>
      <c r="B140" s="9">
        <v>45816</v>
      </c>
      <c r="C140" s="9" t="str">
        <v>Burckhardt Compression</v>
      </c>
      <c r="D140" s="9" t="str">
        <v>Vadodara</v>
      </c>
      <c r="E140" s="9" t="str">
        <v>Spares</v>
      </c>
      <c r="F140" s="9" t="str">
        <v>Sachin Rathod</v>
      </c>
      <c r="G140" s="9">
        <v>9834750412</v>
      </c>
      <c r="H140" s="9" t="str">
        <v>Sachin.Rathod@burckhardtcompression.com</v>
      </c>
      <c r="I140" s="9" t="str">
        <v>18005150 / 001</v>
      </c>
      <c r="J140" s="9" t="str">
        <v>Contract</v>
      </c>
      <c r="K140" s="9" t="str">
        <v>No</v>
      </c>
      <c r="L140" s="9" t="str">
        <v>KXIND/W/MV/MC/25049</v>
      </c>
      <c r="M140" s="9">
        <v>45816</v>
      </c>
      <c r="N140" s="9">
        <v>84000</v>
      </c>
      <c r="O140" s="9" t="str">
        <v>August</v>
      </c>
      <c r="P140" s="9" t="str">
        <v>September</v>
      </c>
      <c r="Q140" s="9">
        <v>1</v>
      </c>
      <c r="R140" s="9" t="str">
        <v>PO10192957</v>
      </c>
      <c r="S140" s="9">
        <v>45666</v>
      </c>
      <c r="T140" s="9">
        <v>84000</v>
      </c>
      <c r="U140" s="9" t="str">
        <v>September</v>
      </c>
      <c r="V140" s="9">
        <v>0</v>
      </c>
      <c r="W140" s="9">
        <v>0</v>
      </c>
      <c r="X140" s="9">
        <v>0</v>
      </c>
      <c r="Y140" s="9">
        <v>0</v>
      </c>
    </row>
    <row r="141" spans="1:25">
      <c r="A141" s="9">
        <v>74</v>
      </c>
      <c r="B141" s="9">
        <v>45816</v>
      </c>
      <c r="C141" s="9" t="str">
        <v>Inductotherm India Pvt Ltd.</v>
      </c>
      <c r="D141" s="9" t="str">
        <v>Ahmadabad</v>
      </c>
      <c r="E141" s="9" t="str">
        <v>Maintenance</v>
      </c>
      <c r="F141" s="9" t="str">
        <v>Amrut Patel</v>
      </c>
      <c r="G141" s="9">
        <v>9376985284</v>
      </c>
      <c r="H141" s="9" t="str">
        <v>maintedept-1@inductothermindia.com</v>
      </c>
      <c r="I141" s="9" t="str">
        <v>15003537/001</v>
      </c>
      <c r="J141" s="9" t="str">
        <v>SPP</v>
      </c>
      <c r="K141" s="9" t="str">
        <v>Yes</v>
      </c>
      <c r="L141" s="9" t="str">
        <v>KXIND/W/MV/SPP/25050</v>
      </c>
      <c r="M141" s="9">
        <v>45816</v>
      </c>
      <c r="N141" s="9">
        <v>269640</v>
      </c>
      <c r="O141" s="9" t="str">
        <v>August</v>
      </c>
      <c r="P141" s="9" t="str">
        <v>August</v>
      </c>
      <c r="Q141" s="9">
        <v>1</v>
      </c>
      <c r="R141" s="9" t="str">
        <v>PO-2526-016316</v>
      </c>
      <c r="S141" s="9" t="str">
        <v>19/8/2025</v>
      </c>
      <c r="T141" s="9">
        <v>256158</v>
      </c>
      <c r="U141" s="9" t="str">
        <v>August</v>
      </c>
      <c r="V141" s="9">
        <v>0</v>
      </c>
      <c r="W141" s="9">
        <v>0</v>
      </c>
      <c r="X141" s="9">
        <v>0</v>
      </c>
      <c r="Y141" s="9">
        <v>0</v>
      </c>
    </row>
    <row r="142" spans="1:25">
      <c r="A142" s="9">
        <v>75</v>
      </c>
      <c r="B142" s="9">
        <v>45877</v>
      </c>
      <c r="C142" s="9" t="str">
        <v xml:space="preserve">Mylan Laboratories LTD </v>
      </c>
      <c r="D142" s="9" t="str">
        <v>pithampur</v>
      </c>
      <c r="E142" s="9" t="str">
        <v>Maintenance</v>
      </c>
      <c r="F142" s="9" t="str">
        <v>Rajev Jain</v>
      </c>
      <c r="G142" s="9">
        <v>9575802320</v>
      </c>
      <c r="H142" s="9" t="str">
        <v>Rajev.Jain@viatris.com</v>
      </c>
      <c r="I142" s="9" t="str">
        <v>18005564/001</v>
      </c>
      <c r="J142" s="9" t="str">
        <v>SPP</v>
      </c>
      <c r="K142" s="9" t="str">
        <v>Yes</v>
      </c>
      <c r="L142" s="9" t="str">
        <v>KXIND/W/MV/SPP/25051</v>
      </c>
      <c r="M142" s="9">
        <v>45877</v>
      </c>
      <c r="N142" s="9">
        <v>115300</v>
      </c>
      <c r="O142" s="9" t="str">
        <v>August</v>
      </c>
      <c r="P142" s="9" t="str">
        <v>September</v>
      </c>
      <c r="Q142" s="9">
        <v>1</v>
      </c>
      <c r="R142" s="9">
        <v>5700193371</v>
      </c>
      <c r="S142" s="9">
        <v>45697</v>
      </c>
      <c r="T142" s="9">
        <v>109535</v>
      </c>
      <c r="U142" s="9" t="str">
        <v>September</v>
      </c>
      <c r="V142" s="9">
        <v>0</v>
      </c>
      <c r="W142" s="9">
        <v>0</v>
      </c>
      <c r="X142" s="9">
        <v>0</v>
      </c>
      <c r="Y142" s="9">
        <v>0</v>
      </c>
    </row>
    <row r="143" spans="1:25">
      <c r="A143" s="9">
        <v>76</v>
      </c>
      <c r="B143" s="9">
        <v>45877</v>
      </c>
      <c r="C143" s="9" t="str">
        <v xml:space="preserve">Vihan Engg Pvt Ltd </v>
      </c>
      <c r="D143" s="9" t="str">
        <v>Ahmadabad</v>
      </c>
      <c r="E143" s="9" t="str">
        <v>Production</v>
      </c>
      <c r="F143" s="9" t="str">
        <v>Parashar Mishra</v>
      </c>
      <c r="G143" s="9">
        <v>9510689295</v>
      </c>
      <c r="H143" s="9" t="str">
        <v>parashar.mishra@vihanindia.com</v>
      </c>
      <c r="I143" s="9" t="str">
        <v>15006572/001</v>
      </c>
      <c r="J143" s="9" t="str">
        <v>SPP</v>
      </c>
      <c r="K143" s="9" t="str">
        <v>Yes</v>
      </c>
      <c r="L143" s="9" t="str">
        <v>KXIND/W/MV/SPP/25052</v>
      </c>
      <c r="M143" s="9">
        <v>45877</v>
      </c>
      <c r="N143" s="9">
        <v>50650</v>
      </c>
      <c r="O143" s="9" t="str">
        <v>August</v>
      </c>
      <c r="P143" s="9">
        <v>0</v>
      </c>
      <c r="Q143" s="9">
        <v>0.7</v>
      </c>
      <c r="R143" s="9">
        <v>0</v>
      </c>
      <c r="S143" s="9">
        <v>0</v>
      </c>
      <c r="T143" s="9">
        <v>0</v>
      </c>
      <c r="U143" s="9">
        <v>0</v>
      </c>
      <c r="V143" s="9">
        <v>50650</v>
      </c>
      <c r="W143" s="9">
        <v>0</v>
      </c>
      <c r="X143" s="9">
        <v>0</v>
      </c>
      <c r="Y143" s="9">
        <v>0</v>
      </c>
    </row>
    <row r="144" spans="1:25">
      <c r="A144" s="9">
        <v>77</v>
      </c>
      <c r="B144" s="9">
        <v>45877</v>
      </c>
      <c r="C144" s="9" t="str">
        <v xml:space="preserve">JP Extrusiontech Ltd </v>
      </c>
      <c r="D144" s="9" t="str">
        <v>Ankleshwar</v>
      </c>
      <c r="E144" s="9" t="str">
        <v>Purchase</v>
      </c>
      <c r="F144" s="9" t="str">
        <v>Asish Biswas</v>
      </c>
      <c r="G144" s="9">
        <v>9924214600</v>
      </c>
      <c r="H144" s="9" t="str">
        <v>purchase@jpel.in</v>
      </c>
      <c r="I144" s="9" t="str">
        <v>13000085/001</v>
      </c>
      <c r="J144" s="9" t="str">
        <v>SPP</v>
      </c>
      <c r="K144" s="9" t="str">
        <v>Yes</v>
      </c>
      <c r="L144" s="9" t="str">
        <v>KXIND/W/MV/SPP/25053</v>
      </c>
      <c r="M144" s="9">
        <v>45877</v>
      </c>
      <c r="N144" s="9">
        <v>50650</v>
      </c>
      <c r="O144" s="9" t="str">
        <v>August</v>
      </c>
      <c r="P144" s="9">
        <v>0</v>
      </c>
      <c r="Q144" s="9">
        <v>0.6</v>
      </c>
      <c r="R144" s="9">
        <v>0</v>
      </c>
      <c r="S144" s="9">
        <v>0</v>
      </c>
      <c r="T144" s="9">
        <v>0</v>
      </c>
      <c r="U144" s="9">
        <v>0</v>
      </c>
      <c r="V144" s="9">
        <v>50650</v>
      </c>
      <c r="W144" s="9">
        <v>0</v>
      </c>
      <c r="X144" s="9">
        <v>0</v>
      </c>
      <c r="Y144" s="9">
        <v>0</v>
      </c>
    </row>
    <row r="145" spans="1:25">
      <c r="A145" s="9">
        <v>78</v>
      </c>
      <c r="B145" s="9" t="str">
        <v>20/8/2025</v>
      </c>
      <c r="C145" s="9" t="str">
        <v>Hero Moto Corp Ltd.</v>
      </c>
      <c r="D145" s="9" t="str">
        <v>halol</v>
      </c>
      <c r="E145" s="9" t="str">
        <v>Maintenance</v>
      </c>
      <c r="F145" s="9" t="str">
        <v>Bhavin Patel</v>
      </c>
      <c r="G145" s="9">
        <v>9687806743</v>
      </c>
      <c r="H145" s="9" t="str">
        <v>patel.bhavinkumar@heromotocorp.com</v>
      </c>
      <c r="I145" s="9" t="str">
        <v>15006703/001</v>
      </c>
      <c r="J145" s="9" t="str">
        <v>Contract</v>
      </c>
      <c r="K145" s="9" t="str">
        <v>No</v>
      </c>
      <c r="L145" s="9" t="str">
        <v>KXIND/W/MV/MC/25054</v>
      </c>
      <c r="M145" s="9" t="str">
        <v>20/8/2025</v>
      </c>
      <c r="N145" s="9">
        <v>85000</v>
      </c>
      <c r="O145" s="9" t="str">
        <v>August</v>
      </c>
      <c r="P145" s="9" t="str">
        <v>September</v>
      </c>
      <c r="Q145" s="9">
        <v>1</v>
      </c>
      <c r="R145" s="9">
        <v>2710001257</v>
      </c>
      <c r="S145" s="9" t="str">
        <v>16/09/2025</v>
      </c>
      <c r="T145" s="9">
        <v>85000</v>
      </c>
      <c r="U145" s="9" t="str">
        <v>September</v>
      </c>
      <c r="V145" s="9">
        <v>0</v>
      </c>
      <c r="W145" s="9">
        <v>0</v>
      </c>
      <c r="X145" s="9">
        <v>0</v>
      </c>
      <c r="Y145" s="9">
        <v>0</v>
      </c>
    </row>
    <row r="146" spans="1:25">
      <c r="A146" s="9">
        <v>0</v>
      </c>
      <c r="B146" s="9">
        <v>0</v>
      </c>
      <c r="C146" s="9" t="str">
        <v>Hero Moto Corp Ltd.</v>
      </c>
      <c r="D146" s="9" t="str">
        <v>halol</v>
      </c>
      <c r="E146" s="9" t="str">
        <v>Maintenance</v>
      </c>
      <c r="F146" s="9" t="str">
        <v>Bhavin Patel</v>
      </c>
      <c r="G146" s="9">
        <v>9687806743</v>
      </c>
      <c r="H146" s="9" t="str">
        <v>patel.bhavinkumar@heromotocorp.com</v>
      </c>
      <c r="I146" s="9" t="str">
        <v>15006703/002</v>
      </c>
      <c r="J146" s="9" t="str">
        <v>Contract</v>
      </c>
      <c r="K146" s="9" t="str">
        <v>No</v>
      </c>
      <c r="L146" s="9" t="str">
        <v>KXIND/W/MV/MC/25054</v>
      </c>
      <c r="M146" s="9" t="str">
        <v>20/8/2025</v>
      </c>
      <c r="N146" s="9">
        <v>85000</v>
      </c>
      <c r="O146" s="9" t="str">
        <v>August</v>
      </c>
      <c r="P146" s="9" t="str">
        <v>September</v>
      </c>
      <c r="Q146" s="9">
        <v>1</v>
      </c>
      <c r="R146" s="9">
        <v>2710001257</v>
      </c>
      <c r="S146" s="9" t="str">
        <v>16/09/2025</v>
      </c>
      <c r="T146" s="9">
        <v>85000</v>
      </c>
      <c r="U146" s="9" t="str">
        <v>September</v>
      </c>
      <c r="V146" s="9">
        <v>0</v>
      </c>
      <c r="W146" s="9">
        <v>0</v>
      </c>
      <c r="X146" s="9">
        <v>0</v>
      </c>
      <c r="Y146" s="9">
        <v>0</v>
      </c>
    </row>
    <row r="147" spans="1:25">
      <c r="A147" s="9">
        <v>79</v>
      </c>
      <c r="B147" s="9" t="str">
        <v>20/8/2025</v>
      </c>
      <c r="C147" s="9" t="str">
        <v>Eimco Elecon (i) Ltd</v>
      </c>
      <c r="D147" s="9" t="str">
        <v>Anand</v>
      </c>
      <c r="E147" s="9" t="str">
        <v>Purchase</v>
      </c>
      <c r="F147" s="9" t="str">
        <v>Vijay K. Thakar</v>
      </c>
      <c r="G147" s="9">
        <v>9909918878</v>
      </c>
      <c r="H147" s="9" t="str">
        <v>vkthakar@eimcoelecon.in</v>
      </c>
      <c r="I147" s="9" t="str">
        <v>02007411/001</v>
      </c>
      <c r="J147" s="9" t="str">
        <v>SPP</v>
      </c>
      <c r="K147" s="9" t="str">
        <v>Yes</v>
      </c>
      <c r="L147" s="9" t="str">
        <v>KXIND/W/MV/SPP/24088</v>
      </c>
      <c r="M147" s="9" t="str">
        <v>18/10/2024</v>
      </c>
      <c r="N147" s="9">
        <v>226800</v>
      </c>
      <c r="O147" s="9" t="str">
        <v>August</v>
      </c>
      <c r="P147" s="9" t="str">
        <v>August</v>
      </c>
      <c r="Q147" s="9">
        <v>1</v>
      </c>
      <c r="R147" s="9" t="str">
        <v>97520/0</v>
      </c>
      <c r="S147" s="9">
        <v>45816</v>
      </c>
      <c r="T147" s="9">
        <v>217728</v>
      </c>
      <c r="U147" s="9" t="str">
        <v>August</v>
      </c>
      <c r="V147" s="9">
        <v>0</v>
      </c>
      <c r="W147" s="9">
        <v>0</v>
      </c>
      <c r="X147" s="9">
        <v>0</v>
      </c>
      <c r="Y147" s="9">
        <v>0</v>
      </c>
    </row>
    <row r="148" spans="1:25">
      <c r="A148" s="9">
        <v>80</v>
      </c>
      <c r="B148" s="9" t="str">
        <v>25/8/2025</v>
      </c>
      <c r="C148" s="9" t="str">
        <v>Elecon Engg Co Ltd</v>
      </c>
      <c r="D148" s="9" t="str">
        <v>Anand</v>
      </c>
      <c r="E148" s="9" t="str">
        <v>Maitenance</v>
      </c>
      <c r="F148" s="9" t="str">
        <v>Darshan Upadhyay</v>
      </c>
      <c r="G148" s="9">
        <v>9723071561</v>
      </c>
      <c r="H148" s="9" t="str">
        <v>vtpatel@akaaish.com</v>
      </c>
      <c r="I148" s="9" t="str">
        <v>08000498/002</v>
      </c>
      <c r="J148" s="9" t="str">
        <v>SPP</v>
      </c>
      <c r="K148" s="9" t="str">
        <v>No</v>
      </c>
      <c r="L148" s="9" t="str">
        <v>KXIND/W/MV/SPP/25055</v>
      </c>
      <c r="M148" s="9" t="str">
        <v>25/8/2025</v>
      </c>
      <c r="N148" s="9">
        <v>245900</v>
      </c>
      <c r="O148" s="9" t="str">
        <v>August</v>
      </c>
      <c r="P148" s="9" t="str">
        <v>September</v>
      </c>
      <c r="Q148" s="9">
        <v>1</v>
      </c>
      <c r="R148" s="9" t="str">
        <v>709672/ 0</v>
      </c>
      <c r="S148" s="9" t="str">
        <v>30/08/2025</v>
      </c>
      <c r="T148" s="9">
        <v>245900</v>
      </c>
      <c r="U148" s="9" t="str">
        <v>September</v>
      </c>
      <c r="V148" s="9">
        <v>0</v>
      </c>
      <c r="W148" s="9">
        <v>0</v>
      </c>
      <c r="X148" s="9">
        <v>0</v>
      </c>
      <c r="Y148" s="9">
        <v>0</v>
      </c>
    </row>
    <row r="149" spans="1:25">
      <c r="A149" s="9">
        <v>81</v>
      </c>
      <c r="B149" s="9" t="str">
        <v>26/8/2025</v>
      </c>
      <c r="C149" s="9" t="str">
        <v>Ferromatik Milacron India Ltd (Milacron India Pvt ltd)</v>
      </c>
      <c r="D149" s="9" t="str">
        <v>Ahmadabad</v>
      </c>
      <c r="E149" s="9" t="str">
        <v>Maitenance</v>
      </c>
      <c r="F149" s="9" t="str">
        <v>Kalpesh Panchal</v>
      </c>
      <c r="G149" s="9">
        <v>9722013361</v>
      </c>
      <c r="H149" s="9" t="str">
        <v>Kalpesh_Panchal@milacron.com</v>
      </c>
      <c r="I149" s="9" t="str">
        <v>11002444/001</v>
      </c>
      <c r="J149" s="9" t="str">
        <v>SPP</v>
      </c>
      <c r="K149" s="9" t="str">
        <v>Yes</v>
      </c>
      <c r="L149" s="9" t="str">
        <v>KXIND/W/MV/SPP/25056</v>
      </c>
      <c r="M149" s="9" t="str">
        <v>26/8/2025</v>
      </c>
      <c r="N149" s="9">
        <v>440300</v>
      </c>
      <c r="O149" s="9" t="str">
        <v>August</v>
      </c>
      <c r="P149" s="9" t="str">
        <v>August</v>
      </c>
      <c r="Q149" s="9">
        <v>1</v>
      </c>
      <c r="R149" s="9" t="str">
        <v>30010283/O2/25076809</v>
      </c>
      <c r="S149" s="9" t="str">
        <v>28/8/2025</v>
      </c>
      <c r="T149" s="9">
        <v>418285</v>
      </c>
      <c r="U149" s="9" t="str">
        <v>August</v>
      </c>
      <c r="V149" s="9">
        <v>0</v>
      </c>
      <c r="W149" s="9">
        <v>0</v>
      </c>
      <c r="X149" s="9">
        <v>0</v>
      </c>
      <c r="Y149" s="9">
        <v>0</v>
      </c>
    </row>
    <row r="150" spans="1:25">
      <c r="A150" s="9">
        <v>82</v>
      </c>
      <c r="B150" s="9" t="str">
        <v>27/8/2025</v>
      </c>
      <c r="C150" s="9" t="str">
        <v xml:space="preserve">Kirloskar brothers LTD </v>
      </c>
      <c r="D150" s="9" t="str">
        <v>sanand</v>
      </c>
      <c r="E150" s="9" t="str">
        <v>Maitenance</v>
      </c>
      <c r="F150" s="9" t="str">
        <v>Hiren Patel</v>
      </c>
      <c r="G150" s="9">
        <v>9974611898</v>
      </c>
      <c r="H150" s="9" t="str">
        <v>Hirenkumar.Patel@kbl.co.in</v>
      </c>
      <c r="I150" s="9" t="str">
        <v>17001433 / 003</v>
      </c>
      <c r="J150" s="9" t="str">
        <v>SPP</v>
      </c>
      <c r="K150" s="9" t="str">
        <v>No</v>
      </c>
      <c r="L150" s="9" t="str">
        <v>KXIND/W/MV/SPP/25057</v>
      </c>
      <c r="M150" s="9" t="str">
        <v>27/8/2025</v>
      </c>
      <c r="N150" s="9">
        <v>261400</v>
      </c>
      <c r="O150" s="9" t="str">
        <v>August</v>
      </c>
      <c r="P150" s="9" t="str">
        <v>August</v>
      </c>
      <c r="Q150" s="9">
        <v>1</v>
      </c>
      <c r="R150" s="9">
        <v>1500137725</v>
      </c>
      <c r="S150" s="9" t="str">
        <v>29/8/2025</v>
      </c>
      <c r="T150" s="9">
        <v>239875</v>
      </c>
      <c r="U150" s="9" t="str">
        <v>August</v>
      </c>
      <c r="V150" s="9">
        <v>0</v>
      </c>
      <c r="W150" s="9">
        <v>0</v>
      </c>
      <c r="X150" s="9">
        <v>0</v>
      </c>
      <c r="Y150" s="9">
        <v>0</v>
      </c>
    </row>
    <row r="151" spans="1:25">
      <c r="A151" s="9">
        <v>83</v>
      </c>
      <c r="B151" s="9">
        <v>45666</v>
      </c>
      <c r="C151" s="9" t="str">
        <v>Elecon Engg Co Ltd</v>
      </c>
      <c r="D151" s="9" t="str">
        <v>Anand</v>
      </c>
      <c r="E151" s="9" t="str">
        <v>Purchase</v>
      </c>
      <c r="F151" s="9" t="str">
        <v>Gawrang Soni</v>
      </c>
      <c r="G151" s="9">
        <v>8160147583</v>
      </c>
      <c r="H151" s="9" t="str">
        <v>gjsoni@elecon.com</v>
      </c>
      <c r="I151" s="9" t="str">
        <v>05008830/002</v>
      </c>
      <c r="J151" s="9" t="str">
        <v>SPP</v>
      </c>
      <c r="K151" s="9" t="str">
        <v>No</v>
      </c>
      <c r="L151" s="9" t="str">
        <v>KXIND/W/MV/SPP/25058</v>
      </c>
      <c r="M151" s="9">
        <v>45666</v>
      </c>
      <c r="N151" s="9">
        <v>197200</v>
      </c>
      <c r="O151" s="9" t="str">
        <v>September</v>
      </c>
      <c r="P151" s="9" t="str">
        <v>September</v>
      </c>
      <c r="Q151" s="9">
        <v>1</v>
      </c>
      <c r="R151" s="9" t="str">
        <v>710417/ 0</v>
      </c>
      <c r="S151" s="9">
        <v>45725</v>
      </c>
      <c r="T151" s="9">
        <v>197200</v>
      </c>
      <c r="U151" s="9" t="str">
        <v>September</v>
      </c>
      <c r="V151" s="9">
        <v>0</v>
      </c>
      <c r="W151" s="9">
        <v>0</v>
      </c>
      <c r="X151" s="9">
        <v>0</v>
      </c>
      <c r="Y151" s="9">
        <v>0</v>
      </c>
    </row>
    <row r="152" spans="1:25">
      <c r="A152" s="9">
        <v>84</v>
      </c>
      <c r="B152" s="9">
        <v>45697</v>
      </c>
      <c r="C152" s="9" t="str">
        <v>ABB India Ltd</v>
      </c>
      <c r="D152" s="9" t="str">
        <v>Vadodara</v>
      </c>
      <c r="E152" s="9" t="str">
        <v>Stores</v>
      </c>
      <c r="F152" s="9" t="str">
        <v>Adi pandey</v>
      </c>
      <c r="G152" s="9">
        <v>7600027767</v>
      </c>
      <c r="H152" s="9" t="str">
        <v>adi.pandey@in.abb.com</v>
      </c>
      <c r="I152" s="9" t="str">
        <v>11010630/001</v>
      </c>
      <c r="J152" s="9" t="str">
        <v>Contract</v>
      </c>
      <c r="K152" s="9" t="str">
        <v>No</v>
      </c>
      <c r="L152" s="9" t="str">
        <v>KXIND/W/MV/MC/25059</v>
      </c>
      <c r="M152" s="9">
        <v>45697</v>
      </c>
      <c r="N152" s="9">
        <v>90000</v>
      </c>
      <c r="O152" s="9" t="str">
        <v>September</v>
      </c>
      <c r="P152" s="9" t="str">
        <v>December</v>
      </c>
      <c r="Q152" s="9">
        <v>0.9</v>
      </c>
      <c r="R152" s="9">
        <v>2100055536</v>
      </c>
      <c r="S152" s="9" t="str">
        <v>26/12/2025</v>
      </c>
      <c r="T152" s="9">
        <v>90000</v>
      </c>
      <c r="U152" s="9" t="str">
        <v>December</v>
      </c>
      <c r="V152" s="9">
        <v>0</v>
      </c>
      <c r="W152" s="9">
        <v>0</v>
      </c>
      <c r="X152" s="9">
        <v>0</v>
      </c>
      <c r="Y152" s="9">
        <v>0</v>
      </c>
    </row>
    <row r="153" spans="1:25">
      <c r="A153" s="9">
        <v>0</v>
      </c>
      <c r="B153" s="9">
        <v>0</v>
      </c>
      <c r="C153" s="9" t="str">
        <v>ABB India Ltd</v>
      </c>
      <c r="D153" s="9" t="str">
        <v>Vadodara</v>
      </c>
      <c r="E153" s="9" t="str">
        <v>Stores</v>
      </c>
      <c r="F153" s="9" t="str">
        <v>Adi pandey</v>
      </c>
      <c r="G153" s="9">
        <v>7600027767</v>
      </c>
      <c r="H153" s="9" t="str">
        <v>adi.pandey@in.abb.com</v>
      </c>
      <c r="I153" s="9" t="str">
        <v>11010631/001</v>
      </c>
      <c r="J153" s="9" t="str">
        <v>Contract</v>
      </c>
      <c r="K153" s="9" t="str">
        <v>No</v>
      </c>
      <c r="L153" s="9" t="str">
        <v>KXIND/W/MV/MC/25059</v>
      </c>
      <c r="M153" s="9">
        <v>45697</v>
      </c>
      <c r="N153" s="9">
        <v>90000</v>
      </c>
      <c r="O153" s="9" t="str">
        <v>September</v>
      </c>
      <c r="P153" s="9" t="str">
        <v>December</v>
      </c>
      <c r="Q153" s="9">
        <v>0.9</v>
      </c>
      <c r="R153" s="9">
        <v>2100055536</v>
      </c>
      <c r="S153" s="9" t="str">
        <v>26/12/2025</v>
      </c>
      <c r="T153" s="9">
        <v>90000</v>
      </c>
      <c r="U153" s="9" t="str">
        <v>December</v>
      </c>
      <c r="V153" s="9">
        <v>0</v>
      </c>
      <c r="W153" s="9">
        <v>0</v>
      </c>
      <c r="X153" s="9">
        <v>0</v>
      </c>
      <c r="Y153" s="9">
        <v>0</v>
      </c>
    </row>
    <row r="154" spans="1:25">
      <c r="A154" s="9">
        <v>85</v>
      </c>
      <c r="B154" s="9">
        <v>45697</v>
      </c>
      <c r="C154" s="9" t="str">
        <v>Rotomotive Powerdrives India Ltd</v>
      </c>
      <c r="D154" s="9" t="str">
        <v>Anand</v>
      </c>
      <c r="E154" s="9" t="str">
        <v>Maintenance</v>
      </c>
      <c r="F154" s="9" t="str">
        <v>Devang Doliya</v>
      </c>
      <c r="G154" s="9">
        <v>7990844521</v>
      </c>
      <c r="H154" s="9" t="str">
        <v>maintenance@rotomotive.com</v>
      </c>
      <c r="I154" s="9" t="str">
        <v>11008006/001</v>
      </c>
      <c r="J154" s="9" t="str">
        <v>Contract</v>
      </c>
      <c r="K154" s="9" t="str">
        <v>No</v>
      </c>
      <c r="L154" s="9" t="str">
        <v>KXIND/W/MV/MC/25060</v>
      </c>
      <c r="M154" s="9">
        <v>45697</v>
      </c>
      <c r="N154" s="9">
        <v>60400</v>
      </c>
      <c r="O154" s="9" t="str">
        <v>September</v>
      </c>
      <c r="P154" s="9" t="str">
        <v>September</v>
      </c>
      <c r="Q154" s="9">
        <v>1</v>
      </c>
      <c r="R154" s="9" t="str">
        <v>PON2/25/0812</v>
      </c>
      <c r="S154" s="9">
        <v>45786</v>
      </c>
      <c r="T154" s="9">
        <v>60400</v>
      </c>
      <c r="U154" s="9" t="str">
        <v>September</v>
      </c>
      <c r="V154" s="9">
        <v>0</v>
      </c>
      <c r="W154" s="9">
        <v>0</v>
      </c>
      <c r="X154" s="9">
        <v>0</v>
      </c>
      <c r="Y154" s="9">
        <v>0</v>
      </c>
    </row>
    <row r="155" spans="1:25">
      <c r="A155" s="9">
        <v>86</v>
      </c>
      <c r="B155" s="9">
        <v>45756</v>
      </c>
      <c r="C155" s="9" t="str">
        <v>Elecon Engg Co Ltd</v>
      </c>
      <c r="D155" s="9" t="str">
        <v>Anand</v>
      </c>
      <c r="E155" s="9" t="str">
        <v>Maintenance</v>
      </c>
      <c r="F155" s="9" t="str">
        <v>Mihir J Soni</v>
      </c>
      <c r="G155" s="9">
        <v>8155032377</v>
      </c>
      <c r="H155" s="9" t="str">
        <v>mjsoni1@akaaish.com</v>
      </c>
      <c r="I155" s="9" t="str">
        <v>11004924/001</v>
      </c>
      <c r="J155" s="9" t="str">
        <v>BD Charges</v>
      </c>
      <c r="K155" s="9" t="str">
        <v>No</v>
      </c>
      <c r="L155" s="9" t="str">
        <v>KXIND/W/MV/OTH/25061</v>
      </c>
      <c r="M155" s="9">
        <v>45756</v>
      </c>
      <c r="N155" s="9">
        <v>19500</v>
      </c>
      <c r="O155" s="9" t="str">
        <v>September</v>
      </c>
      <c r="P155" s="9" t="str">
        <v>September</v>
      </c>
      <c r="Q155" s="9">
        <v>1</v>
      </c>
      <c r="R155" s="9" t="str">
        <v>712374/ 0</v>
      </c>
      <c r="S155" s="9">
        <v>45970</v>
      </c>
      <c r="T155" s="9">
        <v>19500</v>
      </c>
      <c r="U155" s="9" t="str">
        <v>September</v>
      </c>
      <c r="V155" s="9">
        <v>0</v>
      </c>
      <c r="W155" s="9">
        <v>0</v>
      </c>
      <c r="X155" s="9">
        <v>0</v>
      </c>
      <c r="Y155" s="9">
        <v>0</v>
      </c>
    </row>
    <row r="156" spans="1:25">
      <c r="A156" s="9">
        <v>87</v>
      </c>
      <c r="B156" s="9">
        <v>45847</v>
      </c>
      <c r="C156" s="9" t="str">
        <v>Elecon Engg Co Ltd</v>
      </c>
      <c r="D156" s="9" t="str">
        <v>Anand</v>
      </c>
      <c r="E156" s="9" t="str">
        <v>Maintenance</v>
      </c>
      <c r="F156" s="9" t="str">
        <v>Gaurang V.Patel</v>
      </c>
      <c r="G156" s="9">
        <v>9909907838</v>
      </c>
      <c r="H156" s="9" t="str">
        <v>gvpatel@akaaish.com</v>
      </c>
      <c r="I156" s="9" t="str">
        <v>07006490/001</v>
      </c>
      <c r="J156" s="9" t="str">
        <v>BD Spare</v>
      </c>
      <c r="K156" s="9" t="str">
        <v>No</v>
      </c>
      <c r="L156" s="9" t="str">
        <v>KXIND/W/MV/SPP/25062</v>
      </c>
      <c r="M156" s="9">
        <v>45847</v>
      </c>
      <c r="N156" s="9">
        <v>291800</v>
      </c>
      <c r="O156" s="9" t="str">
        <v>September</v>
      </c>
      <c r="P156" s="9" t="str">
        <v>September</v>
      </c>
      <c r="Q156" s="9">
        <v>1</v>
      </c>
      <c r="R156" s="9" t="str">
        <v>185958/ 1</v>
      </c>
      <c r="S156" s="9" t="str">
        <v>17/09/2025</v>
      </c>
      <c r="T156" s="9">
        <v>236064</v>
      </c>
      <c r="U156" s="9" t="str">
        <v>September</v>
      </c>
      <c r="V156" s="9">
        <v>0</v>
      </c>
      <c r="W156" s="9">
        <v>0</v>
      </c>
      <c r="X156" s="9">
        <v>0</v>
      </c>
      <c r="Y156" s="9">
        <v>0</v>
      </c>
    </row>
    <row r="157" spans="1:25">
      <c r="A157" s="9">
        <v>88</v>
      </c>
      <c r="B157" s="9">
        <v>45847</v>
      </c>
      <c r="C157" s="9" t="str">
        <v>Intas Pharmaceuticals Ltd</v>
      </c>
      <c r="D157" s="9" t="str">
        <v>Ahmadabad</v>
      </c>
      <c r="E157" s="9" t="str">
        <v>Maintenance</v>
      </c>
      <c r="F157" s="9" t="str">
        <v>Piyush Parmar</v>
      </c>
      <c r="G157" s="9">
        <v>9898923100</v>
      </c>
      <c r="H157" s="9" t="str">
        <v>piyushk_parmar@intaspharma.com</v>
      </c>
      <c r="I157" s="9" t="str">
        <v>11004033/001</v>
      </c>
      <c r="J157" s="9" t="str">
        <v>Contract</v>
      </c>
      <c r="K157" s="9" t="str">
        <v>Yes</v>
      </c>
      <c r="L157" s="9" t="str">
        <v>KXIND/W/MV/MC/25063</v>
      </c>
      <c r="M157" s="9">
        <v>45847</v>
      </c>
      <c r="N157" s="9">
        <v>88000</v>
      </c>
      <c r="O157" s="9" t="str">
        <v>September</v>
      </c>
      <c r="P157" s="9" t="str">
        <v>October</v>
      </c>
      <c r="Q157" s="9">
        <v>0.6</v>
      </c>
      <c r="R157" s="9">
        <v>470075997</v>
      </c>
      <c r="S157" s="9">
        <v>45818</v>
      </c>
      <c r="T157" s="9">
        <v>88000</v>
      </c>
      <c r="U157" s="9" t="str">
        <v>October</v>
      </c>
      <c r="V157" s="9">
        <v>0</v>
      </c>
      <c r="W157" s="9">
        <v>0</v>
      </c>
      <c r="X157" s="9">
        <v>0</v>
      </c>
      <c r="Y157" s="9">
        <v>0</v>
      </c>
    </row>
    <row r="158" spans="1:25">
      <c r="A158" s="9">
        <v>0</v>
      </c>
      <c r="B158" s="9">
        <v>0</v>
      </c>
      <c r="C158" s="9" t="str">
        <v>Intas Pharmaceuticals Ltd</v>
      </c>
      <c r="D158" s="9" t="str">
        <v>Ahmadabad</v>
      </c>
      <c r="E158" s="9" t="str">
        <v>Maintenance</v>
      </c>
      <c r="F158" s="9" t="str">
        <v>Piyush Parmar</v>
      </c>
      <c r="G158" s="9">
        <v>9898923100</v>
      </c>
      <c r="H158" s="9" t="str">
        <v>piyushk_parmar@intaspharma.com</v>
      </c>
      <c r="I158" s="9" t="str">
        <v>13005554/001</v>
      </c>
      <c r="J158" s="9" t="str">
        <v>Contract</v>
      </c>
      <c r="K158" s="9" t="str">
        <v>Yes</v>
      </c>
      <c r="L158" s="9" t="str">
        <v>KXIND/W/MV/MC/25063</v>
      </c>
      <c r="M158" s="9">
        <v>45847</v>
      </c>
      <c r="N158" s="9">
        <v>88000</v>
      </c>
      <c r="O158" s="9" t="str">
        <v>September</v>
      </c>
      <c r="P158" s="9" t="str">
        <v>October</v>
      </c>
      <c r="Q158" s="9">
        <v>0.6</v>
      </c>
      <c r="R158" s="9">
        <v>470075997</v>
      </c>
      <c r="S158" s="9">
        <v>45818</v>
      </c>
      <c r="T158" s="9">
        <v>88000</v>
      </c>
      <c r="U158" s="9" t="str">
        <v>October</v>
      </c>
      <c r="V158" s="9">
        <v>0</v>
      </c>
      <c r="W158" s="9">
        <v>0</v>
      </c>
      <c r="X158" s="9">
        <v>0</v>
      </c>
      <c r="Y158" s="9">
        <v>0</v>
      </c>
    </row>
    <row r="159" spans="1:25">
      <c r="A159" s="9">
        <v>89</v>
      </c>
      <c r="B159" s="9">
        <v>45878</v>
      </c>
      <c r="C159" s="9" t="str">
        <v xml:space="preserve">Hitachi Energy India Ltd </v>
      </c>
      <c r="D159" s="9" t="str">
        <v>Vadodara</v>
      </c>
      <c r="E159" s="9" t="str">
        <v>Maintenance</v>
      </c>
      <c r="F159" s="9" t="str">
        <v>Deepak Kumar Parmar</v>
      </c>
      <c r="G159" s="9">
        <v>8460155846</v>
      </c>
      <c r="H159" s="9" t="str">
        <v>Deepakkumar.parmar@hitachienergy.com</v>
      </c>
      <c r="I159" s="9" t="str">
        <v>12005859/001</v>
      </c>
      <c r="J159" s="9" t="str">
        <v>BD Spare</v>
      </c>
      <c r="K159" s="9" t="str">
        <v>No</v>
      </c>
      <c r="L159" s="9" t="str">
        <v>KXIND/W/MV/SPP/25064</v>
      </c>
      <c r="M159" s="9">
        <v>45878</v>
      </c>
      <c r="N159" s="9">
        <v>423800</v>
      </c>
      <c r="O159" s="9" t="str">
        <v>September</v>
      </c>
      <c r="P159" s="9" t="str">
        <v>December</v>
      </c>
      <c r="Q159" s="9">
        <v>0.6</v>
      </c>
      <c r="R159" s="9">
        <v>0</v>
      </c>
      <c r="S159" s="9">
        <v>0</v>
      </c>
      <c r="T159" s="9">
        <v>0</v>
      </c>
      <c r="U159" s="9">
        <v>0</v>
      </c>
      <c r="V159" s="9">
        <v>423800</v>
      </c>
      <c r="W159" s="9">
        <v>0</v>
      </c>
      <c r="X159" s="9">
        <v>0</v>
      </c>
      <c r="Y159" s="9">
        <v>0</v>
      </c>
    </row>
    <row r="160" spans="1:25">
      <c r="A160" s="9">
        <v>90</v>
      </c>
      <c r="B160" s="9" t="str">
        <v>26/09/2025</v>
      </c>
      <c r="C160" s="9" t="str">
        <v>Prasad Koch Technik Pvt Ltd</v>
      </c>
      <c r="D160" s="9" t="str">
        <v>Ahmadabad</v>
      </c>
      <c r="E160" s="9" t="str">
        <v>Maintenance</v>
      </c>
      <c r="F160" s="9" t="str">
        <v>Mehul Patel</v>
      </c>
      <c r="G160" s="9" t="str">
        <v>97277 12118</v>
      </c>
      <c r="H160" s="9" t="str">
        <v>utility@prasadgroup.com</v>
      </c>
      <c r="I160" s="9" t="str">
        <v>12006519/001</v>
      </c>
      <c r="J160" s="9" t="str">
        <v>BD Spare</v>
      </c>
      <c r="K160" s="9" t="str">
        <v>No</v>
      </c>
      <c r="L160" s="9" t="str">
        <v>KXIND/W/MV/SPP/25065</v>
      </c>
      <c r="M160" s="9" t="str">
        <v>26/09/2025</v>
      </c>
      <c r="N160" s="9">
        <v>366200</v>
      </c>
      <c r="O160" s="9" t="str">
        <v>September</v>
      </c>
      <c r="P160" s="9" t="str">
        <v>September</v>
      </c>
      <c r="Q160" s="9">
        <v>1</v>
      </c>
      <c r="R160" s="9" t="str">
        <v>MECHANICAL/4705</v>
      </c>
      <c r="S160" s="9">
        <v>45667</v>
      </c>
      <c r="T160" s="9">
        <v>344288</v>
      </c>
      <c r="U160" s="9" t="str">
        <v>October</v>
      </c>
      <c r="V160" s="9">
        <v>0</v>
      </c>
      <c r="W160" s="9">
        <v>0</v>
      </c>
      <c r="X160" s="9">
        <v>0</v>
      </c>
      <c r="Y160" s="9">
        <v>0</v>
      </c>
    </row>
    <row r="161" spans="1:25">
      <c r="A161" s="9">
        <v>91</v>
      </c>
      <c r="B161" s="9">
        <v>45667</v>
      </c>
      <c r="C161" s="9" t="str">
        <v>ATC Tires Pvt Ltd</v>
      </c>
      <c r="D161" s="9" t="str">
        <v>Dahej</v>
      </c>
      <c r="E161" s="9" t="str">
        <v>Purchase</v>
      </c>
      <c r="F161" s="9" t="str">
        <v>ABHISHEK S NARKHEDE</v>
      </c>
      <c r="G161" s="9">
        <v>7400202818</v>
      </c>
      <c r="H161" s="9" t="str">
        <v>anarkhede@yokohama-oht.com</v>
      </c>
      <c r="I161" s="9">
        <v>150885</v>
      </c>
      <c r="J161" s="9" t="str">
        <v>SPP</v>
      </c>
      <c r="K161" s="9" t="str">
        <v>Yes</v>
      </c>
      <c r="L161" s="9" t="str">
        <v>KXIND/W/MV/SPP/25066</v>
      </c>
      <c r="M161" s="9">
        <v>45667</v>
      </c>
      <c r="N161" s="9">
        <v>1826880</v>
      </c>
      <c r="O161" s="9" t="str">
        <v>October</v>
      </c>
      <c r="P161" s="9" t="str">
        <v>October</v>
      </c>
      <c r="Q161" s="9">
        <v>0.7</v>
      </c>
      <c r="R161" s="9">
        <v>4400017535</v>
      </c>
      <c r="S161" s="9" t="str">
        <v>27/10/2025</v>
      </c>
      <c r="T161" s="9">
        <v>1735536</v>
      </c>
      <c r="U161" s="9" t="str">
        <v>October</v>
      </c>
      <c r="V161" s="9">
        <v>0</v>
      </c>
      <c r="W161" s="9">
        <v>0</v>
      </c>
      <c r="X161" s="9">
        <v>0</v>
      </c>
      <c r="Y161" s="9">
        <v>0</v>
      </c>
    </row>
    <row r="162" spans="1:25">
      <c r="A162" s="9">
        <v>92</v>
      </c>
      <c r="B162" s="9">
        <v>45698</v>
      </c>
      <c r="C162" s="9" t="str">
        <v>Eimco Elecon (i) Ltd</v>
      </c>
      <c r="D162" s="9" t="str">
        <v>Anand</v>
      </c>
      <c r="E162" s="9" t="str">
        <v>Purchase</v>
      </c>
      <c r="F162" s="9" t="str">
        <v>Vijay K. Thakar</v>
      </c>
      <c r="G162" s="9">
        <v>9909918878</v>
      </c>
      <c r="H162" s="9" t="str">
        <v>vkthakar@eimcoelecon.in</v>
      </c>
      <c r="I162" s="9" t="str">
        <v>03005917/003</v>
      </c>
      <c r="J162" s="9" t="str">
        <v>SPP</v>
      </c>
      <c r="K162" s="9" t="str">
        <v>Yes</v>
      </c>
      <c r="L162" s="9" t="str">
        <v>KXIND/W/MV/MLU/24068</v>
      </c>
      <c r="M162" s="9" t="str">
        <v>29/07/2024</v>
      </c>
      <c r="N162" s="9">
        <v>729480</v>
      </c>
      <c r="O162" s="9" t="str">
        <v>October</v>
      </c>
      <c r="P162" s="9" t="str">
        <v>November</v>
      </c>
      <c r="Q162" s="9">
        <v>0.6</v>
      </c>
      <c r="R162" s="9" t="str">
        <v>98284/0</v>
      </c>
      <c r="S162" s="9">
        <v>45757</v>
      </c>
      <c r="T162" s="9">
        <v>659400</v>
      </c>
      <c r="U162" s="9" t="str">
        <v>October</v>
      </c>
      <c r="V162" s="9">
        <v>0</v>
      </c>
      <c r="W162" s="9">
        <v>0</v>
      </c>
      <c r="X162" s="9">
        <v>0</v>
      </c>
      <c r="Y162" s="9">
        <v>0</v>
      </c>
    </row>
    <row r="163" spans="1:25">
      <c r="A163" s="9">
        <v>93</v>
      </c>
      <c r="B163" s="9">
        <v>45698</v>
      </c>
      <c r="C163" s="9" t="str">
        <v>Eimco Elecon (i) Ltd</v>
      </c>
      <c r="D163" s="9" t="str">
        <v>Anand</v>
      </c>
      <c r="E163" s="9" t="str">
        <v>Purchase</v>
      </c>
      <c r="F163" s="9" t="str">
        <v>Vijay K. Thakar</v>
      </c>
      <c r="G163" s="9">
        <v>9909918878</v>
      </c>
      <c r="H163" s="9" t="str">
        <v>vkthakar@eimcoelecon.in</v>
      </c>
      <c r="I163" s="9" t="str">
        <v>03005917/003</v>
      </c>
      <c r="J163" s="9" t="str">
        <v>SPP</v>
      </c>
      <c r="K163" s="9" t="str">
        <v>Yes</v>
      </c>
      <c r="L163" s="9" t="str">
        <v>KXIND/W/MV/SPP/25067</v>
      </c>
      <c r="M163" s="9">
        <v>45698</v>
      </c>
      <c r="N163" s="9">
        <v>25050</v>
      </c>
      <c r="O163" s="9" t="str">
        <v>October</v>
      </c>
      <c r="P163" s="9" t="str">
        <v>November</v>
      </c>
      <c r="Q163" s="9">
        <v>0.6</v>
      </c>
      <c r="R163" s="9" t="str">
        <v>98284/0</v>
      </c>
      <c r="S163" s="9">
        <v>45757</v>
      </c>
      <c r="T163" s="9">
        <v>13128</v>
      </c>
      <c r="U163" s="9" t="str">
        <v>October</v>
      </c>
      <c r="V163" s="9">
        <v>0</v>
      </c>
      <c r="W163" s="9">
        <v>0</v>
      </c>
      <c r="X163" s="9">
        <v>0</v>
      </c>
      <c r="Y163" s="9">
        <v>0</v>
      </c>
    </row>
    <row r="164" spans="1:25">
      <c r="A164" s="9">
        <v>94</v>
      </c>
      <c r="B164" s="9">
        <v>45698</v>
      </c>
      <c r="C164" s="9" t="str">
        <v>Kabra Extrusiontechnik Ltd</v>
      </c>
      <c r="D164" s="9" t="str">
        <v>Daman</v>
      </c>
      <c r="E164" s="9" t="str">
        <v>Maintenance</v>
      </c>
      <c r="F164" s="9" t="str">
        <v>Krunal Patel</v>
      </c>
      <c r="G164" s="9">
        <v>7226982211</v>
      </c>
      <c r="H164" s="9" t="str">
        <v>krunal.patel@kolsitegroup.com</v>
      </c>
      <c r="I164" s="9" t="str">
        <v>10007235/001</v>
      </c>
      <c r="J164" s="9" t="str">
        <v>Contract</v>
      </c>
      <c r="K164" s="9" t="str">
        <v>No</v>
      </c>
      <c r="L164" s="9" t="str">
        <v>KXIND/W/MV/MC/25068</v>
      </c>
      <c r="M164" s="9">
        <v>45698</v>
      </c>
      <c r="N164" s="9">
        <v>85560</v>
      </c>
      <c r="O164" s="9" t="str">
        <v>October</v>
      </c>
      <c r="P164" s="9" t="str">
        <v>October</v>
      </c>
      <c r="Q164" s="9">
        <v>0.9</v>
      </c>
      <c r="R164" s="9">
        <v>4900003846</v>
      </c>
      <c r="S164" s="9">
        <v>45788</v>
      </c>
      <c r="T164" s="9">
        <v>85560</v>
      </c>
      <c r="U164" s="9" t="str">
        <v>November</v>
      </c>
      <c r="V164" s="9">
        <v>0</v>
      </c>
      <c r="W164" s="9">
        <v>0</v>
      </c>
      <c r="X164" s="9">
        <v>0</v>
      </c>
      <c r="Y164" s="9">
        <v>0</v>
      </c>
    </row>
    <row r="165" spans="1:25">
      <c r="A165" s="9">
        <v>95</v>
      </c>
      <c r="B165" s="9">
        <v>45698</v>
      </c>
      <c r="C165" s="9" t="str">
        <v xml:space="preserve">Kirloskar brothers LTD </v>
      </c>
      <c r="D165" s="9" t="str">
        <v>Ahmadabad</v>
      </c>
      <c r="E165" s="9" t="str">
        <v>Maintenance</v>
      </c>
      <c r="F165" s="9" t="str">
        <v>Hiren Patel</v>
      </c>
      <c r="G165" s="9">
        <v>7624008077</v>
      </c>
      <c r="H165" s="9" t="str">
        <v>Hirenkumar.Patel@kbl.co.in</v>
      </c>
      <c r="I165" s="9" t="str">
        <v>17001433 / 001</v>
      </c>
      <c r="J165" s="9" t="str">
        <v>Contract</v>
      </c>
      <c r="K165" s="9" t="str">
        <v>No</v>
      </c>
      <c r="L165" s="9" t="str">
        <v>KXIND/W/MV/MC/25069</v>
      </c>
      <c r="M165" s="9">
        <v>45698</v>
      </c>
      <c r="N165" s="9">
        <v>71250</v>
      </c>
      <c r="O165" s="9" t="str">
        <v>October</v>
      </c>
      <c r="P165" s="9" t="str">
        <v>December</v>
      </c>
      <c r="Q165" s="9">
        <v>0.9</v>
      </c>
      <c r="R165" s="9">
        <v>1600036220</v>
      </c>
      <c r="S165" s="9">
        <v>45912</v>
      </c>
      <c r="T165" s="9">
        <v>71250</v>
      </c>
      <c r="U165" s="9" t="str">
        <v>December</v>
      </c>
      <c r="V165" s="9">
        <v>0</v>
      </c>
      <c r="W165" s="9">
        <v>0</v>
      </c>
      <c r="X165" s="9">
        <v>0</v>
      </c>
      <c r="Y165" s="9">
        <v>0</v>
      </c>
    </row>
    <row r="166" spans="1:25">
      <c r="A166" s="9">
        <v>96</v>
      </c>
      <c r="B166" s="9">
        <v>45698</v>
      </c>
      <c r="C166" s="9" t="str">
        <v>Bhavani Industries</v>
      </c>
      <c r="D166" s="9" t="str">
        <v>sanand</v>
      </c>
      <c r="E166" s="9" t="str">
        <v>Maintenance</v>
      </c>
      <c r="F166" s="9" t="str">
        <v>Parth Dave</v>
      </c>
      <c r="G166" s="9" t="str">
        <v>79904 93880</v>
      </c>
      <c r="H166" s="9" t="str">
        <v>maintenance.sanand@bhavani.co.in</v>
      </c>
      <c r="I166" s="9" t="str">
        <v>11007588/001</v>
      </c>
      <c r="J166" s="9" t="str">
        <v>BD Spare</v>
      </c>
      <c r="K166" s="9" t="str">
        <v>No</v>
      </c>
      <c r="L166" s="9" t="str">
        <v>KXIND/W/MV/SPP/25070</v>
      </c>
      <c r="M166" s="9">
        <v>45698</v>
      </c>
      <c r="N166" s="9">
        <v>592600</v>
      </c>
      <c r="O166" s="9" t="str">
        <v>October</v>
      </c>
      <c r="P166" s="9" t="str">
        <v>October</v>
      </c>
      <c r="Q166" s="9">
        <v>0.6</v>
      </c>
      <c r="R166" s="9" t="str">
        <v>POC/25-26/1093</v>
      </c>
      <c r="S166" s="9" t="str">
        <v>14/10/2025</v>
      </c>
      <c r="T166" s="9">
        <v>261820</v>
      </c>
      <c r="U166" s="9" t="str">
        <v>October</v>
      </c>
      <c r="V166" s="9">
        <v>0</v>
      </c>
      <c r="W166" s="9">
        <v>0</v>
      </c>
      <c r="X166" s="9">
        <v>0</v>
      </c>
      <c r="Y166" s="9">
        <v>0</v>
      </c>
    </row>
    <row r="167" spans="1:25">
      <c r="A167" s="9">
        <v>97</v>
      </c>
      <c r="B167" s="9">
        <v>45787</v>
      </c>
      <c r="C167" s="9" t="str">
        <v>Prasad GWK Cooltech Pvt Ltd</v>
      </c>
      <c r="D167" s="9" t="str">
        <v>Ahmadabad</v>
      </c>
      <c r="E167" s="9" t="str">
        <v>Plant Head</v>
      </c>
      <c r="F167" s="9" t="str">
        <v>Sagar Shah</v>
      </c>
      <c r="G167" s="9">
        <v>9327468808</v>
      </c>
      <c r="H167" s="9" t="str">
        <v>sagar@prasadgroup.com</v>
      </c>
      <c r="I167" s="9" t="str">
        <v>12006436/001</v>
      </c>
      <c r="J167" s="9" t="str">
        <v>Contract</v>
      </c>
      <c r="K167" s="9" t="str">
        <v>No</v>
      </c>
      <c r="L167" s="9" t="str">
        <v>KXIND/W/MV/MC/25071</v>
      </c>
      <c r="M167" s="9">
        <v>45787</v>
      </c>
      <c r="N167" s="9">
        <v>55000</v>
      </c>
      <c r="O167" s="9" t="str">
        <v>October</v>
      </c>
      <c r="P167" s="9">
        <v>0</v>
      </c>
      <c r="Q167" s="9">
        <v>0.6</v>
      </c>
      <c r="R167" s="9">
        <v>0</v>
      </c>
      <c r="S167" s="9">
        <v>0</v>
      </c>
      <c r="T167" s="9">
        <v>0</v>
      </c>
      <c r="U167" s="9">
        <v>0</v>
      </c>
      <c r="V167" s="9">
        <v>55000</v>
      </c>
      <c r="W167" s="9">
        <v>0</v>
      </c>
      <c r="X167" s="9">
        <v>0</v>
      </c>
      <c r="Y167" s="9">
        <v>0</v>
      </c>
    </row>
    <row r="168" spans="1:25">
      <c r="A168" s="9">
        <v>0</v>
      </c>
      <c r="B168" s="9">
        <v>0</v>
      </c>
      <c r="C168" s="9" t="str">
        <v>Prasad GWK Cooltech Pvt Ltd</v>
      </c>
      <c r="D168" s="9" t="str">
        <v>Ahmadabad</v>
      </c>
      <c r="E168" s="9" t="str">
        <v>Plant Head</v>
      </c>
      <c r="F168" s="9" t="str">
        <v>Sagar Shah</v>
      </c>
      <c r="G168" s="9">
        <v>9327468808</v>
      </c>
      <c r="H168" s="9" t="str">
        <v>sagar@prasadgroup.com</v>
      </c>
      <c r="I168" s="9" t="str">
        <v>12006494/001</v>
      </c>
      <c r="J168" s="9" t="str">
        <v>Contract</v>
      </c>
      <c r="K168" s="9" t="str">
        <v>No</v>
      </c>
      <c r="L168" s="9" t="str">
        <v>KXIND/W/MV/MC/25071</v>
      </c>
      <c r="M168" s="9">
        <v>45787</v>
      </c>
      <c r="N168" s="9">
        <v>55000</v>
      </c>
      <c r="O168" s="9" t="str">
        <v>October</v>
      </c>
      <c r="P168" s="9">
        <v>0</v>
      </c>
      <c r="Q168" s="9">
        <v>0.6</v>
      </c>
      <c r="R168" s="9">
        <v>0</v>
      </c>
      <c r="S168" s="9">
        <v>0</v>
      </c>
      <c r="T168" s="9">
        <v>0</v>
      </c>
      <c r="U168" s="9">
        <v>0</v>
      </c>
      <c r="V168" s="9">
        <v>55000</v>
      </c>
      <c r="W168" s="9">
        <v>0</v>
      </c>
      <c r="X168" s="9">
        <v>0</v>
      </c>
      <c r="Y168" s="9">
        <v>0</v>
      </c>
    </row>
    <row r="169" spans="1:25">
      <c r="A169" s="9">
        <v>98</v>
      </c>
      <c r="B169" s="9">
        <v>45787</v>
      </c>
      <c r="C169" s="9" t="str">
        <v>Prashant Ferber Logistics Automation Pvt Ltd (Prashant Gamatex Pvt Ltd)</v>
      </c>
      <c r="D169" s="9" t="str">
        <v>Ahmadabad</v>
      </c>
      <c r="E169" s="9" t="str">
        <v>Maintenance</v>
      </c>
      <c r="F169" s="9" t="str">
        <v>Shailesh Patel</v>
      </c>
      <c r="G169" s="9" t="str">
        <v>82005 02609</v>
      </c>
      <c r="H169" s="9" t="str">
        <v>utility@prashantgroup.com</v>
      </c>
      <c r="I169" s="9" t="str">
        <v>12006388/001</v>
      </c>
      <c r="J169" s="9" t="str">
        <v>Contract</v>
      </c>
      <c r="K169" s="9" t="str">
        <v>No</v>
      </c>
      <c r="L169" s="9" t="str">
        <v>KXIND/W/MV/MC/25072</v>
      </c>
      <c r="M169" s="9">
        <v>45787</v>
      </c>
      <c r="N169" s="9">
        <v>55000</v>
      </c>
      <c r="O169" s="9" t="str">
        <v>October</v>
      </c>
      <c r="P169" s="9" t="str">
        <v>October</v>
      </c>
      <c r="Q169" s="9">
        <v>1</v>
      </c>
      <c r="R169" s="9" t="str">
        <v>SERVICE/31</v>
      </c>
      <c r="S169" s="9">
        <v>45848</v>
      </c>
      <c r="T169" s="9">
        <v>52800</v>
      </c>
      <c r="U169" s="9" t="str">
        <v>October</v>
      </c>
      <c r="V169" s="9">
        <v>0</v>
      </c>
      <c r="W169" s="9">
        <v>0</v>
      </c>
      <c r="X169" s="9">
        <v>0</v>
      </c>
      <c r="Y169" s="9">
        <v>0</v>
      </c>
    </row>
    <row r="170" spans="1:25">
      <c r="A170" s="9">
        <v>99</v>
      </c>
      <c r="B170" s="9">
        <v>45848</v>
      </c>
      <c r="C170" s="9" t="str">
        <v>Power Build  Ltd</v>
      </c>
      <c r="D170" s="9" t="str">
        <v>Anand</v>
      </c>
      <c r="E170" s="9" t="str">
        <v>Purchase</v>
      </c>
      <c r="F170" s="9" t="str">
        <v>Vimal V. Kachhia</v>
      </c>
      <c r="G170" s="9">
        <v>9726567697</v>
      </c>
      <c r="H170" s="9" t="str">
        <v>vvkachhia@powerbuild.in</v>
      </c>
      <c r="I170" s="9" t="str">
        <v>22005478/001</v>
      </c>
      <c r="J170" s="9" t="str">
        <v>SPP</v>
      </c>
      <c r="K170" s="9" t="str">
        <v>No</v>
      </c>
      <c r="L170" s="9" t="str">
        <v>KXIND/W/MV/SPP/25073</v>
      </c>
      <c r="M170" s="9">
        <v>45848</v>
      </c>
      <c r="N170" s="9">
        <v>330000</v>
      </c>
      <c r="O170" s="9" t="str">
        <v>October</v>
      </c>
      <c r="P170" s="9">
        <v>0</v>
      </c>
      <c r="Q170" s="9">
        <v>0.5</v>
      </c>
      <c r="R170" s="9">
        <v>0</v>
      </c>
      <c r="S170" s="9">
        <v>0</v>
      </c>
      <c r="T170" s="9">
        <v>0</v>
      </c>
      <c r="U170" s="9">
        <v>0</v>
      </c>
      <c r="V170" s="9">
        <v>330000</v>
      </c>
      <c r="W170" s="9">
        <v>0</v>
      </c>
      <c r="X170" s="9">
        <v>0</v>
      </c>
      <c r="Y170" s="9">
        <v>0</v>
      </c>
    </row>
    <row r="171" spans="1:25">
      <c r="A171" s="9">
        <v>100</v>
      </c>
      <c r="B171" s="9">
        <v>45910</v>
      </c>
      <c r="C171" s="9" t="str">
        <v>Elecon Engg Co Ltd</v>
      </c>
      <c r="D171" s="9" t="str">
        <v>Anand</v>
      </c>
      <c r="E171" s="9" t="str">
        <v>Maintenance</v>
      </c>
      <c r="F171" s="9" t="str">
        <v>Gaurang V.Patel</v>
      </c>
      <c r="G171" s="9">
        <v>9909907838</v>
      </c>
      <c r="H171" s="9" t="str">
        <v>gvpatel@akaaish.com</v>
      </c>
      <c r="I171" s="9" t="str">
        <v>07006490/001</v>
      </c>
      <c r="J171" s="9" t="str">
        <v>BD Charges</v>
      </c>
      <c r="K171" s="9" t="str">
        <v>No</v>
      </c>
      <c r="L171" s="9" t="str">
        <v>KXIND/W/MV/OTH/25074</v>
      </c>
      <c r="M171" s="9">
        <v>45910</v>
      </c>
      <c r="N171" s="9">
        <v>19500</v>
      </c>
      <c r="O171" s="9" t="str">
        <v>October</v>
      </c>
      <c r="P171" s="9" t="str">
        <v>October</v>
      </c>
      <c r="Q171" s="9">
        <v>0.9</v>
      </c>
      <c r="R171" s="9" t="str">
        <v>186606/ 0</v>
      </c>
      <c r="S171" s="9" t="str">
        <v>15/10/2025</v>
      </c>
      <c r="T171" s="9">
        <v>19500</v>
      </c>
      <c r="U171" s="9" t="str">
        <v>October</v>
      </c>
      <c r="V171" s="9">
        <v>0</v>
      </c>
      <c r="W171" s="9">
        <v>0</v>
      </c>
      <c r="X171" s="9">
        <v>0</v>
      </c>
      <c r="Y171" s="9">
        <v>0</v>
      </c>
    </row>
    <row r="172" spans="1:25">
      <c r="A172" s="9">
        <v>101</v>
      </c>
      <c r="B172" s="9" t="str">
        <v>25/10/2025</v>
      </c>
      <c r="C172" s="9" t="str">
        <v>Intas Pharmaceuticals Ltd</v>
      </c>
      <c r="D172" s="9" t="str">
        <v>Ahmadabad</v>
      </c>
      <c r="E172" s="9" t="str">
        <v>Maintenance</v>
      </c>
      <c r="F172" s="9" t="str">
        <v>Piyush Parmar</v>
      </c>
      <c r="G172" s="9">
        <v>9898923100</v>
      </c>
      <c r="H172" s="9" t="str">
        <v>piyushk_parmar@intaspharma.com</v>
      </c>
      <c r="I172" s="9" t="str">
        <v>11004033/001</v>
      </c>
      <c r="J172" s="9" t="str">
        <v>BD Charges</v>
      </c>
      <c r="K172" s="9" t="str">
        <v>No</v>
      </c>
      <c r="L172" s="9" t="str">
        <v>KXIND/W/MV/OTH/25075</v>
      </c>
      <c r="M172" s="9" t="str">
        <v>25/10/2025</v>
      </c>
      <c r="N172" s="9">
        <v>30500</v>
      </c>
      <c r="O172" s="9" t="str">
        <v>October</v>
      </c>
      <c r="P172" s="9">
        <v>0</v>
      </c>
      <c r="Q172" s="9">
        <v>0.5</v>
      </c>
      <c r="R172" s="9">
        <v>0</v>
      </c>
      <c r="S172" s="9">
        <v>0</v>
      </c>
      <c r="T172" s="9">
        <v>0</v>
      </c>
      <c r="U172" s="9">
        <v>0</v>
      </c>
      <c r="V172" s="9">
        <v>30500</v>
      </c>
      <c r="W172" s="9">
        <v>0</v>
      </c>
      <c r="X172" s="9">
        <v>0</v>
      </c>
      <c r="Y172" s="9">
        <v>0</v>
      </c>
    </row>
    <row r="173" spans="1:25">
      <c r="A173" s="9">
        <v>102</v>
      </c>
      <c r="B173" s="9">
        <v>45758</v>
      </c>
      <c r="C173" s="9" t="str">
        <v>Jaiko Industries Ltd</v>
      </c>
      <c r="D173" s="9" t="str">
        <v>Ankleshwar</v>
      </c>
      <c r="E173" s="9" t="str">
        <v>Plant Head</v>
      </c>
      <c r="F173" s="9" t="str">
        <v>Vinod Mahajan</v>
      </c>
      <c r="G173" s="9">
        <v>9426806524</v>
      </c>
      <c r="H173" s="9" t="str">
        <v>jaikoindustries2011@gmail.com</v>
      </c>
      <c r="I173" s="9" t="str">
        <v>10007105/001</v>
      </c>
      <c r="J173" s="9" t="str">
        <v>Contract</v>
      </c>
      <c r="K173" s="9" t="str">
        <v>No</v>
      </c>
      <c r="L173" s="9" t="str">
        <v>KXIND/W/MV/MC/25076</v>
      </c>
      <c r="M173" s="9">
        <v>45758</v>
      </c>
      <c r="N173" s="9">
        <v>86000</v>
      </c>
      <c r="O173" s="9" t="str">
        <v>November</v>
      </c>
      <c r="P173" s="9" t="str">
        <v>December</v>
      </c>
      <c r="Q173" s="9">
        <v>0.7</v>
      </c>
      <c r="R173" s="9">
        <v>0</v>
      </c>
      <c r="S173" s="9">
        <v>0</v>
      </c>
      <c r="T173" s="9">
        <v>0</v>
      </c>
      <c r="U173" s="9">
        <v>0</v>
      </c>
      <c r="V173" s="9">
        <v>86000</v>
      </c>
      <c r="W173" s="9">
        <v>0</v>
      </c>
      <c r="X173" s="9">
        <v>0</v>
      </c>
      <c r="Y173" s="9">
        <v>0</v>
      </c>
    </row>
    <row r="174" spans="1:25">
      <c r="A174" s="9">
        <v>103</v>
      </c>
      <c r="B174" s="9">
        <v>45758</v>
      </c>
      <c r="C174" s="9" t="str">
        <v xml:space="preserve">JP Extrusiontech Ltd </v>
      </c>
      <c r="D174" s="9" t="str">
        <v>Ankleshwar</v>
      </c>
      <c r="E174" s="9" t="str">
        <v>Purchase</v>
      </c>
      <c r="F174" s="9" t="str">
        <v>Asish Biswas</v>
      </c>
      <c r="G174" s="9">
        <v>9924214600</v>
      </c>
      <c r="H174" s="9" t="str">
        <v>purchase@jpel.in</v>
      </c>
      <c r="I174" s="9" t="str">
        <v>13000085/001</v>
      </c>
      <c r="J174" s="9" t="str">
        <v>Contract</v>
      </c>
      <c r="K174" s="9" t="str">
        <v>No</v>
      </c>
      <c r="L174" s="9" t="str">
        <v>KXIND/W/MV/MC/25077</v>
      </c>
      <c r="M174" s="9">
        <v>45758</v>
      </c>
      <c r="N174" s="9">
        <v>86000</v>
      </c>
      <c r="O174" s="9" t="str">
        <v>November</v>
      </c>
      <c r="P174" s="9" t="str">
        <v>December</v>
      </c>
      <c r="Q174" s="9">
        <v>0.7</v>
      </c>
      <c r="R174" s="9" t="str">
        <v>P2503180</v>
      </c>
      <c r="S174" s="9">
        <v>46003</v>
      </c>
      <c r="T174" s="9">
        <v>86000</v>
      </c>
      <c r="U174" s="9" t="str">
        <v>December</v>
      </c>
      <c r="V174" s="9">
        <v>0</v>
      </c>
      <c r="W174" s="9">
        <v>0</v>
      </c>
      <c r="X174" s="9">
        <v>0</v>
      </c>
      <c r="Y174" s="9">
        <v>0</v>
      </c>
    </row>
    <row r="175" spans="1:25">
      <c r="A175" s="9">
        <v>104</v>
      </c>
      <c r="B175" s="9">
        <v>45758</v>
      </c>
      <c r="C175" s="9" t="str">
        <v>Intas Pharmaceuticals Ltd</v>
      </c>
      <c r="D175" s="9" t="str">
        <v>Ahmadabad</v>
      </c>
      <c r="E175" s="9" t="str">
        <v>Maintenance</v>
      </c>
      <c r="F175" s="9" t="str">
        <v>Vinod Prajapati</v>
      </c>
      <c r="G175" s="9">
        <v>9924484458</v>
      </c>
      <c r="H175" s="9" t="str">
        <v>Vinodkumar_prajapati@intaspharma.com</v>
      </c>
      <c r="I175" s="9" t="str">
        <v>12002008/001</v>
      </c>
      <c r="J175" s="9" t="str">
        <v>Contract</v>
      </c>
      <c r="K175" s="9" t="str">
        <v>No</v>
      </c>
      <c r="L175" s="9" t="str">
        <v>KXIND/W/MV/MC/25078</v>
      </c>
      <c r="M175" s="9">
        <v>45758</v>
      </c>
      <c r="N175" s="9">
        <v>66000</v>
      </c>
      <c r="O175" s="9" t="str">
        <v>November</v>
      </c>
      <c r="P175" s="9" t="str">
        <v>December</v>
      </c>
      <c r="Q175" s="9">
        <v>0.7</v>
      </c>
      <c r="R175" s="9">
        <v>0</v>
      </c>
      <c r="S175" s="9">
        <v>0</v>
      </c>
      <c r="T175" s="9">
        <v>0</v>
      </c>
      <c r="U175" s="9">
        <v>0</v>
      </c>
      <c r="V175" s="9">
        <v>66000</v>
      </c>
      <c r="W175" s="9">
        <v>0</v>
      </c>
      <c r="X175" s="9">
        <v>0</v>
      </c>
      <c r="Y175" s="9">
        <v>0</v>
      </c>
    </row>
    <row r="176" spans="1:25">
      <c r="A176" s="9">
        <v>0</v>
      </c>
      <c r="B176" s="9">
        <v>0</v>
      </c>
      <c r="C176" s="9" t="str">
        <v>Intas Pharmaceuticals Ltd</v>
      </c>
      <c r="D176" s="9" t="str">
        <v>Ahmadabad</v>
      </c>
      <c r="E176" s="9" t="str">
        <v>Maintenance</v>
      </c>
      <c r="F176" s="9" t="str">
        <v>Vinod Prajapati</v>
      </c>
      <c r="G176" s="9">
        <v>9924484458</v>
      </c>
      <c r="H176" s="9" t="str">
        <v>Vinodkumar_prajapati@intaspharma.com</v>
      </c>
      <c r="I176" s="9" t="str">
        <v>12002008/002</v>
      </c>
      <c r="J176" s="9" t="str">
        <v>Contract</v>
      </c>
      <c r="K176" s="9" t="str">
        <v>No</v>
      </c>
      <c r="L176" s="9" t="str">
        <v>KXIND/W/MV/MC/25078</v>
      </c>
      <c r="M176" s="9">
        <v>45758</v>
      </c>
      <c r="N176" s="9">
        <v>66000</v>
      </c>
      <c r="O176" s="9" t="str">
        <v>November</v>
      </c>
      <c r="P176" s="9" t="str">
        <v>December</v>
      </c>
      <c r="Q176" s="9">
        <v>0.7</v>
      </c>
      <c r="R176" s="9">
        <v>0</v>
      </c>
      <c r="S176" s="9">
        <v>0</v>
      </c>
      <c r="T176" s="9">
        <v>0</v>
      </c>
      <c r="U176" s="9">
        <v>0</v>
      </c>
      <c r="V176" s="9">
        <v>66000</v>
      </c>
      <c r="W176" s="9">
        <v>0</v>
      </c>
      <c r="X176" s="9">
        <v>0</v>
      </c>
      <c r="Y176" s="9">
        <v>0</v>
      </c>
    </row>
    <row r="177" spans="1:25">
      <c r="A177" s="9">
        <v>0</v>
      </c>
      <c r="B177" s="9">
        <v>0</v>
      </c>
      <c r="C177" s="9" t="str">
        <v>Intas Pharmaceuticals Ltd</v>
      </c>
      <c r="D177" s="9" t="str">
        <v>Ahmadabad</v>
      </c>
      <c r="E177" s="9" t="str">
        <v>Maintenance</v>
      </c>
      <c r="F177" s="9" t="str">
        <v>Vinod Prajapati</v>
      </c>
      <c r="G177" s="9">
        <v>9924484458</v>
      </c>
      <c r="H177" s="9" t="str">
        <v>Vinodkumar_prajapati@intaspharma.com</v>
      </c>
      <c r="I177" s="9" t="str">
        <v>12002008/003</v>
      </c>
      <c r="J177" s="9" t="str">
        <v>Contract</v>
      </c>
      <c r="K177" s="9" t="str">
        <v>No</v>
      </c>
      <c r="L177" s="9" t="str">
        <v>KXIND/W/MV/MC/25078</v>
      </c>
      <c r="M177" s="9">
        <v>45758</v>
      </c>
      <c r="N177" s="9">
        <v>66000</v>
      </c>
      <c r="O177" s="9" t="str">
        <v>November</v>
      </c>
      <c r="P177" s="9" t="str">
        <v>December</v>
      </c>
      <c r="Q177" s="9">
        <v>0.7</v>
      </c>
      <c r="R177" s="9">
        <v>0</v>
      </c>
      <c r="S177" s="9">
        <v>0</v>
      </c>
      <c r="T177" s="9">
        <v>0</v>
      </c>
      <c r="U177" s="9">
        <v>0</v>
      </c>
      <c r="V177" s="9">
        <v>66000</v>
      </c>
      <c r="W177" s="9">
        <v>0</v>
      </c>
      <c r="X177" s="9">
        <v>0</v>
      </c>
      <c r="Y177" s="9">
        <v>0</v>
      </c>
    </row>
    <row r="178" spans="1:25">
      <c r="A178" s="9">
        <v>0</v>
      </c>
      <c r="B178" s="9">
        <v>0</v>
      </c>
      <c r="C178" s="9" t="str">
        <v>Intas Pharmaceuticals Ltd</v>
      </c>
      <c r="D178" s="9" t="str">
        <v>Ahmadabad</v>
      </c>
      <c r="E178" s="9" t="str">
        <v>Maintenance</v>
      </c>
      <c r="F178" s="9" t="str">
        <v>Vinod Prajapati</v>
      </c>
      <c r="G178" s="9">
        <v>9924484458</v>
      </c>
      <c r="H178" s="9" t="str">
        <v>Vinodkumar_prajapati@intaspharma.com</v>
      </c>
      <c r="I178" s="9" t="str">
        <v>12002008/004</v>
      </c>
      <c r="J178" s="9" t="str">
        <v>Contract</v>
      </c>
      <c r="K178" s="9" t="str">
        <v>No</v>
      </c>
      <c r="L178" s="9" t="str">
        <v>KXIND/W/MV/MC/25078</v>
      </c>
      <c r="M178" s="9">
        <v>45758</v>
      </c>
      <c r="N178" s="9">
        <v>66000</v>
      </c>
      <c r="O178" s="9" t="str">
        <v>November</v>
      </c>
      <c r="P178" s="9" t="str">
        <v>December</v>
      </c>
      <c r="Q178" s="9">
        <v>0.7</v>
      </c>
      <c r="R178" s="9">
        <v>0</v>
      </c>
      <c r="S178" s="9">
        <v>0</v>
      </c>
      <c r="T178" s="9">
        <v>0</v>
      </c>
      <c r="U178" s="9">
        <v>0</v>
      </c>
      <c r="V178" s="9">
        <v>66000</v>
      </c>
      <c r="W178" s="9">
        <v>0</v>
      </c>
      <c r="X178" s="9">
        <v>0</v>
      </c>
      <c r="Y178" s="9">
        <v>0</v>
      </c>
    </row>
    <row r="179" spans="1:25">
      <c r="A179" s="9">
        <v>0</v>
      </c>
      <c r="B179" s="9">
        <v>0</v>
      </c>
      <c r="C179" s="9" t="str">
        <v>Intas Pharmaceuticals Ltd</v>
      </c>
      <c r="D179" s="9" t="str">
        <v>Ahmadabad</v>
      </c>
      <c r="E179" s="9" t="str">
        <v>Maintenance</v>
      </c>
      <c r="F179" s="9" t="str">
        <v>Vinod Prajapati</v>
      </c>
      <c r="G179" s="9">
        <v>9924484458</v>
      </c>
      <c r="H179" s="9" t="str">
        <v>Vinodkumar_prajapati@intaspharma.com</v>
      </c>
      <c r="I179" s="9" t="str">
        <v>12002008/005</v>
      </c>
      <c r="J179" s="9" t="str">
        <v>Contract</v>
      </c>
      <c r="K179" s="9" t="str">
        <v>No</v>
      </c>
      <c r="L179" s="9" t="str">
        <v>KXIND/W/MV/MC/25078</v>
      </c>
      <c r="M179" s="9">
        <v>45758</v>
      </c>
      <c r="N179" s="9">
        <v>66000</v>
      </c>
      <c r="O179" s="9" t="str">
        <v>November</v>
      </c>
      <c r="P179" s="9" t="str">
        <v>December</v>
      </c>
      <c r="Q179" s="9">
        <v>0.7</v>
      </c>
      <c r="R179" s="9">
        <v>0</v>
      </c>
      <c r="S179" s="9">
        <v>0</v>
      </c>
      <c r="T179" s="9">
        <v>0</v>
      </c>
      <c r="U179" s="9">
        <v>0</v>
      </c>
      <c r="V179" s="9">
        <v>66000</v>
      </c>
      <c r="W179" s="9">
        <v>0</v>
      </c>
      <c r="X179" s="9">
        <v>0</v>
      </c>
      <c r="Y179" s="9">
        <v>0</v>
      </c>
    </row>
    <row r="180" spans="1:25">
      <c r="A180" s="9">
        <v>0</v>
      </c>
      <c r="B180" s="9">
        <v>0</v>
      </c>
      <c r="C180" s="9" t="str">
        <v>Intas Pharmaceuticals Ltd</v>
      </c>
      <c r="D180" s="9" t="str">
        <v>Ahmadabad</v>
      </c>
      <c r="E180" s="9" t="str">
        <v>Maintenance</v>
      </c>
      <c r="F180" s="9" t="str">
        <v>Vinod Prajapati</v>
      </c>
      <c r="G180" s="9">
        <v>9924484458</v>
      </c>
      <c r="H180" s="9" t="str">
        <v>Vinodkumar_prajapati@intaspharma.com</v>
      </c>
      <c r="I180" s="9" t="str">
        <v>12002008/006</v>
      </c>
      <c r="J180" s="9" t="str">
        <v>Contract</v>
      </c>
      <c r="K180" s="9" t="str">
        <v>No</v>
      </c>
      <c r="L180" s="9" t="str">
        <v>KXIND/W/MV/MC/25078</v>
      </c>
      <c r="M180" s="9">
        <v>45758</v>
      </c>
      <c r="N180" s="9">
        <v>66000</v>
      </c>
      <c r="O180" s="9" t="str">
        <v>November</v>
      </c>
      <c r="P180" s="9" t="str">
        <v>December</v>
      </c>
      <c r="Q180" s="9">
        <v>0.7</v>
      </c>
      <c r="R180" s="9">
        <v>0</v>
      </c>
      <c r="S180" s="9">
        <v>0</v>
      </c>
      <c r="T180" s="9">
        <v>0</v>
      </c>
      <c r="U180" s="9">
        <v>0</v>
      </c>
      <c r="V180" s="9">
        <v>66000</v>
      </c>
      <c r="W180" s="9">
        <v>0</v>
      </c>
      <c r="X180" s="9">
        <v>0</v>
      </c>
      <c r="Y180" s="9">
        <v>0</v>
      </c>
    </row>
    <row r="181" spans="1:25">
      <c r="A181" s="9">
        <v>0</v>
      </c>
      <c r="B181" s="9">
        <v>0</v>
      </c>
      <c r="C181" s="9" t="str">
        <v>Intas Pharmaceuticals Ltd</v>
      </c>
      <c r="D181" s="9" t="str">
        <v>Ahmadabad</v>
      </c>
      <c r="E181" s="9" t="str">
        <v>Maintenance</v>
      </c>
      <c r="F181" s="9" t="str">
        <v>Vinod Prajapati</v>
      </c>
      <c r="G181" s="9">
        <v>9924484458</v>
      </c>
      <c r="H181" s="9" t="str">
        <v>Vinodkumar_prajapati@intaspharma.com</v>
      </c>
      <c r="I181" s="9" t="str">
        <v>12002008/007</v>
      </c>
      <c r="J181" s="9" t="str">
        <v>Contract</v>
      </c>
      <c r="K181" s="9" t="str">
        <v>No</v>
      </c>
      <c r="L181" s="9" t="str">
        <v>KXIND/W/MV/MC/25078</v>
      </c>
      <c r="M181" s="9">
        <v>45758</v>
      </c>
      <c r="N181" s="9">
        <v>66000</v>
      </c>
      <c r="O181" s="9" t="str">
        <v>November</v>
      </c>
      <c r="P181" s="9" t="str">
        <v>December</v>
      </c>
      <c r="Q181" s="9">
        <v>0.7</v>
      </c>
      <c r="R181" s="9">
        <v>0</v>
      </c>
      <c r="S181" s="9">
        <v>0</v>
      </c>
      <c r="T181" s="9">
        <v>0</v>
      </c>
      <c r="U181" s="9">
        <v>0</v>
      </c>
      <c r="V181" s="9">
        <v>66000</v>
      </c>
      <c r="W181" s="9">
        <v>0</v>
      </c>
      <c r="X181" s="9">
        <v>0</v>
      </c>
      <c r="Y181" s="9">
        <v>0</v>
      </c>
    </row>
    <row r="182" spans="1:25">
      <c r="A182" s="9">
        <v>0</v>
      </c>
      <c r="B182" s="9">
        <v>0</v>
      </c>
      <c r="C182" s="9" t="str">
        <v>Intas Pharmaceuticals Ltd</v>
      </c>
      <c r="D182" s="9" t="str">
        <v>Ahmadabad</v>
      </c>
      <c r="E182" s="9" t="str">
        <v>Maintenance</v>
      </c>
      <c r="F182" s="9" t="str">
        <v>Vinod Prajapati</v>
      </c>
      <c r="G182" s="9">
        <v>9924484458</v>
      </c>
      <c r="H182" s="9" t="str">
        <v>Vinodkumar_prajapati@intaspharma.com</v>
      </c>
      <c r="I182" s="9" t="str">
        <v>12002008/008</v>
      </c>
      <c r="J182" s="9" t="str">
        <v>Contract</v>
      </c>
      <c r="K182" s="9" t="str">
        <v>No</v>
      </c>
      <c r="L182" s="9" t="str">
        <v>KXIND/W/MV/MC/25078</v>
      </c>
      <c r="M182" s="9">
        <v>45758</v>
      </c>
      <c r="N182" s="9">
        <v>66000</v>
      </c>
      <c r="O182" s="9" t="str">
        <v>November</v>
      </c>
      <c r="P182" s="9" t="str">
        <v>December</v>
      </c>
      <c r="Q182" s="9">
        <v>0.7</v>
      </c>
      <c r="R182" s="9">
        <v>0</v>
      </c>
      <c r="S182" s="9">
        <v>0</v>
      </c>
      <c r="T182" s="9">
        <v>0</v>
      </c>
      <c r="U182" s="9">
        <v>0</v>
      </c>
      <c r="V182" s="9">
        <v>66000</v>
      </c>
      <c r="W182" s="9">
        <v>0</v>
      </c>
      <c r="X182" s="9">
        <v>0</v>
      </c>
      <c r="Y182" s="9">
        <v>0</v>
      </c>
    </row>
    <row r="183" spans="1:25">
      <c r="A183" s="9">
        <v>0</v>
      </c>
      <c r="B183" s="9">
        <v>0</v>
      </c>
      <c r="C183" s="9" t="str">
        <v>Intas Pharmaceuticals Ltd</v>
      </c>
      <c r="D183" s="9" t="str">
        <v>Ahmadabad</v>
      </c>
      <c r="E183" s="9" t="str">
        <v>Maintenance</v>
      </c>
      <c r="F183" s="9" t="str">
        <v>Vinod Prajapati</v>
      </c>
      <c r="G183" s="9">
        <v>9924484458</v>
      </c>
      <c r="H183" s="9" t="str">
        <v>Vinodkumar_prajapati@intaspharma.com</v>
      </c>
      <c r="I183" s="9" t="str">
        <v>12002008/009</v>
      </c>
      <c r="J183" s="9" t="str">
        <v>Contract</v>
      </c>
      <c r="K183" s="9" t="str">
        <v>No</v>
      </c>
      <c r="L183" s="9" t="str">
        <v>KXIND/W/MV/MC/25078</v>
      </c>
      <c r="M183" s="9">
        <v>45758</v>
      </c>
      <c r="N183" s="9">
        <v>66000</v>
      </c>
      <c r="O183" s="9" t="str">
        <v>November</v>
      </c>
      <c r="P183" s="9" t="str">
        <v>December</v>
      </c>
      <c r="Q183" s="9">
        <v>0.7</v>
      </c>
      <c r="R183" s="9">
        <v>0</v>
      </c>
      <c r="S183" s="9">
        <v>0</v>
      </c>
      <c r="T183" s="9">
        <v>0</v>
      </c>
      <c r="U183" s="9">
        <v>0</v>
      </c>
      <c r="V183" s="9">
        <v>66000</v>
      </c>
      <c r="W183" s="9">
        <v>0</v>
      </c>
      <c r="X183" s="9">
        <v>0</v>
      </c>
      <c r="Y183" s="9">
        <v>0</v>
      </c>
    </row>
    <row r="184" spans="1:25">
      <c r="A184" s="9">
        <v>0</v>
      </c>
      <c r="B184" s="9">
        <v>0</v>
      </c>
      <c r="C184" s="9" t="str">
        <v>Intas Pharmaceuticals Ltd</v>
      </c>
      <c r="D184" s="9" t="str">
        <v>Ahmadabad</v>
      </c>
      <c r="E184" s="9" t="str">
        <v>Maintenance</v>
      </c>
      <c r="F184" s="9" t="str">
        <v>Vinod Prajapati</v>
      </c>
      <c r="G184" s="9">
        <v>9924484458</v>
      </c>
      <c r="H184" s="9" t="str">
        <v>Vinodkumar_prajapati@intaspharma.com</v>
      </c>
      <c r="I184" s="9" t="str">
        <v>12002008/010</v>
      </c>
      <c r="J184" s="9" t="str">
        <v>Contract</v>
      </c>
      <c r="K184" s="9" t="str">
        <v>No</v>
      </c>
      <c r="L184" s="9" t="str">
        <v>KXIND/W/MV/MC/25078</v>
      </c>
      <c r="M184" s="9">
        <v>45758</v>
      </c>
      <c r="N184" s="9">
        <v>66000</v>
      </c>
      <c r="O184" s="9" t="str">
        <v>November</v>
      </c>
      <c r="P184" s="9" t="str">
        <v>December</v>
      </c>
      <c r="Q184" s="9">
        <v>0.7</v>
      </c>
      <c r="R184" s="9">
        <v>0</v>
      </c>
      <c r="S184" s="9">
        <v>0</v>
      </c>
      <c r="T184" s="9">
        <v>0</v>
      </c>
      <c r="U184" s="9">
        <v>0</v>
      </c>
      <c r="V184" s="9">
        <v>66000</v>
      </c>
      <c r="W184" s="9">
        <v>0</v>
      </c>
      <c r="X184" s="9">
        <v>0</v>
      </c>
      <c r="Y184" s="9">
        <v>0</v>
      </c>
    </row>
    <row r="185" spans="1:25">
      <c r="A185" s="9">
        <v>105</v>
      </c>
      <c r="B185" s="9">
        <v>45788</v>
      </c>
      <c r="C185" s="9" t="str">
        <v>Grundfos Pumps India Pvt Ltd</v>
      </c>
      <c r="D185" s="9" t="str">
        <v>Ahmadabad</v>
      </c>
      <c r="E185" s="9" t="str">
        <v>Maintenance</v>
      </c>
      <c r="F185" s="9" t="str">
        <v>Govind Rajput</v>
      </c>
      <c r="G185" s="9">
        <v>8469867330</v>
      </c>
      <c r="H185" s="9" t="str">
        <v>rajput@grundfos.com</v>
      </c>
      <c r="I185" s="9" t="str">
        <v>16006392/001</v>
      </c>
      <c r="J185" s="9" t="str">
        <v>Relocation</v>
      </c>
      <c r="K185" s="9" t="str">
        <v>No</v>
      </c>
      <c r="L185" s="9" t="str">
        <v>KXIND/W/MV/RE/25079</v>
      </c>
      <c r="M185" s="9">
        <v>45788</v>
      </c>
      <c r="N185" s="9">
        <v>245600</v>
      </c>
      <c r="O185" s="9" t="str">
        <v>November</v>
      </c>
      <c r="P185" s="9" t="str">
        <v>November</v>
      </c>
      <c r="Q185" s="9">
        <v>0.9</v>
      </c>
      <c r="R185" s="9">
        <v>4518076824</v>
      </c>
      <c r="S185" s="9">
        <v>45972</v>
      </c>
      <c r="T185" s="9">
        <v>245600</v>
      </c>
      <c r="U185" s="9" t="str">
        <v>November</v>
      </c>
      <c r="V185" s="9">
        <v>0</v>
      </c>
      <c r="W185" s="9">
        <v>0</v>
      </c>
      <c r="X185" s="9">
        <v>0</v>
      </c>
      <c r="Y185" s="9">
        <v>0</v>
      </c>
    </row>
    <row r="186" spans="1:25">
      <c r="A186" s="9">
        <v>106</v>
      </c>
      <c r="B186" s="9" t="str">
        <v>23/11/2025</v>
      </c>
      <c r="C186" s="9" t="str">
        <v>Truetzschler India Pvt Ltd</v>
      </c>
      <c r="D186" s="9" t="str">
        <v>Ahmadabad</v>
      </c>
      <c r="E186" s="9" t="str">
        <v>Maintenance</v>
      </c>
      <c r="F186" s="9" t="str">
        <v>Arun N. Kavta</v>
      </c>
      <c r="G186" s="9">
        <v>9376197507</v>
      </c>
      <c r="H186" s="9" t="str">
        <v>ankavta@truetzschler.in</v>
      </c>
      <c r="I186" s="9" t="str">
        <v>18001462/001</v>
      </c>
      <c r="J186" s="9" t="str">
        <v>SPP</v>
      </c>
      <c r="K186" s="9" t="str">
        <v>No</v>
      </c>
      <c r="L186" s="9" t="str">
        <v>KXIND/W/MV/SPP/25080</v>
      </c>
      <c r="M186" s="9" t="str">
        <v>23/11/2025</v>
      </c>
      <c r="N186" s="9">
        <v>97800</v>
      </c>
      <c r="O186" s="9" t="str">
        <v>November</v>
      </c>
      <c r="P186" s="9" t="str">
        <v>December</v>
      </c>
      <c r="Q186" s="9">
        <v>0.7</v>
      </c>
      <c r="R186" s="9" t="str">
        <v>P2505335</v>
      </c>
      <c r="S186" s="9" t="str">
        <v>27/11/2025</v>
      </c>
      <c r="T186" s="9">
        <v>97800</v>
      </c>
      <c r="U186" s="9" t="str">
        <v>November</v>
      </c>
      <c r="V186" s="9">
        <v>0</v>
      </c>
      <c r="W186" s="9">
        <v>0</v>
      </c>
      <c r="X186" s="9">
        <v>0</v>
      </c>
      <c r="Y186" s="9">
        <v>0</v>
      </c>
    </row>
    <row r="187" spans="1:25">
      <c r="A187" s="9">
        <v>107</v>
      </c>
      <c r="B187" s="9" t="str">
        <v>15/12/2025</v>
      </c>
      <c r="C187" s="9" t="str">
        <v>Power Build  Ltd</v>
      </c>
      <c r="D187" s="9" t="str">
        <v>Anand</v>
      </c>
      <c r="E187" s="9" t="str">
        <v>Maintenance</v>
      </c>
      <c r="F187" s="9" t="str">
        <v>Alpesh Thakkar</v>
      </c>
      <c r="G187" s="9" t="str">
        <v>98795 07642</v>
      </c>
      <c r="H187" s="9" t="str">
        <v>ajthakkar@akaaish.com</v>
      </c>
      <c r="I187" s="9" t="str">
        <v>02002802/001</v>
      </c>
      <c r="J187" s="9" t="str">
        <v>SPP</v>
      </c>
      <c r="K187" s="9" t="str">
        <v>No</v>
      </c>
      <c r="L187" s="9" t="str">
        <v>KXIND/W/MV/SPP/25081</v>
      </c>
      <c r="M187" s="9" t="str">
        <v>15/12/2025</v>
      </c>
      <c r="N187" s="9">
        <v>245900</v>
      </c>
      <c r="O187" s="9" t="str">
        <v>December</v>
      </c>
      <c r="P187" s="9" t="str">
        <v>December</v>
      </c>
      <c r="Q187" s="9">
        <v>0.7</v>
      </c>
      <c r="R187" s="9" t="str">
        <v>2512068813/0</v>
      </c>
      <c r="S187" s="9" t="str">
        <v>24/12/2025</v>
      </c>
      <c r="T187" s="9">
        <v>236064</v>
      </c>
      <c r="U187" s="9" t="str">
        <v>December</v>
      </c>
      <c r="V187" s="9">
        <v>0</v>
      </c>
      <c r="W187" s="9">
        <v>0</v>
      </c>
      <c r="X187" s="9">
        <v>0</v>
      </c>
      <c r="Y187" s="9">
        <v>0</v>
      </c>
    </row>
    <row r="188" spans="1:25">
      <c r="A188" s="9">
        <v>108</v>
      </c>
      <c r="B188" s="9" t="str">
        <v>18/12/2025</v>
      </c>
      <c r="C188" s="9" t="str">
        <v>Ferromatik Milacron India Ltd (Milacron India Pvt ltd)</v>
      </c>
      <c r="D188" s="9" t="str">
        <v>Ahmadabad</v>
      </c>
      <c r="E188" s="9" t="str">
        <v>Maintenance</v>
      </c>
      <c r="F188" s="9" t="str">
        <v>Kalpesh Panchal</v>
      </c>
      <c r="G188" s="9">
        <v>9722013361</v>
      </c>
      <c r="H188" s="9" t="str">
        <v>Kalpesh_Panchal@milacron.com</v>
      </c>
      <c r="I188" s="9" t="str">
        <v>11002444/001</v>
      </c>
      <c r="J188" s="9" t="str">
        <v>Contract</v>
      </c>
      <c r="K188" s="9" t="str">
        <v>No</v>
      </c>
      <c r="L188" s="9" t="str">
        <v>KXIND/W/MV/MC/25082</v>
      </c>
      <c r="M188" s="9" t="str">
        <v>18/12/2025</v>
      </c>
      <c r="N188" s="9">
        <v>58500</v>
      </c>
      <c r="O188" s="9" t="str">
        <v>December</v>
      </c>
      <c r="P188" s="9" t="str">
        <v>December</v>
      </c>
      <c r="Q188" s="9">
        <v>0.6</v>
      </c>
      <c r="R188" s="9">
        <v>0</v>
      </c>
      <c r="S188" s="9">
        <v>0</v>
      </c>
      <c r="T188" s="9">
        <v>0</v>
      </c>
      <c r="U188" s="9">
        <v>0</v>
      </c>
      <c r="V188" s="9">
        <v>58500</v>
      </c>
      <c r="W188" s="9">
        <v>0</v>
      </c>
      <c r="X188" s="9">
        <v>0</v>
      </c>
      <c r="Y188" s="9">
        <v>0</v>
      </c>
    </row>
    <row r="189" spans="1:25">
      <c r="A189" s="9">
        <v>0</v>
      </c>
      <c r="B189" s="9">
        <v>0</v>
      </c>
      <c r="C189" s="9">
        <v>0</v>
      </c>
      <c r="D189" s="9" t="str">
        <v>Ahmadabad</v>
      </c>
      <c r="E189" s="9" t="str">
        <v>Maintenance</v>
      </c>
      <c r="F189" s="9" t="str">
        <v>Kalpesh Panchal</v>
      </c>
      <c r="G189" s="9">
        <v>9722013361</v>
      </c>
      <c r="H189" s="9" t="str">
        <v>Kalpesh_Panchal@milacron.com</v>
      </c>
      <c r="I189" s="9" t="str">
        <v>11002457/001</v>
      </c>
      <c r="J189" s="9" t="str">
        <v>Contract</v>
      </c>
      <c r="K189" s="9" t="str">
        <v>No</v>
      </c>
      <c r="L189" s="9" t="str">
        <v>KXIND/W/MV/MC/25082</v>
      </c>
      <c r="M189" s="9" t="str">
        <v>18/12/2025</v>
      </c>
      <c r="N189" s="9">
        <v>58500</v>
      </c>
      <c r="O189" s="9" t="str">
        <v>December</v>
      </c>
      <c r="P189" s="9" t="str">
        <v>December</v>
      </c>
      <c r="Q189" s="9">
        <v>0.6</v>
      </c>
      <c r="R189" s="9">
        <v>0</v>
      </c>
      <c r="S189" s="9">
        <v>0</v>
      </c>
      <c r="T189" s="9">
        <v>0</v>
      </c>
      <c r="U189" s="9">
        <v>0</v>
      </c>
      <c r="V189" s="9">
        <v>58500</v>
      </c>
      <c r="W189" s="9">
        <v>0</v>
      </c>
      <c r="X189" s="9">
        <v>0</v>
      </c>
      <c r="Y189" s="9">
        <v>0</v>
      </c>
    </row>
    <row r="190" spans="1:25">
      <c r="A190" s="9">
        <v>0</v>
      </c>
      <c r="B190" s="9">
        <v>0</v>
      </c>
      <c r="C190" s="9">
        <v>0</v>
      </c>
      <c r="D190" s="9" t="str">
        <v>Ahmadabad</v>
      </c>
      <c r="E190" s="9" t="str">
        <v>Maintenance</v>
      </c>
      <c r="F190" s="9" t="str">
        <v>Kalpesh Panchal</v>
      </c>
      <c r="G190" s="9">
        <v>9722013361</v>
      </c>
      <c r="H190" s="9" t="str">
        <v>Kalpesh_Panchal@milacron.com</v>
      </c>
      <c r="I190" s="9" t="str">
        <v>10003923/001</v>
      </c>
      <c r="J190" s="9" t="str">
        <v>Contract</v>
      </c>
      <c r="K190" s="9" t="str">
        <v>No</v>
      </c>
      <c r="L190" s="9" t="str">
        <v>KXIND/W/MV/MC/25082</v>
      </c>
      <c r="M190" s="9" t="str">
        <v>18/12/2025</v>
      </c>
      <c r="N190" s="9">
        <v>58500</v>
      </c>
      <c r="O190" s="9" t="str">
        <v>December</v>
      </c>
      <c r="P190" s="9" t="str">
        <v>December</v>
      </c>
      <c r="Q190" s="9">
        <v>0.6</v>
      </c>
      <c r="R190" s="9">
        <v>0</v>
      </c>
      <c r="S190" s="9">
        <v>0</v>
      </c>
      <c r="T190" s="9">
        <v>0</v>
      </c>
      <c r="U190" s="9">
        <v>0</v>
      </c>
      <c r="V190" s="9">
        <v>58500</v>
      </c>
      <c r="W190" s="9">
        <v>0</v>
      </c>
      <c r="X190" s="9">
        <v>0</v>
      </c>
      <c r="Y190" s="9">
        <v>0</v>
      </c>
    </row>
    <row r="191" spans="1:25">
      <c r="A191" s="9">
        <v>0</v>
      </c>
      <c r="B191" s="9">
        <v>0</v>
      </c>
      <c r="C191" s="9">
        <v>0</v>
      </c>
      <c r="D191" s="9" t="str">
        <v>Ahmadabad</v>
      </c>
      <c r="E191" s="9" t="str">
        <v>Maintenance</v>
      </c>
      <c r="F191" s="9" t="str">
        <v>Kalpesh Panchal</v>
      </c>
      <c r="G191" s="9">
        <v>9722013361</v>
      </c>
      <c r="H191" s="9" t="str">
        <v>Kalpesh_Panchal@milacron.com</v>
      </c>
      <c r="I191" s="9" t="str">
        <v>22006105/001</v>
      </c>
      <c r="J191" s="9" t="str">
        <v>Contract</v>
      </c>
      <c r="K191" s="9" t="str">
        <v>No</v>
      </c>
      <c r="L191" s="9" t="str">
        <v>KXIND/W/MV/MC/25082</v>
      </c>
      <c r="M191" s="9" t="str">
        <v>18/12/2025</v>
      </c>
      <c r="N191" s="9">
        <v>58500</v>
      </c>
      <c r="O191" s="9" t="str">
        <v>December</v>
      </c>
      <c r="P191" s="9" t="str">
        <v>December</v>
      </c>
      <c r="Q191" s="9">
        <v>0.6</v>
      </c>
      <c r="R191" s="9">
        <v>0</v>
      </c>
      <c r="S191" s="9">
        <v>0</v>
      </c>
      <c r="T191" s="9">
        <v>0</v>
      </c>
      <c r="U191" s="9">
        <v>0</v>
      </c>
      <c r="V191" s="9">
        <v>58500</v>
      </c>
      <c r="W191" s="9">
        <v>0</v>
      </c>
      <c r="X191" s="9">
        <v>0</v>
      </c>
      <c r="Y191" s="9">
        <v>0</v>
      </c>
    </row>
    <row r="192" spans="1:25">
      <c r="A192" s="9">
        <v>0</v>
      </c>
      <c r="B192" s="9">
        <v>0</v>
      </c>
      <c r="C192" s="9">
        <v>0</v>
      </c>
      <c r="D192" s="9" t="str">
        <v>Ahmadabad</v>
      </c>
      <c r="E192" s="9" t="str">
        <v>Maintenance</v>
      </c>
      <c r="F192" s="9" t="str">
        <v>Kalpesh Panchal</v>
      </c>
      <c r="G192" s="9">
        <v>9722013361</v>
      </c>
      <c r="H192" s="9" t="str">
        <v>Kalpesh_Panchal@milacron.com</v>
      </c>
      <c r="I192" s="9" t="str">
        <v>22006105/002</v>
      </c>
      <c r="J192" s="9" t="str">
        <v>Contract</v>
      </c>
      <c r="K192" s="9" t="str">
        <v>No</v>
      </c>
      <c r="L192" s="9" t="str">
        <v>KXIND/W/MV/MC/25082</v>
      </c>
      <c r="M192" s="9" t="str">
        <v>18/12/2025</v>
      </c>
      <c r="N192" s="9">
        <v>58500</v>
      </c>
      <c r="O192" s="9" t="str">
        <v>December</v>
      </c>
      <c r="P192" s="9" t="str">
        <v>December</v>
      </c>
      <c r="Q192" s="9">
        <v>0.6</v>
      </c>
      <c r="R192" s="9">
        <v>0</v>
      </c>
      <c r="S192" s="9">
        <v>0</v>
      </c>
      <c r="T192" s="9">
        <v>0</v>
      </c>
      <c r="U192" s="9">
        <v>0</v>
      </c>
      <c r="V192" s="9">
        <v>58500</v>
      </c>
      <c r="W192" s="9">
        <v>0</v>
      </c>
      <c r="X192" s="9">
        <v>0</v>
      </c>
      <c r="Y192" s="9">
        <v>0</v>
      </c>
    </row>
    <row r="193" spans="1:25">
      <c r="A193" s="9">
        <v>0</v>
      </c>
      <c r="B193" s="9">
        <v>0</v>
      </c>
      <c r="C193" s="9">
        <v>0</v>
      </c>
      <c r="D193" s="9" t="str">
        <v>Ahmadabad</v>
      </c>
      <c r="E193" s="9" t="str">
        <v>Maintenance</v>
      </c>
      <c r="F193" s="9" t="str">
        <v>Kalpesh Panchal</v>
      </c>
      <c r="G193" s="9">
        <v>9722013361</v>
      </c>
      <c r="H193" s="9" t="str">
        <v>Kalpesh_Panchal@milacron.com</v>
      </c>
      <c r="I193" s="9" t="str">
        <v>22006106/001</v>
      </c>
      <c r="J193" s="9" t="str">
        <v>Contract</v>
      </c>
      <c r="K193" s="9" t="str">
        <v>No</v>
      </c>
      <c r="L193" s="9" t="str">
        <v>KXIND/W/MV/MC/25082</v>
      </c>
      <c r="M193" s="9" t="str">
        <v>18/12/2025</v>
      </c>
      <c r="N193" s="9">
        <v>58500</v>
      </c>
      <c r="O193" s="9" t="str">
        <v>December</v>
      </c>
      <c r="P193" s="9" t="str">
        <v>December</v>
      </c>
      <c r="Q193" s="9">
        <v>0.6</v>
      </c>
      <c r="R193" s="9">
        <v>0</v>
      </c>
      <c r="S193" s="9">
        <v>0</v>
      </c>
      <c r="T193" s="9">
        <v>0</v>
      </c>
      <c r="U193" s="9">
        <v>0</v>
      </c>
      <c r="V193" s="9">
        <v>58500</v>
      </c>
      <c r="W193" s="9">
        <v>0</v>
      </c>
      <c r="X193" s="9">
        <v>0</v>
      </c>
      <c r="Y193" s="9">
        <v>0</v>
      </c>
    </row>
    <row r="194" spans="1:25">
      <c r="A194" s="9">
        <v>0</v>
      </c>
      <c r="B194" s="9">
        <v>0</v>
      </c>
      <c r="C194" s="9">
        <v>0</v>
      </c>
      <c r="D194" s="9" t="str">
        <v>Ahmadabad</v>
      </c>
      <c r="E194" s="9" t="str">
        <v>Maintenance</v>
      </c>
      <c r="F194" s="9" t="str">
        <v>Kalpesh Panchal</v>
      </c>
      <c r="G194" s="9">
        <v>9722013361</v>
      </c>
      <c r="H194" s="9" t="str">
        <v>Kalpesh_Panchal@milacron.com</v>
      </c>
      <c r="I194" s="9" t="str">
        <v>22006108/001</v>
      </c>
      <c r="J194" s="9" t="str">
        <v>Contract</v>
      </c>
      <c r="K194" s="9" t="str">
        <v>No</v>
      </c>
      <c r="L194" s="9" t="str">
        <v>KXIND/W/MV/MC/25082</v>
      </c>
      <c r="M194" s="9" t="str">
        <v>18/12/2025</v>
      </c>
      <c r="N194" s="9">
        <v>58500</v>
      </c>
      <c r="O194" s="9" t="str">
        <v>December</v>
      </c>
      <c r="P194" s="9" t="str">
        <v>December</v>
      </c>
      <c r="Q194" s="9">
        <v>0.6</v>
      </c>
      <c r="R194" s="9">
        <v>0</v>
      </c>
      <c r="S194" s="9">
        <v>0</v>
      </c>
      <c r="T194" s="9">
        <v>0</v>
      </c>
      <c r="U194" s="9">
        <v>0</v>
      </c>
      <c r="V194" s="9">
        <v>58500</v>
      </c>
      <c r="W194" s="9">
        <v>0</v>
      </c>
      <c r="X194" s="9">
        <v>0</v>
      </c>
      <c r="Y194" s="9">
        <v>0</v>
      </c>
    </row>
    <row r="195" spans="1:25">
      <c r="A195" s="9">
        <v>109</v>
      </c>
      <c r="B195" s="9" t="str">
        <v>18/12/2025</v>
      </c>
      <c r="C195" s="9" t="str">
        <v>KHS Machinery Pvt Ltd</v>
      </c>
      <c r="D195" s="9" t="str">
        <v>Ahmadabad</v>
      </c>
      <c r="E195" s="9" t="str">
        <v>Maintenance</v>
      </c>
      <c r="F195" s="9" t="str">
        <v>Biresh Banerjee</v>
      </c>
      <c r="G195" s="9">
        <v>9898646272</v>
      </c>
      <c r="H195" s="9" t="str">
        <v>Biresh.Banerjee@khs.com</v>
      </c>
      <c r="I195" s="9" t="str">
        <v>06007041/001</v>
      </c>
      <c r="J195" s="9" t="str">
        <v>Contract</v>
      </c>
      <c r="K195" s="9" t="str">
        <v>No</v>
      </c>
      <c r="L195" s="9" t="str">
        <v>KXIND/W/MV/MC/25083</v>
      </c>
      <c r="M195" s="9" t="str">
        <v>18/12/2025</v>
      </c>
      <c r="N195" s="9">
        <v>57500</v>
      </c>
      <c r="O195" s="9" t="str">
        <v>December</v>
      </c>
      <c r="P195" s="9" t="str">
        <v>December</v>
      </c>
      <c r="Q195" s="9">
        <v>0.6</v>
      </c>
      <c r="R195" s="9">
        <v>0</v>
      </c>
      <c r="S195" s="9">
        <v>0</v>
      </c>
      <c r="T195" s="9">
        <v>0</v>
      </c>
      <c r="U195" s="9">
        <v>0</v>
      </c>
      <c r="V195" s="9">
        <v>57500</v>
      </c>
      <c r="W195" s="9">
        <v>0</v>
      </c>
      <c r="X195" s="9">
        <v>0</v>
      </c>
      <c r="Y195" s="9">
        <v>0</v>
      </c>
    </row>
    <row r="196" spans="1:25">
      <c r="A196" s="9">
        <v>0</v>
      </c>
      <c r="B196" s="9">
        <v>0</v>
      </c>
      <c r="C196" s="9">
        <v>0</v>
      </c>
      <c r="D196" s="9">
        <v>0</v>
      </c>
      <c r="E196" s="9" t="str">
        <v>Maintenance</v>
      </c>
      <c r="F196" s="9" t="str">
        <v>Biresh Banerjee</v>
      </c>
      <c r="G196" s="9">
        <v>9898646272</v>
      </c>
      <c r="H196" s="9" t="str">
        <v>Biresh.Banerjee@khs.com</v>
      </c>
      <c r="I196" s="9" t="str">
        <v>06007041/002</v>
      </c>
      <c r="J196" s="9" t="str">
        <v>Contract</v>
      </c>
      <c r="K196" s="9" t="str">
        <v>No</v>
      </c>
      <c r="L196" s="9" t="str">
        <v>KXIND/W/MV/MC/25083</v>
      </c>
      <c r="M196" s="9" t="str">
        <v>18/12/2025</v>
      </c>
      <c r="N196" s="9">
        <v>57500</v>
      </c>
      <c r="O196" s="9" t="str">
        <v>December</v>
      </c>
      <c r="P196" s="9" t="str">
        <v>December</v>
      </c>
      <c r="Q196" s="9">
        <v>0.6</v>
      </c>
      <c r="R196" s="9">
        <v>0</v>
      </c>
      <c r="S196" s="9">
        <v>0</v>
      </c>
      <c r="T196" s="9">
        <v>0</v>
      </c>
      <c r="U196" s="9">
        <v>0</v>
      </c>
      <c r="V196" s="9">
        <v>57500</v>
      </c>
      <c r="W196" s="9">
        <v>0</v>
      </c>
      <c r="X196" s="9">
        <v>0</v>
      </c>
      <c r="Y196" s="9">
        <v>0</v>
      </c>
    </row>
    <row r="197" spans="1:25">
      <c r="A197" s="9">
        <v>0</v>
      </c>
      <c r="B197" s="9">
        <v>0</v>
      </c>
      <c r="C197" s="9">
        <v>0</v>
      </c>
      <c r="D197" s="9">
        <v>0</v>
      </c>
      <c r="E197" s="9" t="str">
        <v>Maintenance</v>
      </c>
      <c r="F197" s="9" t="str">
        <v>Biresh Banerjee</v>
      </c>
      <c r="G197" s="9">
        <v>9898646272</v>
      </c>
      <c r="H197" s="9" t="str">
        <v>Biresh.Banerjee@khs.com</v>
      </c>
      <c r="I197" s="9" t="str">
        <v>06007041/003</v>
      </c>
      <c r="J197" s="9" t="str">
        <v>Contract</v>
      </c>
      <c r="K197" s="9" t="str">
        <v>No</v>
      </c>
      <c r="L197" s="9" t="str">
        <v>KXIND/W/MV/MC/25083</v>
      </c>
      <c r="M197" s="9" t="str">
        <v>18/12/2025</v>
      </c>
      <c r="N197" s="9">
        <v>57500</v>
      </c>
      <c r="O197" s="9" t="str">
        <v>December</v>
      </c>
      <c r="P197" s="9" t="str">
        <v>December</v>
      </c>
      <c r="Q197" s="9">
        <v>0.6</v>
      </c>
      <c r="R197" s="9">
        <v>0</v>
      </c>
      <c r="S197" s="9">
        <v>0</v>
      </c>
      <c r="T197" s="9">
        <v>0</v>
      </c>
      <c r="U197" s="9">
        <v>0</v>
      </c>
      <c r="V197" s="9">
        <v>57500</v>
      </c>
      <c r="W197" s="9">
        <v>0</v>
      </c>
      <c r="X197" s="9">
        <v>0</v>
      </c>
      <c r="Y197" s="9">
        <v>0</v>
      </c>
    </row>
    <row r="198" spans="1:25">
      <c r="A198" s="9">
        <v>0</v>
      </c>
      <c r="B198" s="9">
        <v>0</v>
      </c>
      <c r="C198" s="9">
        <v>0</v>
      </c>
      <c r="D198" s="9">
        <v>0</v>
      </c>
      <c r="E198" s="9" t="str">
        <v>Maintenance</v>
      </c>
      <c r="F198" s="9" t="str">
        <v>Biresh Banerjee</v>
      </c>
      <c r="G198" s="9">
        <v>9898646272</v>
      </c>
      <c r="H198" s="9" t="str">
        <v>Biresh.Banerjee@khs.com</v>
      </c>
      <c r="I198" s="9" t="str">
        <v>06007041/004</v>
      </c>
      <c r="J198" s="9" t="str">
        <v>Contract</v>
      </c>
      <c r="K198" s="9" t="str">
        <v>No</v>
      </c>
      <c r="L198" s="9" t="str">
        <v>KXIND/W/MV/MC/25083</v>
      </c>
      <c r="M198" s="9" t="str">
        <v>18/12/2025</v>
      </c>
      <c r="N198" s="9">
        <v>57500</v>
      </c>
      <c r="O198" s="9" t="str">
        <v>December</v>
      </c>
      <c r="P198" s="9" t="str">
        <v>December</v>
      </c>
      <c r="Q198" s="9">
        <v>0.6</v>
      </c>
      <c r="R198" s="9">
        <v>0</v>
      </c>
      <c r="S198" s="9">
        <v>0</v>
      </c>
      <c r="T198" s="9">
        <v>0</v>
      </c>
      <c r="U198" s="9">
        <v>0</v>
      </c>
      <c r="V198" s="9">
        <v>57500</v>
      </c>
      <c r="W198" s="9">
        <v>0</v>
      </c>
      <c r="X198" s="9">
        <v>0</v>
      </c>
      <c r="Y198" s="9">
        <v>0</v>
      </c>
    </row>
    <row r="199" spans="1:25">
      <c r="A199" s="9">
        <v>0</v>
      </c>
      <c r="B199" s="9">
        <v>0</v>
      </c>
      <c r="C199" s="9">
        <v>0</v>
      </c>
      <c r="D199" s="9">
        <v>0</v>
      </c>
      <c r="E199" s="9" t="str">
        <v>Maintenance</v>
      </c>
      <c r="F199" s="9" t="str">
        <v>Biresh Banerjee</v>
      </c>
      <c r="G199" s="9">
        <v>9898646272</v>
      </c>
      <c r="H199" s="9" t="str">
        <v>Biresh.Banerjee@khs.com</v>
      </c>
      <c r="I199" s="9" t="str">
        <v>06007041/005</v>
      </c>
      <c r="J199" s="9" t="str">
        <v>Contract</v>
      </c>
      <c r="K199" s="9" t="str">
        <v>No</v>
      </c>
      <c r="L199" s="9" t="str">
        <v>KXIND/W/MV/MC/25083</v>
      </c>
      <c r="M199" s="9" t="str">
        <v>18/12/2025</v>
      </c>
      <c r="N199" s="9">
        <v>57500</v>
      </c>
      <c r="O199" s="9" t="str">
        <v>December</v>
      </c>
      <c r="P199" s="9" t="str">
        <v>December</v>
      </c>
      <c r="Q199" s="9">
        <v>0.6</v>
      </c>
      <c r="R199" s="9">
        <v>0</v>
      </c>
      <c r="S199" s="9">
        <v>0</v>
      </c>
      <c r="T199" s="9">
        <v>0</v>
      </c>
      <c r="U199" s="9">
        <v>0</v>
      </c>
      <c r="V199" s="9">
        <v>57500</v>
      </c>
      <c r="W199" s="9">
        <v>0</v>
      </c>
      <c r="X199" s="9">
        <v>0</v>
      </c>
      <c r="Y199" s="9">
        <v>0</v>
      </c>
    </row>
    <row r="200" spans="1:25">
      <c r="A200" s="9">
        <v>110</v>
      </c>
      <c r="B200" s="9" t="str">
        <v>18/12/2025</v>
      </c>
      <c r="C200" s="9" t="str">
        <v>Turbo Energy Pvt Ltd</v>
      </c>
      <c r="D200" s="9" t="str">
        <v>Vadodara</v>
      </c>
      <c r="E200" s="9" t="str">
        <v>Maintenance</v>
      </c>
      <c r="F200" s="9" t="str">
        <v>Mr. Kabilan</v>
      </c>
      <c r="G200" s="9">
        <v>8072231531</v>
      </c>
      <c r="H200" s="9" t="str">
        <v>TEV_Utility@turboenergy.co.in</v>
      </c>
      <c r="I200" s="9" t="str">
        <v>18001203/001</v>
      </c>
      <c r="J200" s="9" t="str">
        <v>Contract</v>
      </c>
      <c r="K200" s="9" t="str">
        <v>No</v>
      </c>
      <c r="L200" s="9" t="str">
        <v>KXIND/W/MV/MC/25084</v>
      </c>
      <c r="M200" s="9" t="str">
        <v>18/12/2025</v>
      </c>
      <c r="N200" s="9">
        <v>90000</v>
      </c>
      <c r="O200" s="9" t="str">
        <v>December</v>
      </c>
      <c r="P200" s="9" t="str">
        <v>December</v>
      </c>
      <c r="Q200" s="9">
        <v>0.6</v>
      </c>
      <c r="R200" s="9">
        <v>6800050248</v>
      </c>
      <c r="S200" s="9" t="str">
        <v>24/12/2025</v>
      </c>
      <c r="T200" s="9">
        <v>90000</v>
      </c>
      <c r="U200" s="9" t="str">
        <v>December</v>
      </c>
      <c r="V200" s="9">
        <v>0</v>
      </c>
      <c r="W200" s="9">
        <v>0</v>
      </c>
      <c r="X200" s="9">
        <v>0</v>
      </c>
      <c r="Y200" s="9">
        <v>0</v>
      </c>
    </row>
    <row r="201" spans="1:25">
      <c r="A201" s="9">
        <v>111</v>
      </c>
      <c r="B201" s="9" t="str">
        <v>27/12/2025</v>
      </c>
      <c r="C201" s="9" t="str">
        <v>Firmenich Aerometics I Pvt.ltd.</v>
      </c>
      <c r="D201" s="9" t="str">
        <v>Daman</v>
      </c>
      <c r="E201" s="9" t="str">
        <v>QA</v>
      </c>
      <c r="F201" s="9" t="str">
        <v>Niteshkumar Patel</v>
      </c>
      <c r="G201" s="9">
        <v>9033953449</v>
      </c>
      <c r="H201" s="9" t="str">
        <v>Niteshkumar.PATEL@dsm-firmenich.com</v>
      </c>
      <c r="I201" s="9" t="str">
        <v>18001930/001</v>
      </c>
      <c r="J201" s="9" t="str">
        <v>Contract</v>
      </c>
      <c r="K201" s="9" t="str">
        <v>No</v>
      </c>
      <c r="L201" s="9" t="str">
        <v>KXIND/W/MV/MC/25085</v>
      </c>
      <c r="M201" s="9" t="str">
        <v>27/12/2025</v>
      </c>
      <c r="N201" s="9">
        <v>58000</v>
      </c>
      <c r="O201" s="9" t="str">
        <v>December</v>
      </c>
      <c r="P201" s="9" t="str">
        <v>December</v>
      </c>
      <c r="Q201" s="9">
        <v>0.6</v>
      </c>
      <c r="R201" s="9">
        <v>0</v>
      </c>
      <c r="S201" s="9">
        <v>0</v>
      </c>
      <c r="T201" s="9">
        <v>0</v>
      </c>
      <c r="U201" s="9">
        <v>0</v>
      </c>
      <c r="V201" s="9">
        <v>58000</v>
      </c>
      <c r="W201" s="9">
        <v>0</v>
      </c>
      <c r="X201" s="9">
        <v>0</v>
      </c>
      <c r="Y201" s="9">
        <v>0</v>
      </c>
    </row>
    <row r="202" spans="1:25">
      <c r="A202" s="9">
        <v>0</v>
      </c>
      <c r="B202" s="9">
        <v>0</v>
      </c>
      <c r="C202" s="9">
        <v>0</v>
      </c>
      <c r="D202" s="9" t="str">
        <v>Daman</v>
      </c>
      <c r="E202" s="9" t="str">
        <v>QA</v>
      </c>
      <c r="F202" s="9" t="str">
        <v>Niteshkumar Patel</v>
      </c>
      <c r="G202" s="9">
        <v>9033953449</v>
      </c>
      <c r="H202" s="9" t="str">
        <v>Niteshkumar.PATEL@dsm-firmenich.com</v>
      </c>
      <c r="I202" s="9" t="str">
        <v>18001930/002</v>
      </c>
      <c r="J202" s="9" t="str">
        <v>Contract</v>
      </c>
      <c r="K202" s="9" t="str">
        <v>No</v>
      </c>
      <c r="L202" s="9" t="str">
        <v>KXIND/W/MV/MC/25085</v>
      </c>
      <c r="M202" s="9" t="str">
        <v>27/12/2025</v>
      </c>
      <c r="N202" s="9">
        <v>58000</v>
      </c>
      <c r="O202" s="9" t="str">
        <v>December</v>
      </c>
      <c r="P202" s="9" t="str">
        <v>December</v>
      </c>
      <c r="Q202" s="9">
        <v>0.6</v>
      </c>
      <c r="R202" s="9">
        <v>0</v>
      </c>
      <c r="S202" s="9">
        <v>0</v>
      </c>
      <c r="T202" s="9">
        <v>0</v>
      </c>
      <c r="U202" s="9">
        <v>0</v>
      </c>
      <c r="V202" s="9">
        <v>58000</v>
      </c>
      <c r="W202" s="9">
        <v>0</v>
      </c>
      <c r="X202" s="9">
        <v>0</v>
      </c>
      <c r="Y202" s="9">
        <v>0</v>
      </c>
    </row>
    <row r="203" spans="1:25">
      <c r="A203" s="9">
        <v>0</v>
      </c>
      <c r="B203" s="9">
        <v>0</v>
      </c>
      <c r="C203" s="9">
        <v>0</v>
      </c>
      <c r="D203" s="9" t="str">
        <v>Daman</v>
      </c>
      <c r="E203" s="9" t="str">
        <v>QA</v>
      </c>
      <c r="F203" s="9" t="str">
        <v>Niteshkumar Patel</v>
      </c>
      <c r="G203" s="9">
        <v>9033953449</v>
      </c>
      <c r="H203" s="9" t="str">
        <v>Niteshkumar.PATEL@dsm-firmenich.com</v>
      </c>
      <c r="I203" s="9" t="str">
        <v>18001930/003</v>
      </c>
      <c r="J203" s="9" t="str">
        <v>Contract</v>
      </c>
      <c r="K203" s="9" t="str">
        <v>No</v>
      </c>
      <c r="L203" s="9" t="str">
        <v>KXIND/W/MV/MC/25085</v>
      </c>
      <c r="M203" s="9" t="str">
        <v>27/12/2025</v>
      </c>
      <c r="N203" s="9">
        <v>58000</v>
      </c>
      <c r="O203" s="9" t="str">
        <v>December</v>
      </c>
      <c r="P203" s="9" t="str">
        <v>December</v>
      </c>
      <c r="Q203" s="9">
        <v>0.6</v>
      </c>
      <c r="R203" s="9">
        <v>0</v>
      </c>
      <c r="S203" s="9">
        <v>0</v>
      </c>
      <c r="T203" s="9">
        <v>0</v>
      </c>
      <c r="U203" s="9">
        <v>0</v>
      </c>
      <c r="V203" s="9">
        <v>58000</v>
      </c>
      <c r="W203" s="9">
        <v>0</v>
      </c>
      <c r="X203" s="9">
        <v>0</v>
      </c>
      <c r="Y203" s="9">
        <v>0</v>
      </c>
    </row>
    <row r="204" spans="1:25">
      <c r="A204" s="9">
        <v>112</v>
      </c>
      <c r="B204" s="9" t="str">
        <v>27/12/2025</v>
      </c>
      <c r="C204" s="9" t="str">
        <v>Force Motors Ltd</v>
      </c>
      <c r="D204" s="9" t="str">
        <v>pithampur</v>
      </c>
      <c r="E204" s="9" t="str">
        <v>Maintenance</v>
      </c>
      <c r="F204" s="9" t="str">
        <v>Manoj Verma</v>
      </c>
      <c r="G204" s="9">
        <v>9575300235</v>
      </c>
      <c r="H204" s="9" t="str">
        <v>mverma@forcemotors.com</v>
      </c>
      <c r="I204" s="9" t="str">
        <v>15005798/001</v>
      </c>
      <c r="J204" s="9" t="str">
        <v>Contract</v>
      </c>
      <c r="K204" s="9" t="str">
        <v>No</v>
      </c>
      <c r="L204" s="9" t="str">
        <v>KXIND/W/MV/MC/25086</v>
      </c>
      <c r="M204" s="9" t="str">
        <v>27/12/2025</v>
      </c>
      <c r="N204" s="9">
        <v>60000</v>
      </c>
      <c r="O204" s="9" t="str">
        <v>December</v>
      </c>
      <c r="P204" s="9" t="str">
        <v>December</v>
      </c>
      <c r="Q204" s="9">
        <v>0.6</v>
      </c>
      <c r="R204" s="9">
        <v>0</v>
      </c>
      <c r="S204" s="9">
        <v>0</v>
      </c>
      <c r="T204" s="9">
        <v>0</v>
      </c>
      <c r="U204" s="9">
        <v>0</v>
      </c>
      <c r="V204" s="9">
        <v>60000</v>
      </c>
      <c r="W204" s="9">
        <v>0</v>
      </c>
      <c r="X204" s="9">
        <v>0</v>
      </c>
      <c r="Y204" s="9">
        <v>0</v>
      </c>
    </row>
    <row r="205" spans="1:25">
      <c r="A205" s="9">
        <v>113</v>
      </c>
      <c r="B205" s="9" t="str">
        <v>27/12/2025</v>
      </c>
      <c r="C205" s="9" t="str">
        <v>Elecon Engg Co Ltd</v>
      </c>
      <c r="D205" s="9" t="str">
        <v>Anand</v>
      </c>
      <c r="E205" s="9" t="str">
        <v>Purchase</v>
      </c>
      <c r="F205" s="9" t="str">
        <v>Gawrang Soni</v>
      </c>
      <c r="G205" s="9">
        <v>8160147583</v>
      </c>
      <c r="H205" s="9" t="str">
        <v>gjsoni@elecon.com</v>
      </c>
      <c r="I205" s="9" t="str">
        <v>07003522/001</v>
      </c>
      <c r="J205" s="9" t="str">
        <v>SPP</v>
      </c>
      <c r="K205" s="9" t="str">
        <v>Yes</v>
      </c>
      <c r="L205" s="9" t="str">
        <v>KXIND/W/MV/SPP/25087</v>
      </c>
      <c r="M205" s="9" t="str">
        <v>27/12/2025</v>
      </c>
      <c r="N205" s="9">
        <v>175600</v>
      </c>
      <c r="O205" s="9" t="str">
        <v>December</v>
      </c>
      <c r="P205" s="9" t="str">
        <v>December</v>
      </c>
      <c r="Q205" s="9">
        <v>0.6</v>
      </c>
      <c r="R205" s="9">
        <v>0</v>
      </c>
      <c r="S205" s="9">
        <v>0</v>
      </c>
      <c r="T205" s="9">
        <v>0</v>
      </c>
      <c r="U205" s="9">
        <v>0</v>
      </c>
      <c r="V205" s="9">
        <v>175600</v>
      </c>
      <c r="W205" s="9">
        <v>0</v>
      </c>
      <c r="X205" s="9">
        <v>0</v>
      </c>
      <c r="Y205" s="9">
        <v>0</v>
      </c>
    </row>
    <row r="206" spans="1: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  <row r="402" spans="1:25">
      <c r="A402" s="9">
        <v>0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</row>
    <row r="403" spans="1:25">
      <c r="A403" s="9">
        <v>0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</row>
    <row r="404" spans="1:25">
      <c r="A404" s="9">
        <v>0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</row>
  </sheetData>
  <sheetProtection algorithmName="SHA-512" hashValue="eDgupkkRwNxfCYhuqx0/YrxAntDY6d+vcAtuPiLHeu4s0GA1qOHjsnhSzf5niWWs8QIR4RlB5LeHMNJLufCUsA==" saltValue="SJN0rylhl6L999jCpmVna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48C2-7097-48F7-9E0A-DA121B9BD998}">
  <dimension ref="A1:AB374"/>
  <sheetViews>
    <sheetView topLeftCell="A201" zoomScaleNormal="100" zoomScalePageLayoutView="80" workbookViewId="0">
      <selection activeCell="F31" sqref="F31:I31"/>
    </sheetView>
  </sheetViews>
  <sheetFormatPr defaultColWidth="9.44140625" defaultRowHeight="13.8"/>
  <cols>
    <col min="1" max="1" width="10.44140625" style="9" customWidth="1"/>
    <col min="2" max="16384" width="9.44140625" style="9"/>
  </cols>
  <sheetData>
    <row r="1" spans="1:28">
      <c r="A1" s="9" t="str">
        <f>Gajendra!E3</f>
        <v>KARDEX INDIA - LIVE OFFER FUNEL - GAJENDRA - SOUTH</v>
      </c>
    </row>
    <row r="3" spans="1:28">
      <c r="A3" s="9" t="str" cm="1">
        <f t="array" ref="A3:B3">Gajendra!A5:B5</f>
        <v>Total Offers</v>
      </c>
      <c r="B3" s="9">
        <v>112</v>
      </c>
      <c r="T3" s="9" cm="1">
        <f t="array" ref="T3:U5">Gajendra!U4:V6</f>
        <v>0</v>
      </c>
      <c r="U3" s="9">
        <v>52086059.269999996</v>
      </c>
    </row>
    <row r="4" spans="1:28">
      <c r="T4" s="9">
        <v>0</v>
      </c>
      <c r="U4" s="9">
        <v>37997271.070000008</v>
      </c>
    </row>
    <row r="5" spans="1:28">
      <c r="T5" s="9">
        <v>0</v>
      </c>
      <c r="U5" s="9">
        <v>14352607.32</v>
      </c>
    </row>
    <row r="7" spans="1:28">
      <c r="A7" s="9" t="str" cm="1">
        <f t="array" ref="A7:Y374">Gajendra!A7:Y374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19">Gajendra!AC4:AE16</f>
        <v>Month</v>
      </c>
      <c r="AA7" s="9" t="str">
        <v>Offers Total</v>
      </c>
      <c r="AB7" s="9" t="str">
        <v>Order received</v>
      </c>
    </row>
    <row r="8" spans="1:28">
      <c r="A8" s="9">
        <v>1</v>
      </c>
      <c r="B8" s="9">
        <v>45901</v>
      </c>
      <c r="C8" s="9" t="str">
        <v>Bharat Electronics Ltd</v>
      </c>
      <c r="D8" s="9" t="str">
        <v>Bangalore</v>
      </c>
      <c r="E8" s="9" t="str">
        <v>NCS</v>
      </c>
      <c r="F8" s="9" t="str">
        <v>Nagesh</v>
      </c>
      <c r="G8" s="9">
        <v>9900104075</v>
      </c>
      <c r="H8" s="9" t="str">
        <v>purncs@bel.co.in</v>
      </c>
      <c r="I8" s="9" t="str">
        <v>08001086/001</v>
      </c>
      <c r="J8" s="9" t="str">
        <v>Contract</v>
      </c>
      <c r="K8" s="9" t="str">
        <v>No</v>
      </c>
      <c r="L8" s="9" t="str">
        <v>Repet order</v>
      </c>
      <c r="M8" s="9" t="str">
        <v> </v>
      </c>
      <c r="N8" s="9">
        <v>57000</v>
      </c>
      <c r="O8" s="9" t="str">
        <v>January</v>
      </c>
      <c r="P8" s="9" t="str">
        <v>January</v>
      </c>
      <c r="Q8" s="9">
        <v>1</v>
      </c>
      <c r="R8" s="9" t="str">
        <v>BEPO/E3/4800083530</v>
      </c>
      <c r="S8" s="9" t="str">
        <v>23/11/2024</v>
      </c>
      <c r="T8" s="9">
        <v>57000</v>
      </c>
      <c r="U8" s="9" t="str">
        <v>January</v>
      </c>
      <c r="V8" s="9">
        <v>0</v>
      </c>
      <c r="W8" s="9">
        <v>0</v>
      </c>
      <c r="X8" s="9">
        <v>0</v>
      </c>
      <c r="Y8" s="9" t="str">
        <v>21/2/2025</v>
      </c>
      <c r="Z8" s="9" t="str">
        <v>January</v>
      </c>
      <c r="AA8" s="9">
        <v>12057349.48</v>
      </c>
      <c r="AB8" s="9">
        <v>3393373</v>
      </c>
    </row>
    <row r="9" spans="1:28">
      <c r="A9" s="9">
        <v>2</v>
      </c>
      <c r="B9" s="9">
        <v>45901</v>
      </c>
      <c r="C9" s="9" t="str">
        <v>Tata Hitachi Construction Machinery Company Private Limited</v>
      </c>
      <c r="D9" s="9" t="str">
        <v>Dharawad</v>
      </c>
      <c r="E9" s="9" t="str">
        <v>Maint</v>
      </c>
      <c r="F9" s="9" t="str">
        <v>Sanju</v>
      </c>
      <c r="G9" s="9" t="str">
        <v>99723 07796</v>
      </c>
      <c r="H9" s="9" t="str">
        <v>sanju.lamani@tatahitachi.co.in</v>
      </c>
      <c r="I9" s="9" t="str">
        <v>07010648/001</v>
      </c>
      <c r="J9" s="9" t="str">
        <v>Contract</v>
      </c>
      <c r="K9" s="9" t="str">
        <v>No</v>
      </c>
      <c r="L9" s="9" t="str">
        <v>KXIND/S/GA/MC/24028</v>
      </c>
      <c r="M9" s="9">
        <v>45475</v>
      </c>
      <c r="N9" s="9">
        <v>83200</v>
      </c>
      <c r="O9" s="9" t="str">
        <v>January</v>
      </c>
      <c r="P9" s="9" t="str">
        <v>January</v>
      </c>
      <c r="Q9" s="9">
        <v>1</v>
      </c>
      <c r="R9" s="9">
        <v>2800087085</v>
      </c>
      <c r="S9" s="9">
        <v>45506</v>
      </c>
      <c r="T9" s="9">
        <v>83200</v>
      </c>
      <c r="U9" s="9" t="str">
        <v>January</v>
      </c>
      <c r="V9" s="9">
        <v>0</v>
      </c>
      <c r="W9" s="9">
        <v>0</v>
      </c>
      <c r="X9" s="9">
        <v>0</v>
      </c>
      <c r="Y9" s="9" t="str">
        <v>27/1/2025</v>
      </c>
      <c r="Z9" s="9" t="str">
        <v>February</v>
      </c>
      <c r="AA9" s="9">
        <v>1580247.04</v>
      </c>
      <c r="AB9" s="9">
        <v>1318199.8400000001</v>
      </c>
    </row>
    <row r="10" spans="1:28">
      <c r="A10" s="9">
        <v>3</v>
      </c>
      <c r="B10" s="9">
        <v>45901</v>
      </c>
      <c r="C10" s="9" t="str">
        <v>CUMI (CARBORUNDUM UNIVERSAL LIMITED)</v>
      </c>
      <c r="D10" s="9" t="str">
        <v xml:space="preserve">Hosur </v>
      </c>
      <c r="E10" s="9" t="str">
        <v>Maint</v>
      </c>
      <c r="F10" s="9" t="str">
        <v>Ganesan M</v>
      </c>
      <c r="G10" s="9">
        <v>9894536340</v>
      </c>
      <c r="H10" s="9" t="str">
        <v>ganesanmanickam@cumi.murugappa.com</v>
      </c>
      <c r="I10" s="9" t="str">
        <v>19008586/001</v>
      </c>
      <c r="J10" s="9" t="str">
        <v>Contract</v>
      </c>
      <c r="K10" s="9" t="str">
        <v>Yes</v>
      </c>
      <c r="L10" s="9" t="str">
        <v>KXIND/S/GA/MC/24030A</v>
      </c>
      <c r="M10" s="9">
        <v>45516</v>
      </c>
      <c r="N10" s="9">
        <v>304000</v>
      </c>
      <c r="O10" s="9" t="str">
        <v>January</v>
      </c>
      <c r="P10" s="9" t="str">
        <v>January</v>
      </c>
      <c r="Q10" s="9">
        <v>1</v>
      </c>
      <c r="R10" s="9" t="str">
        <v>CICAPO/000019/24</v>
      </c>
      <c r="S10" s="9" t="str">
        <v>26/09/2024</v>
      </c>
      <c r="T10" s="9">
        <v>304000</v>
      </c>
      <c r="U10" s="9" t="str">
        <v>January</v>
      </c>
      <c r="V10" s="9">
        <v>0</v>
      </c>
      <c r="W10" s="9">
        <v>0</v>
      </c>
      <c r="X10" s="9">
        <v>0</v>
      </c>
      <c r="Y10" s="9" t="str">
        <v>15/1/2025</v>
      </c>
      <c r="Z10" s="9" t="str">
        <v>March</v>
      </c>
      <c r="AA10" s="9">
        <v>1876765</v>
      </c>
      <c r="AB10" s="9">
        <v>426778</v>
      </c>
    </row>
    <row r="11" spans="1:28">
      <c r="A11" s="9">
        <v>4</v>
      </c>
      <c r="B11" s="9">
        <v>45901</v>
      </c>
      <c r="C11" s="9" t="str">
        <v>Bharat Electronics Ltd</v>
      </c>
      <c r="D11" s="9" t="str">
        <v>Bangalore</v>
      </c>
      <c r="E11" s="9" t="str">
        <v>MMF</v>
      </c>
      <c r="F11" s="9" t="str">
        <v>Nanda Kishore S M</v>
      </c>
      <c r="G11" s="9" t="str">
        <v>080 - 2219 7454</v>
      </c>
      <c r="H11" s="9" t="str">
        <v>nandakishoresm@bel.co.in</v>
      </c>
      <c r="I11" s="9" t="str">
        <v>9006141/001</v>
      </c>
      <c r="J11" s="9" t="str">
        <v>Contract</v>
      </c>
      <c r="K11" s="9" t="str">
        <v>No</v>
      </c>
      <c r="L11" s="9" t="str">
        <v>KXIND/S/GA/MC/24029</v>
      </c>
      <c r="M11" s="9">
        <v>45478</v>
      </c>
      <c r="N11" s="9">
        <v>59850</v>
      </c>
      <c r="O11" s="9" t="str">
        <v>January</v>
      </c>
      <c r="P11" s="9" t="str">
        <v>January</v>
      </c>
      <c r="Q11" s="9">
        <v>1</v>
      </c>
      <c r="R11" s="9" t="str">
        <v>BEPO/EP/ 4800082450</v>
      </c>
      <c r="S11" s="9" t="str">
        <v>24/10/2024</v>
      </c>
      <c r="T11" s="9">
        <v>59850</v>
      </c>
      <c r="U11" s="9" t="str">
        <v>January</v>
      </c>
      <c r="V11" s="9">
        <v>0</v>
      </c>
      <c r="W11" s="9">
        <v>0</v>
      </c>
      <c r="X11" s="9">
        <v>0</v>
      </c>
      <c r="Y11" s="9">
        <v>45718</v>
      </c>
      <c r="Z11" s="9" t="str">
        <v>April</v>
      </c>
      <c r="AA11" s="9">
        <v>5219211.5999999996</v>
      </c>
      <c r="AB11" s="9">
        <v>4412831.78</v>
      </c>
    </row>
    <row r="12" spans="1:28">
      <c r="A12" s="9">
        <v>5</v>
      </c>
      <c r="B12" s="9">
        <v>45901</v>
      </c>
      <c r="C12" s="9" t="str">
        <v>GPV Lanka Pvt Ltd</v>
      </c>
      <c r="D12" s="9" t="str">
        <v>Srilanka</v>
      </c>
      <c r="E12" s="9" t="str">
        <v>Maint</v>
      </c>
      <c r="F12" s="9" t="str">
        <v>Gaston Delicious</v>
      </c>
      <c r="G12" s="9" t="str">
        <v>+94 772 765 628</v>
      </c>
      <c r="H12" s="9" t="str">
        <v>Gaston.Delicious@gpv-group.com</v>
      </c>
      <c r="I12" s="9" t="str">
        <v>00.002378/001</v>
      </c>
      <c r="J12" s="9" t="str">
        <v>Contract</v>
      </c>
      <c r="K12" s="9" t="str">
        <v>Yes</v>
      </c>
      <c r="L12" s="9" t="str">
        <v>KXIND/S/GA/MC/24043</v>
      </c>
      <c r="M12" s="9" t="str">
        <v>19/11/2024</v>
      </c>
      <c r="N12" s="9">
        <v>94500</v>
      </c>
      <c r="O12" s="9" t="str">
        <v>January</v>
      </c>
      <c r="P12" s="9" t="str">
        <v>January</v>
      </c>
      <c r="Q12" s="9">
        <v>0.9</v>
      </c>
      <c r="R12" s="9" t="str">
        <v>P25-000189</v>
      </c>
      <c r="S12" s="9">
        <v>45664</v>
      </c>
      <c r="T12" s="9">
        <v>94500</v>
      </c>
      <c r="U12" s="9" t="str">
        <v>January</v>
      </c>
      <c r="V12" s="9">
        <v>0</v>
      </c>
      <c r="W12" s="9">
        <v>0</v>
      </c>
      <c r="X12" s="9">
        <v>0</v>
      </c>
      <c r="Y12" s="9">
        <v>0</v>
      </c>
      <c r="Z12" s="9" t="str">
        <v>May</v>
      </c>
      <c r="AA12" s="9">
        <v>2110807.33</v>
      </c>
      <c r="AB12" s="9">
        <v>2716218</v>
      </c>
    </row>
    <row r="13" spans="1:28">
      <c r="A13" s="9">
        <v>6</v>
      </c>
      <c r="B13" s="9">
        <v>45901</v>
      </c>
      <c r="C13" s="9" t="str">
        <v>Honda Motorcycle and Scooter India Pvt. Ltd</v>
      </c>
      <c r="D13" s="9" t="str">
        <v>Kolar</v>
      </c>
      <c r="E13" s="9" t="str">
        <v>Tool Room</v>
      </c>
      <c r="F13" s="9" t="str">
        <v>Gopi Deshapande</v>
      </c>
      <c r="G13" s="9">
        <v>9911259861</v>
      </c>
      <c r="H13" s="9" t="str">
        <v>gopi.deshapande@honda2wheelersindia.com</v>
      </c>
      <c r="I13" s="9" t="str">
        <v>17002413/001</v>
      </c>
      <c r="J13" s="9" t="str">
        <v>Contract</v>
      </c>
      <c r="K13" s="9" t="str">
        <v>No</v>
      </c>
      <c r="L13" s="9" t="str">
        <v>KXIND/S/GA/MC/24040</v>
      </c>
      <c r="M13" s="9">
        <v>45605</v>
      </c>
      <c r="N13" s="9">
        <v>89000</v>
      </c>
      <c r="O13" s="9" t="str">
        <v>January</v>
      </c>
      <c r="P13" s="9" t="str">
        <v>January</v>
      </c>
      <c r="Q13" s="9">
        <v>1</v>
      </c>
      <c r="R13" s="9" t="str">
        <v>NSPR/6000079543</v>
      </c>
      <c r="S13" s="9">
        <v>45661</v>
      </c>
      <c r="T13" s="9">
        <v>89000</v>
      </c>
      <c r="U13" s="9" t="str">
        <v>January</v>
      </c>
      <c r="V13" s="9">
        <v>0</v>
      </c>
      <c r="W13" s="9">
        <v>0</v>
      </c>
      <c r="X13" s="9">
        <v>0</v>
      </c>
      <c r="Y13" s="9" t="str">
        <v>25/2/2025</v>
      </c>
      <c r="Z13" s="9" t="str">
        <v>June</v>
      </c>
      <c r="AA13" s="9">
        <v>1149000</v>
      </c>
      <c r="AB13" s="9">
        <v>2199126.6</v>
      </c>
    </row>
    <row r="14" spans="1:28">
      <c r="A14" s="9">
        <v>7</v>
      </c>
      <c r="B14" s="9">
        <v>45901</v>
      </c>
      <c r="C14" s="9" t="str">
        <v>Bharat Electronics Ltd</v>
      </c>
      <c r="D14" s="9" t="str">
        <v>Bangalore</v>
      </c>
      <c r="E14" s="9" t="str">
        <v xml:space="preserve">Super componenets </v>
      </c>
      <c r="F14" s="9" t="str">
        <v xml:space="preserve">Chintu kumar </v>
      </c>
      <c r="G14" s="9" t="str">
        <v>+91 88845 55104</v>
      </c>
      <c r="H14" s="9" t="str">
        <v>CHINTU KUMAR &lt;chintukumar@bel.co.in&gt;</v>
      </c>
      <c r="I14" s="9" t="str">
        <v>20001848/001</v>
      </c>
      <c r="J14" s="9" t="str">
        <v>Relocation</v>
      </c>
      <c r="K14" s="9" t="str">
        <v>No</v>
      </c>
      <c r="L14" s="9" t="str">
        <v>KXIND/S/GA/REL/24008</v>
      </c>
      <c r="M14" s="9">
        <v>45601</v>
      </c>
      <c r="N14" s="9">
        <v>169500</v>
      </c>
      <c r="O14" s="9" t="str">
        <v>January</v>
      </c>
      <c r="P14" s="9" t="str">
        <v>January</v>
      </c>
      <c r="Q14" s="9">
        <v>1</v>
      </c>
      <c r="R14" s="9">
        <v>4800084016</v>
      </c>
      <c r="S14" s="9" t="str">
        <v>30/11/2024</v>
      </c>
      <c r="T14" s="9">
        <v>169500</v>
      </c>
      <c r="U14" s="9" t="str">
        <v>January</v>
      </c>
      <c r="V14" s="9">
        <v>0</v>
      </c>
      <c r="W14" s="9">
        <v>0</v>
      </c>
      <c r="X14" s="9">
        <v>0</v>
      </c>
      <c r="Y14" s="9">
        <v>45839</v>
      </c>
      <c r="Z14" s="9" t="str">
        <v>July</v>
      </c>
      <c r="AA14" s="9">
        <v>3523330.08</v>
      </c>
      <c r="AB14" s="9">
        <v>114208</v>
      </c>
    </row>
    <row r="15" spans="1:28">
      <c r="A15" s="9">
        <v>8</v>
      </c>
      <c r="B15" s="9">
        <v>45901</v>
      </c>
      <c r="C15" s="9" t="str">
        <v>International Aerospace Manufacturing Pvt Ltd</v>
      </c>
      <c r="D15" s="9" t="str">
        <v>Bangalore</v>
      </c>
      <c r="E15" s="9" t="str">
        <v>Maint</v>
      </c>
      <c r="F15" s="9" t="str">
        <v>Selva Kumar R</v>
      </c>
      <c r="G15" s="9">
        <v>9742009996</v>
      </c>
      <c r="H15" s="9" t="str">
        <v>selvakumar.r@iampl.co.in</v>
      </c>
      <c r="I15" s="9" t="str">
        <v>12004503/001</v>
      </c>
      <c r="J15" s="9" t="str">
        <v>SPP</v>
      </c>
      <c r="K15" s="9" t="str">
        <v>Yes</v>
      </c>
      <c r="L15" s="9" t="str">
        <v>KXIND/S/SPP/GR24-049</v>
      </c>
      <c r="M15" s="9" t="str">
        <v>14/08/2024</v>
      </c>
      <c r="N15" s="9">
        <v>203466</v>
      </c>
      <c r="O15" s="9" t="str">
        <v>January</v>
      </c>
      <c r="P15" s="9" t="str">
        <v>January</v>
      </c>
      <c r="Q15" s="9">
        <v>1</v>
      </c>
      <c r="R15" s="9" t="str">
        <v>BLR-PO-1003400</v>
      </c>
      <c r="S15" s="9" t="str">
        <v>17/12/2024</v>
      </c>
      <c r="T15" s="9">
        <v>203466</v>
      </c>
      <c r="U15" s="9" t="str">
        <v>January</v>
      </c>
      <c r="V15" s="9">
        <v>0</v>
      </c>
      <c r="W15" s="9">
        <v>0</v>
      </c>
      <c r="X15" s="9">
        <v>0</v>
      </c>
      <c r="Y15" s="9" t="str">
        <v>30/1/2025</v>
      </c>
      <c r="Z15" s="9" t="str">
        <v>August</v>
      </c>
      <c r="AA15" s="9">
        <v>1655853.32</v>
      </c>
      <c r="AB15" s="9">
        <v>2032051.01</v>
      </c>
    </row>
    <row r="16" spans="1:28">
      <c r="A16" s="9">
        <v>9</v>
      </c>
      <c r="B16" s="9">
        <v>45901</v>
      </c>
      <c r="C16" s="9" t="str">
        <v>Otto Bilz(India) Pvt Ltd</v>
      </c>
      <c r="D16" s="9" t="str">
        <v>Bangalore</v>
      </c>
      <c r="E16" s="9" t="str">
        <v>Maint</v>
      </c>
      <c r="F16" s="9" t="str">
        <v>Narasimha</v>
      </c>
      <c r="G16" s="9">
        <v>8197508735</v>
      </c>
      <c r="H16" s="9" t="str">
        <v>narasimha@bilzindia.com</v>
      </c>
      <c r="I16" s="9">
        <v>305000032</v>
      </c>
      <c r="J16" s="9" t="str">
        <v>SPP</v>
      </c>
      <c r="K16" s="9" t="str">
        <v>Yes</v>
      </c>
      <c r="L16" s="9" t="str">
        <v>KXIND/S/GA/SPP/24042B</v>
      </c>
      <c r="M16" s="9" t="str">
        <v>30/07/2024</v>
      </c>
      <c r="N16" s="9">
        <v>175142</v>
      </c>
      <c r="O16" s="9" t="str">
        <v>January</v>
      </c>
      <c r="P16" s="9" t="str">
        <v>January</v>
      </c>
      <c r="Q16" s="9">
        <v>1</v>
      </c>
      <c r="R16" s="9" t="str">
        <v>OBI/PUO/2025/00028</v>
      </c>
      <c r="S16" s="9">
        <v>45660</v>
      </c>
      <c r="T16" s="9">
        <v>175142</v>
      </c>
      <c r="U16" s="9" t="str">
        <v>January</v>
      </c>
      <c r="V16" s="9">
        <v>0</v>
      </c>
      <c r="W16" s="9">
        <v>0</v>
      </c>
      <c r="X16" s="9">
        <v>0</v>
      </c>
      <c r="Y16" s="9" t="str">
        <v>30/1/2025</v>
      </c>
      <c r="Z16" s="9" t="str">
        <v>September</v>
      </c>
      <c r="AA16" s="9">
        <v>2205389</v>
      </c>
      <c r="AB16" s="9">
        <v>0</v>
      </c>
    </row>
    <row r="17" spans="1:28">
      <c r="A17" s="9">
        <v>10</v>
      </c>
      <c r="B17" s="9">
        <v>45901</v>
      </c>
      <c r="C17" s="9" t="str">
        <v>Titan Company Limited Watch Division</v>
      </c>
      <c r="D17" s="9" t="str">
        <v>HOSUR</v>
      </c>
      <c r="E17" s="9" t="str">
        <v>die</v>
      </c>
      <c r="F17" s="9" t="str">
        <v>Selvakumar</v>
      </c>
      <c r="G17" s="9">
        <v>7010372298</v>
      </c>
      <c r="H17" s="9" t="str">
        <v>selvakumar@titan.co.in'</v>
      </c>
      <c r="I17" s="9" t="str">
        <v>18002513/001</v>
      </c>
      <c r="J17" s="9" t="str">
        <v>BD Spare</v>
      </c>
      <c r="K17" s="9" t="str">
        <v>No</v>
      </c>
      <c r="L17" s="9" t="str">
        <v>KXIND/S/GA/SPP/24071</v>
      </c>
      <c r="M17" s="9" t="str">
        <v>17/11/2024</v>
      </c>
      <c r="N17" s="9">
        <v>132715</v>
      </c>
      <c r="O17" s="9" t="str">
        <v>January</v>
      </c>
      <c r="P17" s="9" t="str">
        <v>January</v>
      </c>
      <c r="Q17" s="9">
        <v>0.9</v>
      </c>
      <c r="R17" s="9">
        <v>101260192</v>
      </c>
      <c r="S17" s="9" t="str">
        <v>14/12/2024</v>
      </c>
      <c r="T17" s="9">
        <v>132715</v>
      </c>
      <c r="U17" s="9" t="str">
        <v>January</v>
      </c>
      <c r="V17" s="9">
        <v>0</v>
      </c>
      <c r="W17" s="9">
        <v>0</v>
      </c>
      <c r="X17" s="9">
        <v>0</v>
      </c>
      <c r="Y17" s="9" t="str">
        <v>30/1/2025</v>
      </c>
      <c r="Z17" s="9" t="str">
        <v>October</v>
      </c>
      <c r="AA17" s="9">
        <v>19581294</v>
      </c>
      <c r="AB17" s="9">
        <v>6223271.7199999997</v>
      </c>
    </row>
    <row r="18" spans="1:28">
      <c r="A18" s="9">
        <v>11</v>
      </c>
      <c r="B18" s="9">
        <v>45962</v>
      </c>
      <c r="C18" s="9" t="str">
        <v>CUMI (CARBORUNDUM UNIVERSAL LIMITED)</v>
      </c>
      <c r="D18" s="9" t="str">
        <v>HOSUR</v>
      </c>
      <c r="E18" s="9" t="str">
        <v>Maint</v>
      </c>
      <c r="F18" s="9" t="str">
        <v>Samuel M J</v>
      </c>
      <c r="G18" s="9">
        <v>9360011702</v>
      </c>
      <c r="H18" s="9" t="str">
        <v>samuelmj@cumi.murugappa.com</v>
      </c>
      <c r="I18" s="9" t="str">
        <v>22003280/001</v>
      </c>
      <c r="J18" s="9" t="str">
        <v>Contract</v>
      </c>
      <c r="K18" s="9" t="str">
        <v>Yes</v>
      </c>
      <c r="L18" s="9" t="str">
        <v>KXIND/S/GA/MC/25002</v>
      </c>
      <c r="M18" s="9">
        <v>45901</v>
      </c>
      <c r="N18" s="9">
        <v>104000</v>
      </c>
      <c r="O18" s="9" t="str">
        <v>January</v>
      </c>
      <c r="P18" s="9" t="str">
        <v>February</v>
      </c>
      <c r="Q18" s="9">
        <v>0.8</v>
      </c>
      <c r="R18" s="9" t="str">
        <v>CICSPO/002021/24</v>
      </c>
      <c r="S18" s="9">
        <v>45659</v>
      </c>
      <c r="T18" s="9">
        <v>104000</v>
      </c>
      <c r="U18" s="9" t="str">
        <v>February</v>
      </c>
      <c r="V18" s="9">
        <v>0</v>
      </c>
      <c r="W18" s="9">
        <v>0</v>
      </c>
      <c r="X18" s="9">
        <v>0</v>
      </c>
      <c r="Y18" s="9">
        <v>0</v>
      </c>
      <c r="Z18" s="9" t="str">
        <v>November</v>
      </c>
      <c r="AA18" s="9">
        <v>87128</v>
      </c>
      <c r="AB18" s="9">
        <v>13936085.120000001</v>
      </c>
    </row>
    <row r="19" spans="1:28">
      <c r="A19" s="9">
        <v>12</v>
      </c>
      <c r="B19" s="9">
        <v>45962</v>
      </c>
      <c r="C19" s="9" t="str">
        <v>Sansera Engineering Ltd</v>
      </c>
      <c r="D19" s="9" t="str">
        <v>Bangalore</v>
      </c>
      <c r="E19" s="9" t="str">
        <v>maint</v>
      </c>
      <c r="F19" s="9" t="str">
        <v>Gange Gowda</v>
      </c>
      <c r="G19" s="9">
        <v>9980137131</v>
      </c>
      <c r="H19" s="9" t="str">
        <v>gangegowda_dn@sansera.in</v>
      </c>
      <c r="I19" s="9" t="str">
        <v>10006098/001</v>
      </c>
      <c r="J19" s="9" t="str">
        <v>Contract</v>
      </c>
      <c r="K19" s="9" t="str">
        <v>No</v>
      </c>
      <c r="L19" s="9" t="str">
        <v>KXIND/S/GA/MC/25001A</v>
      </c>
      <c r="M19" s="9">
        <v>45809</v>
      </c>
      <c r="N19" s="9">
        <v>104500</v>
      </c>
      <c r="O19" s="9" t="str">
        <v>January</v>
      </c>
      <c r="P19" s="9" t="str">
        <v>April</v>
      </c>
      <c r="Q19" s="9">
        <v>0.9</v>
      </c>
      <c r="R19" s="9">
        <v>1240065413</v>
      </c>
      <c r="S19" s="9" t="str">
        <v>28/03/2025</v>
      </c>
      <c r="T19" s="9">
        <v>102499.98</v>
      </c>
      <c r="U19" s="9" t="str">
        <v>April</v>
      </c>
      <c r="V19" s="9">
        <v>0</v>
      </c>
      <c r="W19" s="9">
        <v>0</v>
      </c>
      <c r="X19" s="9">
        <v>0</v>
      </c>
      <c r="Y19" s="9">
        <v>0</v>
      </c>
      <c r="Z19" s="9" t="str">
        <v>December</v>
      </c>
      <c r="AA19" s="9">
        <v>0</v>
      </c>
      <c r="AB19" s="9">
        <v>565128</v>
      </c>
    </row>
    <row r="20" spans="1:28">
      <c r="A20" s="9">
        <v>13</v>
      </c>
      <c r="B20" s="9" t="str">
        <v>27/04/2025</v>
      </c>
      <c r="C20" s="9" t="str">
        <v xml:space="preserve">Hindustan Aeronautics LTD </v>
      </c>
      <c r="D20" s="9" t="str">
        <v>Bangalore</v>
      </c>
      <c r="E20" s="9" t="str">
        <v>Maint</v>
      </c>
      <c r="F20" s="9" t="str">
        <v>JEYASELVAN</v>
      </c>
      <c r="G20" s="9">
        <v>9481273435</v>
      </c>
      <c r="H20" s="9" t="str">
        <v>jeyaselvan@hal-india.com</v>
      </c>
      <c r="I20" s="9" t="str">
        <v>10000545/001</v>
      </c>
      <c r="J20" s="9" t="str">
        <v>SPP</v>
      </c>
      <c r="K20" s="9" t="str">
        <v>Yes</v>
      </c>
      <c r="L20" s="9" t="str">
        <v>KXIND/S/GA/SPP/25001A</v>
      </c>
      <c r="M20" s="9" t="str">
        <v>27/04/2025</v>
      </c>
      <c r="N20" s="9">
        <v>1988578</v>
      </c>
      <c r="O20" s="9" t="str">
        <v>April</v>
      </c>
      <c r="P20" s="9" t="str">
        <v>October</v>
      </c>
      <c r="Q20" s="9">
        <v>1</v>
      </c>
      <c r="R20" s="9" t="str">
        <v>MI045-1420</v>
      </c>
      <c r="S20" s="9">
        <v>45879</v>
      </c>
      <c r="T20" s="9">
        <v>1948806.44</v>
      </c>
      <c r="U20" s="9" t="str">
        <v>October</v>
      </c>
      <c r="V20" s="9">
        <v>0</v>
      </c>
      <c r="W20" s="9">
        <v>0</v>
      </c>
      <c r="X20" s="9">
        <v>0</v>
      </c>
      <c r="Y20" s="9">
        <v>0</v>
      </c>
    </row>
    <row r="21" spans="1:28">
      <c r="A21" s="9">
        <v>14</v>
      </c>
      <c r="B21" s="9">
        <v>45962</v>
      </c>
      <c r="C21" s="9" t="str">
        <v>Bharat Electronics Ltd</v>
      </c>
      <c r="D21" s="9" t="str">
        <v>Bangalore</v>
      </c>
      <c r="E21" s="9" t="str">
        <v>MR</v>
      </c>
      <c r="F21" s="9" t="str">
        <v>Suresh P N</v>
      </c>
      <c r="G21" s="9" t="str">
        <v>99801 26292</v>
      </c>
      <c r="H21" s="9" t="str">
        <v>sureshpn@bel.co.in</v>
      </c>
      <c r="I21" s="9" t="str">
        <v>17001001/001</v>
      </c>
      <c r="J21" s="9" t="str">
        <v>Contract</v>
      </c>
      <c r="K21" s="9" t="str">
        <v>No</v>
      </c>
      <c r="L21" s="9" t="str">
        <v>KXIND/S/GA/MC/24046</v>
      </c>
      <c r="M21" s="9">
        <v>45638</v>
      </c>
      <c r="N21" s="9">
        <v>62000</v>
      </c>
      <c r="O21" s="9" t="str">
        <v>January</v>
      </c>
      <c r="P21" s="9" t="str">
        <v xml:space="preserve">November </v>
      </c>
      <c r="Q21" s="9">
        <v>0.6</v>
      </c>
      <c r="R21" s="9">
        <v>0</v>
      </c>
      <c r="S21" s="9">
        <v>0</v>
      </c>
      <c r="T21" s="9">
        <v>0</v>
      </c>
      <c r="U21" s="9" t="str">
        <v>November</v>
      </c>
      <c r="V21" s="9">
        <v>62000</v>
      </c>
      <c r="W21" s="9" t="str">
        <v>December, bought forward back log from 2024</v>
      </c>
      <c r="X21" s="9">
        <v>0</v>
      </c>
      <c r="Y21" s="9">
        <v>0</v>
      </c>
    </row>
    <row r="22" spans="1:28">
      <c r="A22" s="9">
        <v>15</v>
      </c>
      <c r="B22" s="9">
        <v>45962</v>
      </c>
      <c r="C22" s="9" t="str">
        <v>GE BE PVT LTD</v>
      </c>
      <c r="D22" s="9" t="str">
        <v>Bangalore</v>
      </c>
      <c r="E22" s="9" t="str">
        <v>GE Healthcare, consultant</v>
      </c>
      <c r="F22" s="9" t="str">
        <v>Hl, Ambarish</v>
      </c>
      <c r="G22" s="9">
        <v>9845203244</v>
      </c>
      <c r="H22" s="9" t="str">
        <v>ambarish.hl@ge.com</v>
      </c>
      <c r="I22" s="9" t="str">
        <v>01011844/ 001</v>
      </c>
      <c r="J22" s="9" t="str">
        <v>Contract</v>
      </c>
      <c r="K22" s="9" t="str">
        <v>No</v>
      </c>
      <c r="L22" s="9" t="str">
        <v>KXIND/S/GA/MC/24045</v>
      </c>
      <c r="M22" s="9">
        <v>45638</v>
      </c>
      <c r="N22" s="9">
        <v>111000</v>
      </c>
      <c r="O22" s="9" t="str">
        <v>January</v>
      </c>
      <c r="P22" s="9" t="str">
        <v>February</v>
      </c>
      <c r="Q22" s="9">
        <v>0.8</v>
      </c>
      <c r="R22" s="9" t="str">
        <v>G80010000936228</v>
      </c>
      <c r="S22" s="9" t="str">
        <v>February, 23 2025</v>
      </c>
      <c r="T22" s="9">
        <v>111000</v>
      </c>
      <c r="U22" s="9" t="str">
        <v>February</v>
      </c>
      <c r="V22" s="9">
        <v>0</v>
      </c>
      <c r="W22" s="9" t="str">
        <v>December, bought forward back log from 2024</v>
      </c>
      <c r="X22" s="9">
        <v>0</v>
      </c>
      <c r="Y22" s="9">
        <v>0</v>
      </c>
    </row>
    <row r="23" spans="1:28">
      <c r="A23" s="9">
        <v>16</v>
      </c>
      <c r="B23" s="9">
        <v>45962</v>
      </c>
      <c r="C23" s="9" t="str">
        <v>AUTOMOTIVE AXEL PVT LTD</v>
      </c>
      <c r="D23" s="9" t="str">
        <v>MYSORE</v>
      </c>
      <c r="E23" s="9" t="str">
        <v>Maint</v>
      </c>
      <c r="F23" s="9" t="str">
        <v>Kiran Kumar</v>
      </c>
      <c r="G23" s="9" t="str">
        <v>99801 91140</v>
      </c>
      <c r="H23" s="9" t="str">
        <v>kirankumar@autoaxle.com</v>
      </c>
      <c r="I23" s="9" t="str">
        <v>06000270/001</v>
      </c>
      <c r="J23" s="9" t="str">
        <v>Contract</v>
      </c>
      <c r="K23" s="9" t="str">
        <v>No</v>
      </c>
      <c r="L23" s="9" t="str">
        <v>KXIND/S/GA/MC/24047</v>
      </c>
      <c r="M23" s="9" t="str">
        <v>26-12-2024</v>
      </c>
      <c r="N23" s="9">
        <v>66080</v>
      </c>
      <c r="O23" s="9" t="str">
        <v>January</v>
      </c>
      <c r="P23" s="9" t="str">
        <v>April</v>
      </c>
      <c r="Q23" s="9">
        <v>0.9</v>
      </c>
      <c r="R23" s="9">
        <v>3400014785</v>
      </c>
      <c r="S23" s="9" t="str">
        <v>19/03/2025</v>
      </c>
      <c r="T23" s="9">
        <v>66080</v>
      </c>
      <c r="U23" s="9" t="str">
        <v>April</v>
      </c>
      <c r="V23" s="9">
        <v>0</v>
      </c>
      <c r="W23" s="9" t="str">
        <v>December, bought forward back log from 2024</v>
      </c>
      <c r="X23" s="9">
        <v>0</v>
      </c>
      <c r="Y23" s="9">
        <v>0</v>
      </c>
    </row>
    <row r="24" spans="1:28">
      <c r="A24" s="9">
        <v>17</v>
      </c>
      <c r="B24" s="9">
        <v>45962</v>
      </c>
      <c r="C24" s="9" t="str">
        <v>Schaeffler India Limited</v>
      </c>
      <c r="D24" s="9" t="str">
        <v>HOSUR</v>
      </c>
      <c r="E24" s="9" t="str">
        <v>Tool Room</v>
      </c>
      <c r="F24" s="9" t="str">
        <v>Sasi Kumar</v>
      </c>
      <c r="G24" s="9">
        <v>7358102975</v>
      </c>
      <c r="H24" s="9" t="str">
        <v>kailassi@schaeffler.com</v>
      </c>
      <c r="I24" s="9" t="str">
        <v>17004823/001</v>
      </c>
      <c r="J24" s="9" t="str">
        <v>Relocation</v>
      </c>
      <c r="K24" s="9" t="str">
        <v>No</v>
      </c>
      <c r="L24" s="9" t="str">
        <v>KXIND/S/GA/REL/24010</v>
      </c>
      <c r="M24" s="9" t="str">
        <v>25/11/2024</v>
      </c>
      <c r="N24" s="9">
        <v>635000</v>
      </c>
      <c r="O24" s="9" t="str">
        <v>January</v>
      </c>
      <c r="P24" s="9" t="str">
        <v>December</v>
      </c>
      <c r="Q24" s="9">
        <v>0.9</v>
      </c>
      <c r="R24" s="9">
        <v>0</v>
      </c>
      <c r="S24" s="9">
        <v>0</v>
      </c>
      <c r="T24" s="9">
        <v>0</v>
      </c>
      <c r="U24" s="9">
        <v>0</v>
      </c>
      <c r="V24" s="9">
        <v>635000</v>
      </c>
      <c r="W24" s="9" t="str">
        <v>November, bought forward back log from 2024</v>
      </c>
      <c r="X24" s="9">
        <v>0</v>
      </c>
      <c r="Y24" s="9">
        <v>0</v>
      </c>
    </row>
    <row r="25" spans="1:28">
      <c r="A25" s="9">
        <v>18</v>
      </c>
      <c r="B25" s="9">
        <v>45962</v>
      </c>
      <c r="C25" s="9" t="str">
        <v>Rittal India Pvt Ltd</v>
      </c>
      <c r="D25" s="9" t="str">
        <v>Doddaballapura</v>
      </c>
      <c r="E25" s="9" t="str">
        <v> </v>
      </c>
      <c r="F25" s="9" t="str">
        <v>Siddegowda A G</v>
      </c>
      <c r="G25" s="9" t="str">
        <v>+91 82962 60470</v>
      </c>
      <c r="H25" s="9" t="str">
        <v>siddegowda.ag@rittal-india.com</v>
      </c>
      <c r="I25" s="9" t="str">
        <v>08003615/001</v>
      </c>
      <c r="J25" s="9" t="str">
        <v>Contract</v>
      </c>
      <c r="K25" s="9" t="str">
        <v>No</v>
      </c>
      <c r="L25" s="9" t="str">
        <v>KXIND/S/GA/MC/24039</v>
      </c>
      <c r="M25" s="9" t="str">
        <v>17/10/2024</v>
      </c>
      <c r="N25" s="9">
        <v>99500</v>
      </c>
      <c r="O25" s="9" t="str">
        <v>January</v>
      </c>
      <c r="P25" s="9" t="str">
        <v xml:space="preserve">March </v>
      </c>
      <c r="Q25" s="9">
        <v>1</v>
      </c>
      <c r="R25" s="9">
        <v>4500262958</v>
      </c>
      <c r="S25" s="9">
        <v>45964</v>
      </c>
      <c r="T25" s="9">
        <v>99500</v>
      </c>
      <c r="U25" s="9" t="str">
        <v>March</v>
      </c>
      <c r="V25" s="9">
        <v>0</v>
      </c>
      <c r="W25" s="9" t="str">
        <v>October, bought forward back log from 2024</v>
      </c>
      <c r="X25" s="9">
        <v>0</v>
      </c>
      <c r="Y25" s="9">
        <v>0</v>
      </c>
    </row>
    <row r="26" spans="1:28">
      <c r="A26" s="9">
        <v>19</v>
      </c>
      <c r="B26" s="9">
        <v>45962</v>
      </c>
      <c r="C26" s="9" t="str">
        <v>Honda Motorcycle and Scooter India Pvt. Ltd</v>
      </c>
      <c r="D26" s="9" t="str">
        <v>Kolar</v>
      </c>
      <c r="E26" s="9" t="str">
        <v>MS</v>
      </c>
      <c r="F26" s="9" t="str">
        <v>Shashi Kumar. S</v>
      </c>
      <c r="G26" s="9">
        <v>9289053639</v>
      </c>
      <c r="H26" s="9" t="str">
        <v>shashikumar.s@honda2wheelersindia.com</v>
      </c>
      <c r="I26" s="9" t="str">
        <v>17008071/001</v>
      </c>
      <c r="J26" s="9" t="str">
        <v>Contract</v>
      </c>
      <c r="K26" s="9" t="str">
        <v>No</v>
      </c>
      <c r="L26" s="9" t="str">
        <v>KXIND/S/GA/MC/24041</v>
      </c>
      <c r="M26" s="9" t="str">
        <v>21/10/2024</v>
      </c>
      <c r="N26" s="9">
        <v>89000</v>
      </c>
      <c r="O26" s="9" t="str">
        <v>January</v>
      </c>
      <c r="P26" s="9" t="str">
        <v>May</v>
      </c>
      <c r="Q26" s="9">
        <v>1</v>
      </c>
      <c r="R26" s="9" t="str">
        <v>NSPR/6000081796</v>
      </c>
      <c r="S26" s="9" t="str">
        <v>26/04/2025</v>
      </c>
      <c r="T26" s="9">
        <v>89000</v>
      </c>
      <c r="U26" s="9" t="str">
        <v>May</v>
      </c>
      <c r="V26" s="9">
        <v>0</v>
      </c>
      <c r="W26" s="9" t="str">
        <v>October, bought forward back log from 2024</v>
      </c>
      <c r="X26" s="9">
        <v>0</v>
      </c>
      <c r="Y26" s="9">
        <v>0</v>
      </c>
    </row>
    <row r="27" spans="1:28">
      <c r="A27" s="9">
        <v>20</v>
      </c>
      <c r="B27" s="9">
        <v>45962</v>
      </c>
      <c r="C27" s="9" t="str">
        <v>Taegutec India Pvt Ltd</v>
      </c>
      <c r="D27" s="9" t="str">
        <v>Bangalore</v>
      </c>
      <c r="E27" s="9" t="str">
        <v>maint</v>
      </c>
      <c r="F27" s="9" t="str">
        <v>Suresha N</v>
      </c>
      <c r="G27" s="9">
        <v>9590027444</v>
      </c>
      <c r="H27" s="9" t="str">
        <v>suresha.n@taegutec-india.com</v>
      </c>
      <c r="I27" s="9" t="str">
        <v>16003045/001</v>
      </c>
      <c r="J27" s="9" t="str">
        <v>Contract</v>
      </c>
      <c r="K27" s="9" t="str">
        <v>No</v>
      </c>
      <c r="L27" s="9" t="str">
        <v>KXIND/S/GA/MC/24037</v>
      </c>
      <c r="M27" s="9">
        <v>45574</v>
      </c>
      <c r="N27" s="9">
        <v>75000</v>
      </c>
      <c r="O27" s="9" t="str">
        <v>January</v>
      </c>
      <c r="P27" s="9" t="str">
        <v>February</v>
      </c>
      <c r="Q27" s="9">
        <v>1</v>
      </c>
      <c r="R27" s="9">
        <v>124919</v>
      </c>
      <c r="S27" s="9" t="str">
        <v>28/01/2025</v>
      </c>
      <c r="T27" s="9">
        <v>72000</v>
      </c>
      <c r="U27" s="9" t="str">
        <v>January</v>
      </c>
      <c r="V27" s="9">
        <v>0</v>
      </c>
      <c r="W27" s="9">
        <v>0</v>
      </c>
      <c r="X27" s="9">
        <v>0</v>
      </c>
      <c r="Y27" s="9">
        <v>45840</v>
      </c>
    </row>
    <row r="28" spans="1:28">
      <c r="A28" s="9">
        <v>21</v>
      </c>
      <c r="B28" s="9" t="str">
        <v>31/1/2025</v>
      </c>
      <c r="C28" s="9" t="str">
        <v>Bharat Electronics Ltd</v>
      </c>
      <c r="D28" s="9" t="str">
        <v>Bangalore</v>
      </c>
      <c r="E28" s="9" t="str">
        <v>NS1</v>
      </c>
      <c r="F28" s="9" t="str">
        <v>Muralidharan M</v>
      </c>
      <c r="G28" s="9">
        <v>9008097055</v>
      </c>
      <c r="H28" s="9" t="str">
        <v>muralidharanm@bel.co.in</v>
      </c>
      <c r="I28" s="9" t="str">
        <v>98011682/001</v>
      </c>
      <c r="J28" s="9" t="str">
        <v>Contract</v>
      </c>
      <c r="K28" s="9" t="str">
        <v>no</v>
      </c>
      <c r="L28" s="9" t="str">
        <v>KXIND/S/GA/MC/25004</v>
      </c>
      <c r="M28" s="9" t="str">
        <v>28/01/2025</v>
      </c>
      <c r="N28" s="9">
        <v>59850</v>
      </c>
      <c r="O28" s="9" t="str">
        <v>January</v>
      </c>
      <c r="P28" s="9" t="str">
        <v>April</v>
      </c>
      <c r="Q28" s="9">
        <v>0.8</v>
      </c>
      <c r="R28" s="9">
        <v>4800086922</v>
      </c>
      <c r="S28" s="9" t="str">
        <v>31.03.2025</v>
      </c>
      <c r="T28" s="9">
        <v>59850</v>
      </c>
      <c r="U28" s="9" t="str">
        <v>April</v>
      </c>
      <c r="V28" s="9">
        <v>0</v>
      </c>
      <c r="W28" s="9">
        <v>0</v>
      </c>
      <c r="X28" s="9">
        <v>0</v>
      </c>
      <c r="Y28" s="9">
        <v>0</v>
      </c>
    </row>
    <row r="29" spans="1:28">
      <c r="A29" s="9">
        <v>22</v>
      </c>
      <c r="B29" s="9">
        <v>45779</v>
      </c>
      <c r="C29" s="9" t="str">
        <v>AUTOMOTIVE AXEL PVT LTD</v>
      </c>
      <c r="D29" s="9" t="str">
        <v>Mysore</v>
      </c>
      <c r="E29" s="9" t="str">
        <v>Maint</v>
      </c>
      <c r="F29" s="9" t="str">
        <v>Kiran Kumar</v>
      </c>
      <c r="G29" s="9" t="str">
        <v>99801 91140</v>
      </c>
      <c r="H29" s="9" t="str">
        <v>kirankumar@autoaxle.com</v>
      </c>
      <c r="I29" s="9" t="str">
        <v>06000270/002</v>
      </c>
      <c r="J29" s="9" t="str">
        <v>SPP</v>
      </c>
      <c r="K29" s="9" t="str">
        <v>Yes</v>
      </c>
      <c r="L29" s="9" t="str">
        <v>KXIND/S/GA/SPP/25002A</v>
      </c>
      <c r="M29" s="9">
        <v>45749</v>
      </c>
      <c r="N29" s="9">
        <v>1426200.8</v>
      </c>
      <c r="O29" s="9" t="str">
        <v>January</v>
      </c>
      <c r="P29" s="9" t="str">
        <v>May</v>
      </c>
      <c r="Q29" s="9">
        <v>0.6</v>
      </c>
      <c r="R29" s="9">
        <v>3600022888</v>
      </c>
      <c r="S29" s="9" t="str">
        <v>22.05.2025</v>
      </c>
      <c r="T29" s="9">
        <v>1355270</v>
      </c>
      <c r="U29" s="9" t="str">
        <v>May</v>
      </c>
      <c r="V29" s="9">
        <v>0</v>
      </c>
      <c r="W29" s="9">
        <v>0</v>
      </c>
      <c r="X29" s="9">
        <v>0</v>
      </c>
      <c r="Y29" s="9">
        <v>0</v>
      </c>
    </row>
    <row r="30" spans="1:28">
      <c r="A30" s="9">
        <v>23</v>
      </c>
      <c r="B30" s="9">
        <v>45659</v>
      </c>
      <c r="C30" s="9" t="str">
        <v xml:space="preserve">Hindustan Aeronautics LTD </v>
      </c>
      <c r="D30" s="9" t="str">
        <v>Bangalore</v>
      </c>
      <c r="E30" s="9" t="str">
        <v>AD</v>
      </c>
      <c r="F30" s="9" t="str">
        <v>Jeyaselvan</v>
      </c>
      <c r="G30" s="9">
        <v>9481273435</v>
      </c>
      <c r="H30" s="9" t="str">
        <v>purchase_ac@hal-india.co.in</v>
      </c>
      <c r="I30" s="9" t="str">
        <v>10000545/001</v>
      </c>
      <c r="J30" s="9" t="str">
        <v>Contract</v>
      </c>
      <c r="K30" s="9" t="str">
        <v>No</v>
      </c>
      <c r="L30" s="9" t="str">
        <v>Online submission</v>
      </c>
      <c r="M30" s="9">
        <v>45629</v>
      </c>
      <c r="N30" s="9">
        <v>68898</v>
      </c>
      <c r="O30" s="9" t="str">
        <v>January</v>
      </c>
      <c r="P30" s="9" t="str">
        <v>July</v>
      </c>
      <c r="Q30" s="9">
        <v>1</v>
      </c>
      <c r="R30" s="9" t="str">
        <v>MI044-313</v>
      </c>
      <c r="S30" s="9" t="str">
        <v>24/06/2024</v>
      </c>
      <c r="T30" s="9">
        <v>68898</v>
      </c>
      <c r="U30" s="9" t="str">
        <v>June</v>
      </c>
      <c r="V30" s="9">
        <v>0</v>
      </c>
      <c r="W30" s="9">
        <v>0</v>
      </c>
      <c r="X30" s="9">
        <v>0</v>
      </c>
      <c r="Y30" s="9">
        <v>0</v>
      </c>
    </row>
    <row r="31" spans="1:28">
      <c r="A31" s="9">
        <v>24</v>
      </c>
      <c r="B31" s="9">
        <v>45659</v>
      </c>
      <c r="C31" s="9" t="str">
        <v xml:space="preserve">Hindustan Aeronautics LTD </v>
      </c>
      <c r="D31" s="9" t="str">
        <v>Bangalore</v>
      </c>
      <c r="E31" s="9" t="str">
        <v>ED</v>
      </c>
      <c r="F31" s="9" t="str">
        <v>Ravi Madha</v>
      </c>
      <c r="G31" s="9">
        <v>9972356437</v>
      </c>
      <c r="H31" s="9" t="str">
        <v>ravi.madhav@hal-india.com</v>
      </c>
      <c r="I31" s="9" t="str">
        <v>16000086/002</v>
      </c>
      <c r="J31" s="9" t="str">
        <v>Contract</v>
      </c>
      <c r="K31" s="9" t="str">
        <v>No</v>
      </c>
      <c r="L31" s="9" t="str">
        <v>KXIND/GA/MC122020</v>
      </c>
      <c r="M31" s="9" t="str">
        <v>28-07-2022</v>
      </c>
      <c r="N31" s="9">
        <v>85000</v>
      </c>
      <c r="O31" s="9" t="str">
        <v>January</v>
      </c>
      <c r="P31" s="9" t="str">
        <v>January</v>
      </c>
      <c r="Q31" s="9">
        <v>1</v>
      </c>
      <c r="R31" s="9">
        <v>16882358</v>
      </c>
      <c r="S31" s="9" t="str">
        <v>31-10-2022</v>
      </c>
      <c r="T31" s="9">
        <v>85000</v>
      </c>
      <c r="U31" s="9" t="str">
        <v>January</v>
      </c>
      <c r="V31" s="9">
        <v>0</v>
      </c>
      <c r="W31" s="9">
        <v>0</v>
      </c>
      <c r="X31" s="9">
        <v>0</v>
      </c>
      <c r="Y31" s="9" t="str">
        <v>31/1/2025</v>
      </c>
    </row>
    <row r="32" spans="1:28">
      <c r="A32" s="9">
        <v>25</v>
      </c>
      <c r="B32" s="9">
        <v>45659</v>
      </c>
      <c r="C32" s="9" t="str">
        <v>Bharat Electronics Ltd</v>
      </c>
      <c r="D32" s="9" t="str">
        <v>Bangalore</v>
      </c>
      <c r="E32" s="9" t="str">
        <v>MS</v>
      </c>
      <c r="F32" s="9" t="str">
        <v>Manimaran B</v>
      </c>
      <c r="G32" s="9">
        <v>9483049074</v>
      </c>
      <c r="H32" s="9" t="str">
        <v>manimaranb@bel.co.in</v>
      </c>
      <c r="I32" s="9" t="str">
        <v>18000848/001</v>
      </c>
      <c r="J32" s="9" t="str">
        <v>Contract</v>
      </c>
      <c r="K32" s="9" t="str">
        <v>No</v>
      </c>
      <c r="L32" s="9" t="str">
        <v>KXIND/S/AMC/GR23-061</v>
      </c>
      <c r="M32" s="9" t="str">
        <v>15/10/2023</v>
      </c>
      <c r="N32" s="9">
        <v>59000</v>
      </c>
      <c r="O32" s="9" t="str">
        <v>January</v>
      </c>
      <c r="P32" s="9" t="str">
        <v>February</v>
      </c>
      <c r="Q32" s="9">
        <v>1</v>
      </c>
      <c r="R32" s="9" t="str">
        <v>BEPO/MS1/4800077496</v>
      </c>
      <c r="S32" s="9">
        <v>45293</v>
      </c>
      <c r="T32" s="9">
        <v>59000</v>
      </c>
      <c r="U32" s="9" t="str">
        <v>February</v>
      </c>
      <c r="V32" s="9">
        <v>0</v>
      </c>
      <c r="W32" s="9">
        <v>0</v>
      </c>
      <c r="X32" s="9">
        <v>0</v>
      </c>
      <c r="Y32" s="9">
        <v>0</v>
      </c>
    </row>
    <row r="33" spans="1:25">
      <c r="A33" s="9">
        <v>26</v>
      </c>
      <c r="B33" s="9">
        <v>45659</v>
      </c>
      <c r="C33" s="9" t="str">
        <v>Bharat Electronics Ltd</v>
      </c>
      <c r="D33" s="9" t="str">
        <v>Bangalore</v>
      </c>
      <c r="E33" s="9" t="str">
        <v>EW&amp;A</v>
      </c>
      <c r="F33" s="9" t="str">
        <v>Lingaraju</v>
      </c>
      <c r="G33" s="9">
        <v>8147347034</v>
      </c>
      <c r="H33" s="9" t="str">
        <v>lingarajun@bel.co.in</v>
      </c>
      <c r="I33" s="9" t="str">
        <v>12008443/001</v>
      </c>
      <c r="J33" s="9" t="str">
        <v>Contract</v>
      </c>
      <c r="K33" s="9" t="str">
        <v>No</v>
      </c>
      <c r="L33" s="9" t="str">
        <v>KXIND/S/AMC/GR23-007</v>
      </c>
      <c r="M33" s="9">
        <v>45172</v>
      </c>
      <c r="N33" s="9">
        <v>58000</v>
      </c>
      <c r="O33" s="9" t="str">
        <v>January</v>
      </c>
      <c r="P33" s="9" t="str">
        <v>october</v>
      </c>
      <c r="Q33" s="9">
        <v>1</v>
      </c>
      <c r="R33" s="9" t="str">
        <v>BEPO/H1/4800069354</v>
      </c>
      <c r="S33" s="9">
        <v>45056</v>
      </c>
      <c r="T33" s="9">
        <v>58000</v>
      </c>
      <c r="U33" s="9" t="str">
        <v>october</v>
      </c>
      <c r="V33" s="9">
        <v>0</v>
      </c>
      <c r="W33" s="9">
        <v>0</v>
      </c>
      <c r="X33" s="9">
        <v>0</v>
      </c>
      <c r="Y33" s="9">
        <v>0</v>
      </c>
    </row>
    <row r="34" spans="1:25">
      <c r="A34" s="9">
        <v>27</v>
      </c>
      <c r="B34" s="9">
        <v>45659</v>
      </c>
      <c r="C34" s="9" t="str">
        <v>Bharat Electronics Ltd</v>
      </c>
      <c r="D34" s="9" t="str">
        <v>Bangalore</v>
      </c>
      <c r="E34" s="9" t="str">
        <v>EW&amp;A</v>
      </c>
      <c r="F34" s="9" t="str">
        <v>Sathish J</v>
      </c>
      <c r="G34" s="9">
        <v>9740619050</v>
      </c>
      <c r="H34" s="9" t="str">
        <v>sathishj@bel.co.in</v>
      </c>
      <c r="I34" s="9" t="str">
        <v>18000194/001</v>
      </c>
      <c r="J34" s="9" t="str">
        <v>Contract</v>
      </c>
      <c r="K34" s="9" t="str">
        <v>No</v>
      </c>
      <c r="L34" s="9" t="str">
        <v>Online submission</v>
      </c>
      <c r="M34" s="9">
        <v>45017</v>
      </c>
      <c r="N34" s="9">
        <v>58000</v>
      </c>
      <c r="O34" s="9" t="str">
        <v>January</v>
      </c>
      <c r="P34" s="9" t="str">
        <v>May</v>
      </c>
      <c r="Q34" s="9">
        <v>1</v>
      </c>
      <c r="R34" s="9" t="str">
        <v>BEPO/H1/4800073181</v>
      </c>
      <c r="S34" s="9" t="str">
        <v>29/04/2023</v>
      </c>
      <c r="T34" s="9">
        <v>58000</v>
      </c>
      <c r="U34" s="9" t="str">
        <v>May</v>
      </c>
      <c r="V34" s="9">
        <v>0</v>
      </c>
      <c r="W34" s="9">
        <v>0</v>
      </c>
      <c r="X34" s="9">
        <v>0</v>
      </c>
      <c r="Y34" s="9">
        <v>0</v>
      </c>
    </row>
    <row r="35" spans="1:25">
      <c r="A35" s="9">
        <v>28</v>
      </c>
      <c r="B35" s="9">
        <v>45659</v>
      </c>
      <c r="C35" s="9" t="str">
        <v>Titan Enginnering and Automation Ltd</v>
      </c>
      <c r="D35" s="9" t="str">
        <v>HOSUR</v>
      </c>
      <c r="E35" s="9" t="str">
        <v xml:space="preserve">Unit 2 </v>
      </c>
      <c r="F35" s="9" t="str">
        <v>Satheesh V</v>
      </c>
      <c r="G35" s="9">
        <v>9597085079</v>
      </c>
      <c r="H35" s="9" t="str">
        <v>satheeshv@titan.co.in</v>
      </c>
      <c r="I35" s="9" t="str">
        <v>16001971/001</v>
      </c>
      <c r="J35" s="9" t="str">
        <v>Contract</v>
      </c>
      <c r="K35" s="9" t="str">
        <v>No</v>
      </c>
      <c r="L35" s="9" t="str">
        <v>KXIND/S/AMC/GR24-013</v>
      </c>
      <c r="M35" s="9">
        <v>45325</v>
      </c>
      <c r="N35" s="9">
        <v>95001</v>
      </c>
      <c r="O35" s="9" t="str">
        <v>January</v>
      </c>
      <c r="P35" s="9" t="str">
        <v>May</v>
      </c>
      <c r="Q35" s="9">
        <v>1</v>
      </c>
      <c r="R35" s="9">
        <v>401186595</v>
      </c>
      <c r="S35" s="9">
        <v>45446</v>
      </c>
      <c r="T35" s="9">
        <v>95001</v>
      </c>
      <c r="U35" s="9" t="str">
        <v>May</v>
      </c>
      <c r="V35" s="9">
        <v>0</v>
      </c>
      <c r="W35" s="9">
        <v>0</v>
      </c>
      <c r="X35" s="9">
        <v>0</v>
      </c>
      <c r="Y35" s="9">
        <v>0</v>
      </c>
    </row>
    <row r="36" spans="1:25">
      <c r="A36" s="9">
        <v>29</v>
      </c>
      <c r="B36" s="9">
        <v>45659</v>
      </c>
      <c r="C36" s="9" t="str">
        <v>Taegutec India Pvt Ltd</v>
      </c>
      <c r="D36" s="9" t="str">
        <v xml:space="preserve">Bangalore </v>
      </c>
      <c r="E36" s="9" t="str">
        <v>store</v>
      </c>
      <c r="F36" s="9" t="str">
        <v>Suresha N</v>
      </c>
      <c r="G36" s="9">
        <v>9590027444</v>
      </c>
      <c r="H36" s="9" t="str">
        <v>suresha.n@taegutec-india.com</v>
      </c>
      <c r="I36" s="9" t="str">
        <v>18004074/001</v>
      </c>
      <c r="J36" s="9" t="str">
        <v>Contract</v>
      </c>
      <c r="K36" s="9" t="str">
        <v>No</v>
      </c>
      <c r="L36" s="9" t="str">
        <v>KXIND/S/AMC/GR23-062</v>
      </c>
      <c r="M36" s="9" t="str">
        <v>15/10/2023</v>
      </c>
      <c r="N36" s="9">
        <v>72000</v>
      </c>
      <c r="O36" s="9" t="str">
        <v>January</v>
      </c>
      <c r="P36" s="9" t="str">
        <v>January</v>
      </c>
      <c r="Q36" s="9">
        <v>1</v>
      </c>
      <c r="R36" s="9">
        <v>115885</v>
      </c>
      <c r="S36" s="9">
        <v>0</v>
      </c>
      <c r="T36" s="9">
        <v>72000</v>
      </c>
      <c r="U36" s="9" t="str">
        <v>January</v>
      </c>
      <c r="V36" s="9">
        <v>0</v>
      </c>
      <c r="W36" s="9" t="str">
        <v>October, bought forward back log from 2024</v>
      </c>
      <c r="X36" s="9">
        <v>0</v>
      </c>
      <c r="Y36" s="9" t="str">
        <v>25/2/2025</v>
      </c>
    </row>
    <row r="37" spans="1:25">
      <c r="A37" s="9">
        <v>30</v>
      </c>
      <c r="B37" s="9">
        <v>45659</v>
      </c>
      <c r="C37" s="9" t="str">
        <v>C DOT</v>
      </c>
      <c r="D37" s="9" t="str">
        <v>Bangalore</v>
      </c>
      <c r="E37" s="9" t="str">
        <v> </v>
      </c>
      <c r="F37" s="9" t="str">
        <v xml:space="preserve">Shiva </v>
      </c>
      <c r="G37" s="9">
        <v>9448325008</v>
      </c>
      <c r="H37" s="9" t="str">
        <v>siva@cdot.in</v>
      </c>
      <c r="I37" s="9" t="str">
        <v>16002526/001</v>
      </c>
      <c r="J37" s="9" t="str">
        <v>Contract</v>
      </c>
      <c r="K37" s="9" t="str">
        <v>No</v>
      </c>
      <c r="L37" s="9" t="str">
        <v>KRIND/GA/MC/22023</v>
      </c>
      <c r="M37" s="9" t="str">
        <v>16-09-2022</v>
      </c>
      <c r="N37" s="9">
        <v>215600</v>
      </c>
      <c r="O37" s="9" t="str">
        <v>January</v>
      </c>
      <c r="P37" s="9" t="str">
        <v>January</v>
      </c>
      <c r="Q37" s="9">
        <v>1</v>
      </c>
      <c r="R37" s="9" t="str">
        <v>P02223BCPL00144</v>
      </c>
      <c r="S37" s="9" t="str">
        <v>23-12-2022</v>
      </c>
      <c r="T37" s="9">
        <v>215600</v>
      </c>
      <c r="U37" s="9" t="str">
        <v>January</v>
      </c>
      <c r="V37" s="9">
        <v>0</v>
      </c>
      <c r="W37" s="9">
        <v>0</v>
      </c>
      <c r="X37" s="9">
        <v>0</v>
      </c>
      <c r="Y37" s="9">
        <v>0</v>
      </c>
    </row>
    <row r="38" spans="1:25">
      <c r="A38" s="9">
        <v>31</v>
      </c>
      <c r="B38" s="9">
        <v>45810</v>
      </c>
      <c r="C38" s="9" t="str">
        <v>Honda Motorcycle and Scooter India Pvt. Ltd</v>
      </c>
      <c r="D38" s="9" t="str">
        <v>Kolar</v>
      </c>
      <c r="E38" s="9" t="str">
        <v>MS</v>
      </c>
      <c r="F38" s="9" t="str">
        <v>Shivaram MV</v>
      </c>
      <c r="G38" s="9">
        <v>9902311047</v>
      </c>
      <c r="H38" s="9" t="str">
        <v>Shivaram.V@honda.hmsi.in</v>
      </c>
      <c r="I38" s="9" t="str">
        <v>17008071/002</v>
      </c>
      <c r="J38" s="9" t="str">
        <v>BD Spare</v>
      </c>
      <c r="K38" s="9" t="str">
        <v>No</v>
      </c>
      <c r="L38" s="9" t="str">
        <v>KXIND/S/GA/SPP/24045A</v>
      </c>
      <c r="M38" s="9" t="str">
        <v>20/09/2024</v>
      </c>
      <c r="N38" s="9">
        <v>594448.80000000005</v>
      </c>
      <c r="O38" s="9" t="str">
        <v>January</v>
      </c>
      <c r="P38" s="9" t="str">
        <v>February</v>
      </c>
      <c r="Q38" s="9">
        <v>0.9</v>
      </c>
      <c r="R38" s="9" t="str">
        <v>NSPR/5000107729</v>
      </c>
      <c r="S38" s="9" t="str">
        <v>29/01/2025</v>
      </c>
      <c r="T38" s="9">
        <v>594448.80000000005</v>
      </c>
      <c r="U38" s="9" t="str">
        <v>February</v>
      </c>
      <c r="V38" s="9">
        <v>0</v>
      </c>
      <c r="W38" s="9" t="str">
        <v>September, bought forward back log from 2024</v>
      </c>
      <c r="X38" s="9">
        <v>0</v>
      </c>
      <c r="Y38" s="9">
        <v>45993</v>
      </c>
    </row>
    <row r="39" spans="1:25">
      <c r="A39" s="9">
        <v>32</v>
      </c>
      <c r="B39" s="9">
        <v>45963</v>
      </c>
      <c r="C39" s="9" t="str">
        <v>Sansera Engineering Ltd</v>
      </c>
      <c r="D39" s="9" t="str">
        <v>Bangalore</v>
      </c>
      <c r="E39" s="9" t="str">
        <v>Maint</v>
      </c>
      <c r="F39" s="9" t="str">
        <v>Gange Gowda</v>
      </c>
      <c r="G39" s="9">
        <v>9980137131</v>
      </c>
      <c r="H39" s="9" t="str">
        <v>gangegowda_dn@sansera.in</v>
      </c>
      <c r="I39" s="9" t="str">
        <v>12005518/001</v>
      </c>
      <c r="J39" s="9" t="str">
        <v>SPP</v>
      </c>
      <c r="K39" s="9" t="str">
        <v>Yes</v>
      </c>
      <c r="L39" s="9" t="str">
        <v>KXIND/S/GA/SPP/25005</v>
      </c>
      <c r="M39" s="9" t="str">
        <v>19/02/2025</v>
      </c>
      <c r="N39" s="9">
        <v>109751.03999999999</v>
      </c>
      <c r="O39" s="9" t="str">
        <v>February</v>
      </c>
      <c r="P39" s="9" t="str">
        <v>February</v>
      </c>
      <c r="Q39" s="9">
        <v>0.9</v>
      </c>
      <c r="R39" s="9">
        <v>1240058785</v>
      </c>
      <c r="S39" s="9" t="str">
        <v>20/02/2025</v>
      </c>
      <c r="T39" s="9">
        <v>109751.03999999999</v>
      </c>
      <c r="U39" s="9" t="str">
        <v>February</v>
      </c>
      <c r="V39" s="9">
        <v>0</v>
      </c>
      <c r="W39" s="9">
        <v>0</v>
      </c>
      <c r="X39" s="9">
        <v>0</v>
      </c>
      <c r="Y39" s="9">
        <v>0</v>
      </c>
    </row>
    <row r="40" spans="1:25">
      <c r="A40" s="9">
        <v>33</v>
      </c>
      <c r="B40" s="9" t="str">
        <v>26/02/2025</v>
      </c>
      <c r="C40" s="9" t="str">
        <v>Bharat Electronics Ltd</v>
      </c>
      <c r="D40" s="9" t="str">
        <v>Bangalore</v>
      </c>
      <c r="E40" s="9" t="str">
        <v xml:space="preserve">MCE and  NCS </v>
      </c>
      <c r="F40" s="9" t="str">
        <v>Prakas V</v>
      </c>
      <c r="G40" s="9">
        <v>9343174460</v>
      </c>
      <c r="H40" s="9" t="str">
        <v>prakashv@bel.co.in</v>
      </c>
      <c r="I40" s="9" t="str">
        <v>08001086/001</v>
      </c>
      <c r="J40" s="9" t="str">
        <v>SPP</v>
      </c>
      <c r="K40" s="9" t="str">
        <v>Yes</v>
      </c>
      <c r="L40" s="9" t="str">
        <v>KXIND/S/GA/SPP/24037</v>
      </c>
      <c r="M40" s="9" t="str">
        <v>29/07/2024</v>
      </c>
      <c r="N40" s="9">
        <v>1039684.42</v>
      </c>
      <c r="O40" s="9" t="str">
        <v xml:space="preserve">January </v>
      </c>
      <c r="P40" s="9" t="str">
        <v>April</v>
      </c>
      <c r="Q40" s="9">
        <v>0.9</v>
      </c>
      <c r="R40" s="9">
        <v>4000520776</v>
      </c>
      <c r="S40" s="9" t="str">
        <v>25/04/2025</v>
      </c>
      <c r="T40" s="9">
        <v>1039684.42</v>
      </c>
      <c r="U40" s="9" t="str">
        <v>April</v>
      </c>
      <c r="V40" s="9">
        <v>0</v>
      </c>
      <c r="W40" s="9" t="str">
        <v xml:space="preserve">The Value of 14 Lakhs PO will get month of April remaing will get in th month of June </v>
      </c>
      <c r="X40" s="9">
        <v>0</v>
      </c>
      <c r="Y40" s="9">
        <v>0</v>
      </c>
    </row>
    <row r="41" spans="1:25">
      <c r="A41" s="9">
        <v>34</v>
      </c>
      <c r="B41" s="9" t="str">
        <v>24/03/2025</v>
      </c>
      <c r="C41" s="9" t="str">
        <v>Stabuli Tec Systems India Pt Ltd</v>
      </c>
      <c r="D41" s="9" t="str">
        <v xml:space="preserve">Bangalore </v>
      </c>
      <c r="E41" s="9" t="str">
        <v>Store</v>
      </c>
      <c r="F41" s="9" t="str">
        <v>JADHAV Pradip Kumar R</v>
      </c>
      <c r="G41" s="9" t="str">
        <v>88 7965 1032</v>
      </c>
      <c r="H41" s="9" t="str">
        <v>pkr.jadhav@staubli.com</v>
      </c>
      <c r="I41" s="9" t="str">
        <v>21001905/001</v>
      </c>
      <c r="J41" s="9" t="str">
        <v>Contract</v>
      </c>
      <c r="K41" s="9" t="str">
        <v>No</v>
      </c>
      <c r="L41" s="9" t="str">
        <v>KXIND/S/GA/MC/25013</v>
      </c>
      <c r="M41" s="9" t="str">
        <v>19/03/2025</v>
      </c>
      <c r="N41" s="9">
        <v>82000</v>
      </c>
      <c r="O41" s="9" t="str">
        <v>March</v>
      </c>
      <c r="P41" s="9" t="str">
        <v>April</v>
      </c>
      <c r="Q41" s="9">
        <v>0.9</v>
      </c>
      <c r="R41" s="9">
        <v>7500114971</v>
      </c>
      <c r="S41" s="9" t="str">
        <v>16/4/2025</v>
      </c>
      <c r="T41" s="9">
        <v>82000</v>
      </c>
      <c r="U41" s="9" t="str">
        <v>April</v>
      </c>
      <c r="V41" s="9">
        <v>0</v>
      </c>
      <c r="W41" s="9">
        <v>0</v>
      </c>
      <c r="X41" s="9">
        <v>0</v>
      </c>
      <c r="Y41" s="9">
        <v>0</v>
      </c>
    </row>
    <row r="42" spans="1:25">
      <c r="A42" s="9">
        <v>35</v>
      </c>
      <c r="B42" s="9" t="str">
        <v>24/03/2025</v>
      </c>
      <c r="C42" s="9" t="str">
        <v>Pragathi Automation ltd</v>
      </c>
      <c r="D42" s="9" t="str">
        <v>Belgam</v>
      </c>
      <c r="E42" s="9" t="str">
        <v>Maint</v>
      </c>
      <c r="F42" s="9" t="str">
        <v>Santosh Gatigennavar</v>
      </c>
      <c r="G42" s="9">
        <v>9480844047</v>
      </c>
      <c r="H42" s="9" t="str">
        <v>gatigennavar@pragatibelgaum.co.in</v>
      </c>
      <c r="I42" s="9" t="str">
        <v>12008469/001</v>
      </c>
      <c r="J42" s="9" t="str">
        <v>Contract</v>
      </c>
      <c r="K42" s="9" t="str">
        <v>No</v>
      </c>
      <c r="L42" s="9" t="str">
        <v>KXIND/S/GA/MC/25012</v>
      </c>
      <c r="M42" s="9" t="str">
        <v>19/03/2025</v>
      </c>
      <c r="N42" s="9">
        <v>90000</v>
      </c>
      <c r="O42" s="9" t="str">
        <v>March</v>
      </c>
      <c r="P42" s="9" t="str">
        <v>May</v>
      </c>
      <c r="Q42" s="9">
        <v>0.9</v>
      </c>
      <c r="R42" s="9" t="str">
        <v>PIRB00020</v>
      </c>
      <c r="S42" s="9">
        <v>45789</v>
      </c>
      <c r="T42" s="9">
        <v>90000</v>
      </c>
      <c r="U42" s="9" t="str">
        <v>May</v>
      </c>
      <c r="V42" s="9">
        <v>0</v>
      </c>
      <c r="W42" s="9">
        <v>0</v>
      </c>
      <c r="X42" s="9">
        <v>0</v>
      </c>
      <c r="Y42" s="9">
        <v>0</v>
      </c>
    </row>
    <row r="43" spans="1:25">
      <c r="A43" s="9">
        <v>36</v>
      </c>
      <c r="B43" s="9" t="str">
        <v>24/03/2025</v>
      </c>
      <c r="C43" s="9" t="str">
        <v>Bharat Electronics Ltd</v>
      </c>
      <c r="D43" s="9" t="str">
        <v>Bangalore</v>
      </c>
      <c r="E43" s="9" t="str">
        <v>T&amp;BS</v>
      </c>
      <c r="F43" s="9" t="str">
        <v>Amitava</v>
      </c>
      <c r="G43" s="9">
        <v>9681203773</v>
      </c>
      <c r="H43" s="9" t="str">
        <v>amitava@bel.co.in</v>
      </c>
      <c r="I43" s="9" t="str">
        <v>12002078/001</v>
      </c>
      <c r="J43" s="9" t="str">
        <v>Contract</v>
      </c>
      <c r="K43" s="9" t="str">
        <v>No</v>
      </c>
      <c r="L43" s="9" t="str">
        <v>KXIND/S/GA/MC/25006A</v>
      </c>
      <c r="M43" s="9" t="str">
        <v>19/03/2025</v>
      </c>
      <c r="N43" s="9">
        <v>61000</v>
      </c>
      <c r="O43" s="9" t="str">
        <v>March</v>
      </c>
      <c r="P43" s="9" t="str">
        <v>October</v>
      </c>
      <c r="Q43" s="9">
        <v>0.9</v>
      </c>
      <c r="R43" s="9">
        <v>0</v>
      </c>
      <c r="S43" s="9">
        <v>0</v>
      </c>
      <c r="T43" s="9">
        <v>0</v>
      </c>
      <c r="U43" s="9" t="str">
        <v>November</v>
      </c>
      <c r="V43" s="9">
        <v>61000</v>
      </c>
      <c r="W43" s="9">
        <v>0</v>
      </c>
      <c r="X43" s="9">
        <v>0</v>
      </c>
      <c r="Y43" s="9">
        <v>0</v>
      </c>
    </row>
    <row r="44" spans="1:25">
      <c r="A44" s="9">
        <v>37</v>
      </c>
      <c r="B44" s="9" t="str">
        <v>24/03/2025</v>
      </c>
      <c r="C44" s="9" t="str">
        <v>Rittal India Pvt Ltd</v>
      </c>
      <c r="D44" s="9" t="str">
        <v>Doddaballapura</v>
      </c>
      <c r="E44" s="9" t="str">
        <v>Store</v>
      </c>
      <c r="F44" s="9" t="str">
        <v>Siddegowda A G</v>
      </c>
      <c r="G44" s="9" t="str">
        <v>+91 82962 60470</v>
      </c>
      <c r="H44" s="9" t="str">
        <v>siddegowda.ag@rittal-india.com</v>
      </c>
      <c r="I44" s="9" t="str">
        <v>22006430/001</v>
      </c>
      <c r="J44" s="9" t="str">
        <v>Contract</v>
      </c>
      <c r="K44" s="9" t="str">
        <v>Yes</v>
      </c>
      <c r="L44" s="9" t="str">
        <v>KXIND/S/GA/MC/25010</v>
      </c>
      <c r="M44" s="9" t="str">
        <v>17/03/2025</v>
      </c>
      <c r="N44" s="9">
        <v>99500</v>
      </c>
      <c r="O44" s="9" t="str">
        <v>March</v>
      </c>
      <c r="P44" s="9" t="str">
        <v>May</v>
      </c>
      <c r="Q44" s="9">
        <v>0.9</v>
      </c>
      <c r="R44" s="9">
        <v>4500268257</v>
      </c>
      <c r="S44" s="9" t="str">
        <v>29.05.2025</v>
      </c>
      <c r="T44" s="9">
        <v>99500</v>
      </c>
      <c r="U44" s="9" t="str">
        <v>June</v>
      </c>
      <c r="V44" s="9">
        <v>0</v>
      </c>
      <c r="W44" s="9">
        <v>0</v>
      </c>
      <c r="X44" s="9">
        <v>0</v>
      </c>
      <c r="Y44" s="9">
        <v>0</v>
      </c>
    </row>
    <row r="45" spans="1:25">
      <c r="A45" s="9">
        <v>38</v>
      </c>
      <c r="B45" s="9" t="str">
        <v>25/03/2025</v>
      </c>
      <c r="C45" s="9" t="str">
        <v>Titan Company Limited Watch Division</v>
      </c>
      <c r="D45" s="9" t="str">
        <v>HOSUR</v>
      </c>
      <c r="E45" s="9" t="str">
        <v xml:space="preserve">Maintenance </v>
      </c>
      <c r="F45" s="9" t="str">
        <v>S.Balasubramanian,</v>
      </c>
      <c r="G45" s="9" t="str">
        <v>04344 - 664368</v>
      </c>
      <c r="H45" s="9" t="str">
        <v>BALASUBRAMANIAN1.S@TITAN.CO.IN</v>
      </c>
      <c r="I45" s="9" t="str">
        <v>16007990/001</v>
      </c>
      <c r="J45" s="9" t="str">
        <v>Contract</v>
      </c>
      <c r="K45" s="9" t="str">
        <v>No</v>
      </c>
      <c r="L45" s="9" t="str">
        <v>KXIND/S/GA/MC/25009</v>
      </c>
      <c r="M45" s="9" t="str">
        <v>28/02/2025</v>
      </c>
      <c r="N45" s="9">
        <v>82400</v>
      </c>
      <c r="O45" s="9" t="str">
        <v>February</v>
      </c>
      <c r="P45" s="9" t="str">
        <v>April</v>
      </c>
      <c r="Q45" s="9">
        <v>0.8</v>
      </c>
      <c r="R45" s="9">
        <v>101265544</v>
      </c>
      <c r="S45" s="9">
        <v>45744</v>
      </c>
      <c r="T45" s="9">
        <v>82400</v>
      </c>
      <c r="U45" s="9" t="str">
        <v>April</v>
      </c>
      <c r="V45" s="9">
        <v>0</v>
      </c>
      <c r="W45" s="9">
        <v>0</v>
      </c>
      <c r="X45" s="9">
        <v>0</v>
      </c>
      <c r="Y45" s="9">
        <v>0</v>
      </c>
    </row>
    <row r="46" spans="1:25">
      <c r="A46" s="9">
        <v>39</v>
      </c>
      <c r="B46" s="9" t="str">
        <v>25/03/2025</v>
      </c>
      <c r="C46" s="9" t="str">
        <v>Honda Motorcycle and Scooter India Pvt. Ltd</v>
      </c>
      <c r="D46" s="9" t="str">
        <v>Kolar</v>
      </c>
      <c r="E46" s="9" t="str">
        <v>FB</v>
      </c>
      <c r="F46" s="9" t="str">
        <v>Rakesh M</v>
      </c>
      <c r="G46" s="9">
        <v>9108482032</v>
      </c>
      <c r="H46" s="9" t="str">
        <v>rakesh.m@honda.hmsi.in</v>
      </c>
      <c r="I46" s="9" t="str">
        <v>17002415/003</v>
      </c>
      <c r="J46" s="9" t="str">
        <v>Contract</v>
      </c>
      <c r="K46" s="9" t="str">
        <v>No</v>
      </c>
      <c r="L46" s="9" t="str">
        <v>KXIND/S/GA/MC/25_008</v>
      </c>
      <c r="M46" s="9" t="str">
        <v>20/02/2025</v>
      </c>
      <c r="N46" s="9">
        <v>89000</v>
      </c>
      <c r="O46" s="9" t="str">
        <v>February</v>
      </c>
      <c r="P46" s="9" t="str">
        <v>May</v>
      </c>
      <c r="Q46" s="9">
        <v>1</v>
      </c>
      <c r="R46" s="9" t="str">
        <v>NSPR/6000081858</v>
      </c>
      <c r="S46" s="9" t="str">
        <v>30.04.2025</v>
      </c>
      <c r="T46" s="9">
        <v>89000</v>
      </c>
      <c r="U46" s="9" t="str">
        <v>May</v>
      </c>
      <c r="V46" s="9">
        <v>0</v>
      </c>
      <c r="W46" s="9">
        <v>0</v>
      </c>
      <c r="X46" s="9">
        <v>0</v>
      </c>
      <c r="Y46" s="9">
        <v>0</v>
      </c>
    </row>
    <row r="47" spans="1:25">
      <c r="A47" s="9">
        <v>40</v>
      </c>
      <c r="B47" s="9" t="str">
        <v>25/03/2025</v>
      </c>
      <c r="C47" s="9" t="str">
        <v>Bharat Electronics Ltd</v>
      </c>
      <c r="D47" s="9" t="str">
        <v>Bangalore</v>
      </c>
      <c r="E47" s="9" t="str">
        <v xml:space="preserve">Fabrication </v>
      </c>
      <c r="F47" s="9" t="str">
        <v>APOORV NEMA</v>
      </c>
      <c r="G47" s="9">
        <v>8722375091</v>
      </c>
      <c r="H47" s="9" t="str">
        <v>apoorvnema@bel.co.in</v>
      </c>
      <c r="I47" s="9" t="str">
        <v>16007952/001</v>
      </c>
      <c r="J47" s="9" t="str">
        <v>Contract</v>
      </c>
      <c r="K47" s="9" t="str">
        <v>No</v>
      </c>
      <c r="L47" s="9" t="str">
        <v>KXIND/S/GA/MC/25007</v>
      </c>
      <c r="M47" s="9" t="str">
        <v>20/02/2025</v>
      </c>
      <c r="N47" s="9">
        <v>65500</v>
      </c>
      <c r="O47" s="9" t="str">
        <v>February</v>
      </c>
      <c r="P47" s="9" t="str">
        <v>April</v>
      </c>
      <c r="Q47" s="9">
        <v>0.9</v>
      </c>
      <c r="R47" s="9">
        <v>4800088950</v>
      </c>
      <c r="S47" s="9" t="str">
        <v>14/07/2025</v>
      </c>
      <c r="T47" s="9">
        <v>65500</v>
      </c>
      <c r="U47" s="9" t="str">
        <v>July</v>
      </c>
      <c r="V47" s="9">
        <v>0</v>
      </c>
      <c r="W47" s="9">
        <v>0</v>
      </c>
      <c r="X47" s="9">
        <v>0</v>
      </c>
      <c r="Y47" s="9">
        <v>0</v>
      </c>
    </row>
    <row r="48" spans="1:25">
      <c r="A48" s="9">
        <v>41</v>
      </c>
      <c r="B48" s="9" t="str">
        <v>25/03/2025</v>
      </c>
      <c r="C48" s="9" t="str">
        <v xml:space="preserve">Tata power SED </v>
      </c>
      <c r="D48" s="9" t="str">
        <v>Bangalore</v>
      </c>
      <c r="E48" s="9" t="str">
        <v xml:space="preserve">Maintenance </v>
      </c>
      <c r="F48" s="9" t="str">
        <v>Rajanikanth</v>
      </c>
      <c r="G48" s="9">
        <v>9243797941</v>
      </c>
      <c r="H48" s="9" t="str">
        <v>msrajanikanth@tataadvancedsystems.com</v>
      </c>
      <c r="I48" s="9" t="str">
        <v>15006537/001</v>
      </c>
      <c r="J48" s="9" t="str">
        <v>Contract</v>
      </c>
      <c r="K48" s="9" t="str">
        <v>No</v>
      </c>
      <c r="L48" s="9" t="str">
        <v>KXIND/S/GA/MC/25005</v>
      </c>
      <c r="M48" s="9" t="str">
        <v>19/02/2025</v>
      </c>
      <c r="N48" s="9">
        <v>111500</v>
      </c>
      <c r="O48" s="9" t="str">
        <v>February</v>
      </c>
      <c r="P48" s="9" t="str">
        <v>May</v>
      </c>
      <c r="Q48" s="9">
        <v>1</v>
      </c>
      <c r="R48" s="9">
        <v>5400057119</v>
      </c>
      <c r="S48" s="9" t="str">
        <v>24/05/2025</v>
      </c>
      <c r="T48" s="9">
        <v>107040</v>
      </c>
      <c r="U48" s="9" t="str">
        <v>May</v>
      </c>
      <c r="V48" s="9">
        <v>0</v>
      </c>
      <c r="W48" s="9">
        <v>0</v>
      </c>
      <c r="X48" s="9">
        <v>0</v>
      </c>
      <c r="Y48" s="9">
        <v>0</v>
      </c>
    </row>
    <row r="49" spans="1:25">
      <c r="A49" s="9">
        <v>42</v>
      </c>
      <c r="B49" s="9" t="str">
        <v>25/03/2025</v>
      </c>
      <c r="C49" s="9" t="str">
        <v>Bharat Electronics Ltd</v>
      </c>
      <c r="D49" s="9" t="str">
        <v>Bangalore</v>
      </c>
      <c r="E49" s="9" t="str">
        <v>NP Store</v>
      </c>
      <c r="F49" s="9" t="str">
        <v>Prabhakar S</v>
      </c>
      <c r="G49" s="9">
        <v>0</v>
      </c>
      <c r="H49" s="9" t="str">
        <v>prabhakars@bel.co.in</v>
      </c>
      <c r="I49" s="9" t="str">
        <v>04001139/001</v>
      </c>
      <c r="J49" s="9" t="str">
        <v>SPP</v>
      </c>
      <c r="K49" s="9" t="str">
        <v>Yes</v>
      </c>
      <c r="L49" s="9" t="str">
        <v>KXIND/S/GA/SPP/25011</v>
      </c>
      <c r="M49" s="9" t="str">
        <v>19/03/2025</v>
      </c>
      <c r="N49" s="9">
        <v>1253613</v>
      </c>
      <c r="O49" s="9" t="str">
        <v>March</v>
      </c>
      <c r="P49" s="9" t="str">
        <v>August</v>
      </c>
      <c r="Q49" s="9">
        <v>0.5</v>
      </c>
      <c r="R49" s="9">
        <v>4000548189</v>
      </c>
      <c r="S49" s="9" t="str">
        <v>25/08/2025</v>
      </c>
      <c r="T49" s="9">
        <v>1034815.68</v>
      </c>
      <c r="U49" s="9" t="str">
        <v>August</v>
      </c>
      <c r="V49" s="9">
        <v>218797.31999999995</v>
      </c>
      <c r="W49" s="9">
        <v>0</v>
      </c>
      <c r="X49" s="9">
        <v>0</v>
      </c>
      <c r="Y49" s="9">
        <v>0</v>
      </c>
    </row>
    <row r="50" spans="1:25">
      <c r="A50" s="9">
        <v>43</v>
      </c>
      <c r="B50" s="9" t="str">
        <v>25/03/2025</v>
      </c>
      <c r="C50" s="9" t="str">
        <v>GE BE PVT LTD</v>
      </c>
      <c r="D50" s="9" t="str">
        <v>Bangalore</v>
      </c>
      <c r="E50" s="9" t="str">
        <v>Store</v>
      </c>
      <c r="F50" s="9" t="str">
        <v>Shamanth Kumar K M</v>
      </c>
      <c r="G50" s="9">
        <v>9986855960</v>
      </c>
      <c r="H50" s="9" t="str">
        <v>SHAMANTH.KM@gehealthcare.com</v>
      </c>
      <c r="I50" s="9" t="str">
        <v>02000017/001</v>
      </c>
      <c r="J50" s="9" t="str">
        <v>SPP</v>
      </c>
      <c r="K50" s="9" t="str">
        <v>Yes</v>
      </c>
      <c r="L50" s="9" t="str">
        <v>KXIND/S/GA/SPP/25010</v>
      </c>
      <c r="M50" s="9" t="str">
        <v>15/02/2025</v>
      </c>
      <c r="N50" s="9">
        <v>518318</v>
      </c>
      <c r="O50" s="9" t="str">
        <v>February</v>
      </c>
      <c r="P50" s="9" t="str">
        <v>April</v>
      </c>
      <c r="Q50" s="9">
        <v>0.9</v>
      </c>
      <c r="R50" s="9" t="str">
        <v>G80010001085712-2</v>
      </c>
      <c r="S50" s="9" t="str">
        <v>24/4/2025</v>
      </c>
      <c r="T50" s="9">
        <v>518318</v>
      </c>
      <c r="U50" s="9" t="str">
        <v>April</v>
      </c>
      <c r="V50" s="9">
        <v>0</v>
      </c>
      <c r="W50" s="9">
        <v>0</v>
      </c>
      <c r="X50" s="9">
        <v>0</v>
      </c>
      <c r="Y50" s="9">
        <v>0</v>
      </c>
    </row>
    <row r="51" spans="1:25">
      <c r="A51" s="9">
        <v>44</v>
      </c>
      <c r="B51" s="9" t="str">
        <v>25/03/2025</v>
      </c>
      <c r="C51" s="9" t="str">
        <v>Tata Hitachi Construction Machinery Company Private Limited</v>
      </c>
      <c r="D51" s="9" t="str">
        <v>Dharawad</v>
      </c>
      <c r="E51" s="9" t="str">
        <v>Maint</v>
      </c>
      <c r="F51" s="9" t="str">
        <v>Sanju</v>
      </c>
      <c r="G51" s="9" t="str">
        <v>99723 07796</v>
      </c>
      <c r="H51" s="9" t="str">
        <v>sanju.lamani@tatahitachi.co.in</v>
      </c>
      <c r="I51" s="9" t="str">
        <v>07010648/001</v>
      </c>
      <c r="J51" s="9" t="str">
        <v>SPP</v>
      </c>
      <c r="K51" s="9" t="str">
        <v>Yes</v>
      </c>
      <c r="L51" s="9" t="str">
        <v>KXIND/S/GA/SPP/25008</v>
      </c>
      <c r="M51" s="9">
        <v>45993</v>
      </c>
      <c r="N51" s="9">
        <v>39800</v>
      </c>
      <c r="O51" s="9" t="str">
        <v>February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 t="str">
        <v>November</v>
      </c>
      <c r="V51" s="9">
        <v>39800</v>
      </c>
      <c r="W51" s="9">
        <v>0</v>
      </c>
      <c r="X51" s="9">
        <v>0</v>
      </c>
      <c r="Y51" s="9">
        <v>0</v>
      </c>
    </row>
    <row r="52" spans="1:25">
      <c r="A52" s="9">
        <v>45</v>
      </c>
      <c r="B52" s="9" t="str">
        <v>25/03/2025</v>
      </c>
      <c r="C52" s="9" t="str">
        <v>International Aerospace Manufacturing Pvt Ltd</v>
      </c>
      <c r="D52" s="9" t="str">
        <v>Bangalore</v>
      </c>
      <c r="E52" s="9" t="str">
        <v>Maint</v>
      </c>
      <c r="F52" s="9" t="str">
        <v>Selva Kumar R</v>
      </c>
      <c r="G52" s="9">
        <v>9742009996</v>
      </c>
      <c r="H52" s="9" t="str">
        <v>selvakumar.r@iampl.co.in</v>
      </c>
      <c r="I52" s="9" t="str">
        <v>12004503/001</v>
      </c>
      <c r="J52" s="9" t="str">
        <v>SPP</v>
      </c>
      <c r="K52" s="9" t="str">
        <v>No</v>
      </c>
      <c r="L52" s="9" t="str">
        <v>KXIND/S/GA/SPP/25007</v>
      </c>
      <c r="M52" s="9">
        <v>45993</v>
      </c>
      <c r="N52" s="9">
        <v>227778</v>
      </c>
      <c r="O52" s="9" t="str">
        <v>February</v>
      </c>
      <c r="P52" s="9" t="str">
        <v>March</v>
      </c>
      <c r="Q52" s="9">
        <v>1</v>
      </c>
      <c r="R52" s="9" t="str">
        <v>BLR-PO-1003918</v>
      </c>
      <c r="S52" s="9" t="str">
        <v>26/03/2025</v>
      </c>
      <c r="T52" s="9">
        <v>227778</v>
      </c>
      <c r="U52" s="9" t="str">
        <v>March</v>
      </c>
      <c r="V52" s="9">
        <v>0</v>
      </c>
      <c r="W52" s="9">
        <v>0</v>
      </c>
      <c r="X52" s="9">
        <v>0</v>
      </c>
      <c r="Y52" s="9">
        <v>0</v>
      </c>
    </row>
    <row r="53" spans="1:25">
      <c r="A53" s="9">
        <v>46</v>
      </c>
      <c r="B53" s="9" t="str">
        <v>09/04/202</v>
      </c>
      <c r="C53" s="9" t="str">
        <v>Taegutec India Pvt Ltd</v>
      </c>
      <c r="D53" s="9" t="str">
        <v>Bangalore</v>
      </c>
      <c r="E53" s="9" t="str">
        <v>Maint</v>
      </c>
      <c r="F53" s="9" t="str">
        <v>Suresha N</v>
      </c>
      <c r="G53" s="9">
        <v>9590027444</v>
      </c>
      <c r="H53" s="9" t="str">
        <v>suresha.n@taegutec-india.com</v>
      </c>
      <c r="I53" s="9" t="str">
        <v>18004074/001</v>
      </c>
      <c r="J53" s="9" t="str">
        <v>SPP</v>
      </c>
      <c r="K53" s="9" t="str">
        <v>Yes</v>
      </c>
      <c r="L53" s="9" t="str">
        <v>KXIND/S/SPP/GR24-022</v>
      </c>
      <c r="M53" s="9" t="str">
        <v>16/04/2025</v>
      </c>
      <c r="N53" s="9">
        <v>147198</v>
      </c>
      <c r="O53" s="9" t="str">
        <v>January</v>
      </c>
      <c r="P53" s="9" t="str">
        <v>April</v>
      </c>
      <c r="Q53" s="9">
        <v>1</v>
      </c>
      <c r="R53" s="9">
        <v>126776</v>
      </c>
      <c r="S53" s="9">
        <v>45842</v>
      </c>
      <c r="T53" s="9">
        <v>147198</v>
      </c>
      <c r="U53" s="9" t="str">
        <v>April</v>
      </c>
      <c r="V53" s="9">
        <v>0</v>
      </c>
      <c r="W53" s="9" t="str">
        <v>December, bought forward back log from 2024</v>
      </c>
      <c r="X53" s="9">
        <v>0</v>
      </c>
      <c r="Y53" s="9">
        <v>0</v>
      </c>
    </row>
    <row r="54" spans="1:25">
      <c r="A54" s="9">
        <v>47</v>
      </c>
      <c r="B54" s="9" t="str">
        <v>21/04/2025</v>
      </c>
      <c r="C54" s="9" t="str">
        <v>Rittal India Pvt Ltd</v>
      </c>
      <c r="D54" s="9" t="str">
        <v xml:space="preserve">Bangalore </v>
      </c>
      <c r="E54" s="9" t="str">
        <v>Store</v>
      </c>
      <c r="F54" s="9" t="str">
        <v>Siddegowda A G</v>
      </c>
      <c r="G54" s="9" t="str">
        <v>+91 82962 60470</v>
      </c>
      <c r="H54" s="9" t="str">
        <v>siddegowda.ag@rittal-india.com</v>
      </c>
      <c r="I54" s="9" t="str">
        <v>15003418/001</v>
      </c>
      <c r="J54" s="9" t="str">
        <v>BD Spare</v>
      </c>
      <c r="K54" s="9" t="str">
        <v>No</v>
      </c>
      <c r="L54" s="9" t="str">
        <v>KXIND/S/GA/SPP/250016</v>
      </c>
      <c r="M54" s="9">
        <v>45873</v>
      </c>
      <c r="N54" s="9">
        <v>248165</v>
      </c>
      <c r="O54" s="9" t="str">
        <v>April</v>
      </c>
      <c r="P54" s="9" t="str">
        <v>April</v>
      </c>
      <c r="Q54" s="9">
        <v>1</v>
      </c>
      <c r="R54" s="9">
        <v>4500265418</v>
      </c>
      <c r="S54" s="9" t="str">
        <v>17/04/2025</v>
      </c>
      <c r="T54" s="9">
        <v>248165</v>
      </c>
      <c r="U54" s="9" t="str">
        <v>April</v>
      </c>
      <c r="V54" s="9">
        <v>0</v>
      </c>
      <c r="W54" s="9">
        <v>0</v>
      </c>
      <c r="X54" s="9">
        <v>0</v>
      </c>
      <c r="Y54" s="9">
        <v>0</v>
      </c>
    </row>
    <row r="55" spans="1:25">
      <c r="A55" s="9">
        <v>48</v>
      </c>
      <c r="B55" s="9" t="str">
        <v>23/04/2025</v>
      </c>
      <c r="C55" s="9" t="str">
        <v>Rittal India Pvt Ltd</v>
      </c>
      <c r="D55" s="9" t="str">
        <v xml:space="preserve">Bangalore </v>
      </c>
      <c r="E55" s="9" t="str">
        <v>Store</v>
      </c>
      <c r="F55" s="9" t="str">
        <v>Siddegowda A G</v>
      </c>
      <c r="G55" s="9" t="str">
        <v>+91 82962 60470</v>
      </c>
      <c r="H55" s="9" t="str">
        <v>siddegowda.ag@rittal-india.com</v>
      </c>
      <c r="I55" s="9" t="str">
        <v>08003615/001</v>
      </c>
      <c r="J55" s="9" t="str">
        <v>BD Spare</v>
      </c>
      <c r="K55" s="9" t="str">
        <v>No</v>
      </c>
      <c r="L55" s="9" t="str">
        <v>KRIND/ML/GA-22-001A</v>
      </c>
      <c r="M55" s="9" t="str">
        <v>28/09/2024</v>
      </c>
      <c r="N55" s="9">
        <v>45852</v>
      </c>
      <c r="O55" s="9" t="str">
        <v>January</v>
      </c>
      <c r="P55" s="9" t="str">
        <v>April</v>
      </c>
      <c r="Q55" s="9">
        <v>0.8</v>
      </c>
      <c r="R55" s="9">
        <v>4500264825</v>
      </c>
      <c r="S55" s="9">
        <v>45873</v>
      </c>
      <c r="T55" s="9">
        <v>45852</v>
      </c>
      <c r="U55" s="9" t="str">
        <v>April</v>
      </c>
      <c r="V55" s="9">
        <v>0</v>
      </c>
      <c r="W55" s="9" t="str">
        <v>December, bought forward back log from 2024</v>
      </c>
      <c r="X55" s="9">
        <v>0</v>
      </c>
      <c r="Y55" s="9">
        <v>0</v>
      </c>
    </row>
    <row r="56" spans="1:25">
      <c r="A56" s="9">
        <v>49</v>
      </c>
      <c r="B56" s="9" t="str">
        <v>23/04/2025</v>
      </c>
      <c r="C56" s="9" t="str">
        <v>GE BE PVT LTD</v>
      </c>
      <c r="D56" s="9" t="str">
        <v>Bangalore</v>
      </c>
      <c r="E56" s="9" t="str">
        <v>store</v>
      </c>
      <c r="F56" s="9" t="str">
        <v>Hl, Ambarish</v>
      </c>
      <c r="G56" s="9">
        <v>9845203244</v>
      </c>
      <c r="H56" s="9" t="str">
        <v>ambarish.hl@ge.com</v>
      </c>
      <c r="I56" s="9" t="str">
        <v>02000017/001</v>
      </c>
      <c r="J56" s="9" t="str">
        <v>SPP</v>
      </c>
      <c r="K56" s="9" t="str">
        <v>Yes</v>
      </c>
      <c r="L56" s="9" t="str">
        <v>KXIND/S/SPP/GR24-072</v>
      </c>
      <c r="M56" s="9" t="str">
        <v>17/11/2024</v>
      </c>
      <c r="N56" s="9">
        <v>613094.40000000002</v>
      </c>
      <c r="O56" s="9" t="str">
        <v>January</v>
      </c>
      <c r="P56" s="9" t="str">
        <v>April</v>
      </c>
      <c r="Q56" s="9">
        <v>0.8</v>
      </c>
      <c r="R56" s="9" t="str">
        <v>G80010001088830</v>
      </c>
      <c r="S56" s="9" t="str">
        <v>25/04/2025</v>
      </c>
      <c r="T56" s="9">
        <v>613094.40000000002</v>
      </c>
      <c r="U56" s="9" t="str">
        <v>April</v>
      </c>
      <c r="V56" s="9">
        <v>0</v>
      </c>
      <c r="W56" s="9" t="str">
        <v>December, bought forward back log from 2024</v>
      </c>
      <c r="X56" s="9">
        <v>0</v>
      </c>
      <c r="Y56" s="9">
        <v>0</v>
      </c>
    </row>
    <row r="57" spans="1:25">
      <c r="A57" s="9">
        <v>50</v>
      </c>
      <c r="B57" s="9" t="str">
        <v>23/04/2025</v>
      </c>
      <c r="C57" s="9" t="str">
        <v>FESTO CONTROLS PVT LTD</v>
      </c>
      <c r="D57" s="9" t="str">
        <v>Bangalore</v>
      </c>
      <c r="E57" s="9" t="str">
        <v>Maint</v>
      </c>
      <c r="F57" s="9" t="str">
        <v>Kannabiran, Balachander</v>
      </c>
      <c r="G57" s="9">
        <v>9952914725</v>
      </c>
      <c r="H57" s="9" t="str">
        <v>balachander.kannabiran@festo.com</v>
      </c>
      <c r="I57" s="9" t="str">
        <v>12002172/001</v>
      </c>
      <c r="J57" s="9" t="str">
        <v>Relocation</v>
      </c>
      <c r="K57" s="9" t="str">
        <v>No</v>
      </c>
      <c r="L57" s="9" t="str">
        <v>KXIND/S/GA/REL/25001</v>
      </c>
      <c r="M57" s="9">
        <v>45661</v>
      </c>
      <c r="N57" s="9">
        <v>343570</v>
      </c>
      <c r="O57" s="9" t="str">
        <v>April</v>
      </c>
      <c r="P57" s="9" t="str">
        <v>April</v>
      </c>
      <c r="Q57" s="9">
        <v>1</v>
      </c>
      <c r="R57" s="9" t="str">
        <v>IOK/2145053750</v>
      </c>
      <c r="S57" s="9">
        <v>45751</v>
      </c>
      <c r="T57" s="9">
        <v>343570</v>
      </c>
      <c r="U57" s="9" t="str">
        <v>April</v>
      </c>
      <c r="V57" s="9">
        <v>0</v>
      </c>
      <c r="W57" s="9">
        <v>0</v>
      </c>
      <c r="X57" s="9">
        <v>0</v>
      </c>
      <c r="Y57" s="9">
        <v>0</v>
      </c>
    </row>
    <row r="58" spans="1:25">
      <c r="A58" s="9">
        <v>51</v>
      </c>
      <c r="B58" s="9" t="str">
        <v>27/04/2025</v>
      </c>
      <c r="C58" s="9" t="str">
        <v>Titan Company Limited Watch Division</v>
      </c>
      <c r="D58" s="9" t="str">
        <v>HOSUR</v>
      </c>
      <c r="E58" s="9" t="str">
        <v xml:space="preserve">Maintenance </v>
      </c>
      <c r="F58" s="9" t="str">
        <v>Muthukumar G</v>
      </c>
      <c r="G58" s="9">
        <v>9043276494</v>
      </c>
      <c r="H58" s="9" t="str">
        <v>muthukumar@titan.co.in</v>
      </c>
      <c r="I58" s="9" t="str">
        <v>16007990/001</v>
      </c>
      <c r="J58" s="9" t="str">
        <v>SPP</v>
      </c>
      <c r="K58" s="9" t="str">
        <v>Yes</v>
      </c>
      <c r="L58" s="9" t="str">
        <v>KXIND/S/GA/SPP/250017</v>
      </c>
      <c r="M58" s="9" t="str">
        <v>27/04/2025</v>
      </c>
      <c r="N58" s="9">
        <v>308278.59999999998</v>
      </c>
      <c r="O58" s="9" t="str">
        <v>April</v>
      </c>
      <c r="P58" s="9" t="str">
        <v>October</v>
      </c>
      <c r="Q58" s="9">
        <v>0.6</v>
      </c>
      <c r="R58" s="9">
        <v>101269910</v>
      </c>
      <c r="S58" s="9" t="str">
        <v>17/06/2025</v>
      </c>
      <c r="T58" s="9">
        <v>308278.59999999998</v>
      </c>
      <c r="U58" s="9" t="str">
        <v>June</v>
      </c>
      <c r="V58" s="9">
        <v>0</v>
      </c>
      <c r="W58" s="9">
        <v>0</v>
      </c>
      <c r="X58" s="9">
        <v>0</v>
      </c>
      <c r="Y58" s="9">
        <v>0</v>
      </c>
    </row>
    <row r="59" spans="1:25">
      <c r="A59" s="9">
        <v>52</v>
      </c>
      <c r="B59" s="9" t="str">
        <v>27/04/2025</v>
      </c>
      <c r="C59" s="9" t="str">
        <v>Rotork Controls (India) Pvt.Ltd</v>
      </c>
      <c r="D59" s="9" t="str">
        <v>Bangalore</v>
      </c>
      <c r="E59" s="9" t="str">
        <v>Store</v>
      </c>
      <c r="F59" s="9" t="str">
        <v>Karthik</v>
      </c>
      <c r="G59" s="9">
        <v>9629999441</v>
      </c>
      <c r="H59" s="9" t="str">
        <v>Karthik.Subbarayalu@rotork.com</v>
      </c>
      <c r="I59" s="9" t="str">
        <v>09006892/001</v>
      </c>
      <c r="J59" s="9" t="str">
        <v>SPP</v>
      </c>
      <c r="K59" s="9" t="str">
        <v>Yes</v>
      </c>
      <c r="L59" s="9" t="str">
        <v>KXIND/S/GA/SPP/250018</v>
      </c>
      <c r="M59" s="9" t="str">
        <v>27/04/2025</v>
      </c>
      <c r="N59" s="9">
        <v>38208</v>
      </c>
      <c r="O59" s="9" t="str">
        <v>April</v>
      </c>
      <c r="P59" s="9" t="str">
        <v>June</v>
      </c>
      <c r="Q59" s="9">
        <v>0.5</v>
      </c>
      <c r="R59" s="9" t="str">
        <v>KQ092743</v>
      </c>
      <c r="S59" s="9" t="str">
        <v>14/07/2025</v>
      </c>
      <c r="T59" s="9">
        <v>38208</v>
      </c>
      <c r="U59" s="9" t="str">
        <v>July</v>
      </c>
      <c r="V59" s="9">
        <v>0</v>
      </c>
      <c r="W59" s="9">
        <v>0</v>
      </c>
      <c r="X59" s="9">
        <v>0</v>
      </c>
      <c r="Y59" s="9">
        <v>0</v>
      </c>
    </row>
    <row r="60" spans="1:25">
      <c r="A60" s="9">
        <v>53</v>
      </c>
      <c r="B60" s="9" t="str">
        <v>27/04/2025</v>
      </c>
      <c r="C60" s="9" t="str">
        <v>Bharat Electronics Ltd</v>
      </c>
      <c r="D60" s="9" t="str">
        <v>Bangalore</v>
      </c>
      <c r="E60" s="9" t="str">
        <v>NS2</v>
      </c>
      <c r="F60" s="9" t="str">
        <v>Nataraja H</v>
      </c>
      <c r="G60" s="9">
        <v>8310347559</v>
      </c>
      <c r="H60" s="9" t="str">
        <v>&lt;natarajah@bel.co.in&gt;</v>
      </c>
      <c r="I60" s="9" t="str">
        <v>14000253/001,</v>
      </c>
      <c r="J60" s="9" t="str">
        <v>SPP</v>
      </c>
      <c r="K60" s="9" t="str">
        <v>Yes</v>
      </c>
      <c r="L60" s="9" t="str">
        <v>KXIND/S/GA/SPP/250019</v>
      </c>
      <c r="M60" s="9" t="str">
        <v>27/04/2025</v>
      </c>
      <c r="N60" s="9">
        <v>0</v>
      </c>
      <c r="O60" s="9" t="str">
        <v>April</v>
      </c>
      <c r="P60" s="9">
        <v>0</v>
      </c>
      <c r="Q60" s="9">
        <v>0.6</v>
      </c>
      <c r="R60" s="9">
        <v>0</v>
      </c>
      <c r="S60" s="9">
        <v>0</v>
      </c>
      <c r="T60" s="9">
        <v>0</v>
      </c>
      <c r="U60" s="9" t="str">
        <v>November</v>
      </c>
      <c r="V60" s="9">
        <v>0</v>
      </c>
      <c r="W60" s="9">
        <v>0</v>
      </c>
      <c r="X60" s="9">
        <v>0</v>
      </c>
      <c r="Y60" s="9">
        <v>0</v>
      </c>
    </row>
    <row r="61" spans="1:25">
      <c r="A61" s="9">
        <v>54</v>
      </c>
      <c r="B61" s="9" t="str">
        <v>27/04/2025</v>
      </c>
      <c r="C61" s="9" t="str">
        <v xml:space="preserve">Hindustan Aeronautics LTD </v>
      </c>
      <c r="D61" s="9" t="str">
        <v>Bangalore</v>
      </c>
      <c r="E61" s="9" t="str">
        <v>ED</v>
      </c>
      <c r="F61" s="9" t="str">
        <v>Ravi Madha</v>
      </c>
      <c r="G61" s="9">
        <v>9972356437</v>
      </c>
      <c r="H61" s="9" t="str">
        <v>ravi.madhav@hal-india.com</v>
      </c>
      <c r="I61" s="9" t="str">
        <v>16000086/002</v>
      </c>
      <c r="J61" s="9" t="str">
        <v>SPP</v>
      </c>
      <c r="K61" s="9" t="str">
        <v>Yes</v>
      </c>
      <c r="L61" s="9" t="str">
        <v>KXIND/S/GA/SPP/25020</v>
      </c>
      <c r="M61" s="9" t="str">
        <v>27/04/2025</v>
      </c>
      <c r="N61" s="9">
        <v>0</v>
      </c>
      <c r="O61" s="9" t="str">
        <v>April</v>
      </c>
      <c r="P61" s="9">
        <v>0</v>
      </c>
      <c r="Q61" s="9">
        <v>0.5</v>
      </c>
      <c r="R61" s="9">
        <v>0</v>
      </c>
      <c r="S61" s="9">
        <v>0</v>
      </c>
      <c r="T61" s="9">
        <v>0</v>
      </c>
      <c r="U61" s="9" t="str">
        <v>November</v>
      </c>
      <c r="V61" s="9">
        <v>0</v>
      </c>
      <c r="W61" s="9">
        <v>0</v>
      </c>
      <c r="X61" s="9">
        <v>0</v>
      </c>
      <c r="Y61" s="9">
        <v>0</v>
      </c>
    </row>
    <row r="62" spans="1:25">
      <c r="A62" s="9">
        <v>55</v>
      </c>
      <c r="B62" s="9">
        <v>45996</v>
      </c>
      <c r="C62" s="9" t="str">
        <v>Bharat Electronics Ltd</v>
      </c>
      <c r="D62" s="9" t="str">
        <v>Bangalore</v>
      </c>
      <c r="E62" s="9" t="str">
        <v>NP Store</v>
      </c>
      <c r="F62" s="9" t="str">
        <v>Sridevi R</v>
      </c>
      <c r="G62" s="9">
        <v>9972013197</v>
      </c>
      <c r="H62" s="9" t="str">
        <v>sridevir@bel.co.in</v>
      </c>
      <c r="I62" s="9" t="str">
        <v>04001139/001</v>
      </c>
      <c r="J62" s="9" t="str">
        <v>Contract</v>
      </c>
      <c r="K62" s="9" t="str">
        <v>No</v>
      </c>
      <c r="L62" s="9" t="str">
        <v>KXIND/S/GA/MC/24033</v>
      </c>
      <c r="M62" s="9">
        <v>45481</v>
      </c>
      <c r="N62" s="9">
        <v>59850</v>
      </c>
      <c r="O62" s="9" t="str">
        <v>January</v>
      </c>
      <c r="P62" s="9" t="str">
        <v>May</v>
      </c>
      <c r="Q62" s="9">
        <v>1</v>
      </c>
      <c r="R62" s="9" t="str">
        <v>BEPO/NP/4800087571</v>
      </c>
      <c r="S62" s="9">
        <v>45996</v>
      </c>
      <c r="T62" s="9">
        <v>59850</v>
      </c>
      <c r="U62" s="9" t="str">
        <v>May</v>
      </c>
      <c r="V62" s="9">
        <v>0</v>
      </c>
      <c r="W62" s="9" t="str">
        <v>December, bought forward back log from 2024</v>
      </c>
      <c r="X62" s="9">
        <v>0</v>
      </c>
      <c r="Y62" s="9">
        <v>0</v>
      </c>
    </row>
    <row r="63" spans="1:25">
      <c r="A63" s="9">
        <v>56</v>
      </c>
      <c r="B63" s="9" t="str">
        <v>19/05/2025</v>
      </c>
      <c r="C63" s="9" t="str">
        <v>GE BE PVT LTD</v>
      </c>
      <c r="D63" s="9" t="str">
        <v>Bangalore</v>
      </c>
      <c r="E63" s="9" t="str">
        <v>store</v>
      </c>
      <c r="F63" s="9" t="str">
        <v>Hl, Ambarish</v>
      </c>
      <c r="G63" s="9">
        <v>9845203244</v>
      </c>
      <c r="H63" s="9" t="str">
        <v>ambarish.hl@ge.com</v>
      </c>
      <c r="I63" s="9" t="str">
        <v>02000017/001</v>
      </c>
      <c r="J63" s="9" t="str">
        <v>BD Spare</v>
      </c>
      <c r="K63" s="9" t="str">
        <v>No</v>
      </c>
      <c r="L63" s="9" t="str">
        <v>KXIND/S/GA/SPP/25026</v>
      </c>
      <c r="M63" s="9" t="str">
        <v>17/05/2025</v>
      </c>
      <c r="N63" s="9">
        <v>202356</v>
      </c>
      <c r="O63" s="9" t="str">
        <v>May</v>
      </c>
      <c r="P63" s="9" t="str">
        <v>May</v>
      </c>
      <c r="Q63" s="9">
        <v>1</v>
      </c>
      <c r="R63" s="9" t="str">
        <v>G80010001140537</v>
      </c>
      <c r="S63" s="9" t="str">
        <v>19/05/2025</v>
      </c>
      <c r="T63" s="9">
        <v>202356</v>
      </c>
      <c r="U63" s="9" t="str">
        <v>May</v>
      </c>
      <c r="V63" s="9">
        <v>0</v>
      </c>
      <c r="W63" s="9">
        <v>0</v>
      </c>
      <c r="X63" s="9">
        <v>0</v>
      </c>
      <c r="Y63" s="9">
        <v>0</v>
      </c>
    </row>
    <row r="64" spans="1:25">
      <c r="A64" s="9">
        <v>57</v>
      </c>
      <c r="B64" s="9" t="str">
        <v>20/05/2025</v>
      </c>
      <c r="C64" s="9" t="str">
        <v>Honda Motorcycle and Scooter India Pvt. Ltd</v>
      </c>
      <c r="D64" s="9" t="str">
        <v>Kolar</v>
      </c>
      <c r="E64" s="9" t="str">
        <v>MS</v>
      </c>
      <c r="F64" s="9" t="str">
        <v>Shashi Kumar. S</v>
      </c>
      <c r="G64" s="9">
        <v>9289053639</v>
      </c>
      <c r="H64" s="9" t="str">
        <v>shashikumar.s@honda2wheelersindia.com</v>
      </c>
      <c r="I64" s="9" t="str">
        <v>17008071/003</v>
      </c>
      <c r="J64" s="9" t="str">
        <v>Contract</v>
      </c>
      <c r="K64" s="9" t="str">
        <v>No</v>
      </c>
      <c r="L64" s="9" t="str">
        <v>KXIND/S/GA/MC/24022</v>
      </c>
      <c r="M64" s="9">
        <v>45329</v>
      </c>
      <c r="N64" s="9">
        <v>89000</v>
      </c>
      <c r="O64" s="9" t="str">
        <v>January</v>
      </c>
      <c r="P64" s="9" t="str">
        <v>May</v>
      </c>
      <c r="Q64" s="9">
        <v>1</v>
      </c>
      <c r="R64" s="9" t="str">
        <v>NSPR/6000081949</v>
      </c>
      <c r="S64" s="9" t="str">
        <v>02.05.2025</v>
      </c>
      <c r="T64" s="9">
        <v>89000</v>
      </c>
      <c r="U64" s="9" t="str">
        <v>May</v>
      </c>
      <c r="V64" s="9">
        <v>0</v>
      </c>
      <c r="W64" s="9" t="str">
        <v>December, bought forward back log from 2024</v>
      </c>
      <c r="X64" s="9">
        <v>0</v>
      </c>
      <c r="Y64" s="9">
        <v>0</v>
      </c>
    </row>
    <row r="65" spans="1:25">
      <c r="A65" s="9">
        <v>58</v>
      </c>
      <c r="B65" s="9" t="str">
        <v>27/05/2025</v>
      </c>
      <c r="C65" s="9" t="str">
        <v>ITC Ltd</v>
      </c>
      <c r="D65" s="9" t="str">
        <v>Bangalore</v>
      </c>
      <c r="E65" s="9" t="str">
        <v>Store</v>
      </c>
      <c r="F65" s="9" t="str">
        <v>Padmaja Shankar</v>
      </c>
      <c r="G65" s="9">
        <v>9844121404</v>
      </c>
      <c r="H65" s="9" t="str">
        <v>&lt;Padmaja.Shankar@itc.in&gt;</v>
      </c>
      <c r="I65" s="9" t="str">
        <v>06010093/001</v>
      </c>
      <c r="J65" s="9" t="str">
        <v>Contract</v>
      </c>
      <c r="K65" s="9" t="str">
        <v>No</v>
      </c>
      <c r="L65" s="9" t="str">
        <v>KXIND/S/GA/MC/24015</v>
      </c>
      <c r="M65" s="9" t="str">
        <v>23/05/2025</v>
      </c>
      <c r="N65" s="9">
        <v>60000</v>
      </c>
      <c r="O65" s="9" t="str">
        <v>May</v>
      </c>
      <c r="P65" s="9" t="str">
        <v>July</v>
      </c>
      <c r="Q65" s="9">
        <v>1</v>
      </c>
      <c r="R65" s="9">
        <v>4200342890</v>
      </c>
      <c r="S65" s="9">
        <v>45817</v>
      </c>
      <c r="T65" s="9">
        <v>60000</v>
      </c>
      <c r="U65" s="9" t="str">
        <v>November</v>
      </c>
      <c r="V65" s="9">
        <v>0</v>
      </c>
      <c r="W65" s="9">
        <v>0</v>
      </c>
      <c r="X65" s="9">
        <v>0</v>
      </c>
      <c r="Y65" s="9">
        <v>0</v>
      </c>
    </row>
    <row r="66" spans="1:25">
      <c r="A66" s="9">
        <v>59</v>
      </c>
      <c r="B66" s="9" t="str">
        <v>27/05/2025</v>
      </c>
      <c r="C66" s="9" t="str">
        <v>Rittal India Pvt Ltd</v>
      </c>
      <c r="D66" s="9" t="str">
        <v>Bangalore</v>
      </c>
      <c r="E66" s="9" t="str">
        <v>Store</v>
      </c>
      <c r="F66" s="9" t="str">
        <v>Siddegowda A G</v>
      </c>
      <c r="G66" s="9" t="str">
        <v>+91 82962 60470</v>
      </c>
      <c r="H66" s="9" t="str">
        <v>siddegowda.ag@rittal-india.com</v>
      </c>
      <c r="I66" s="9" t="str">
        <v>08003615/001</v>
      </c>
      <c r="J66" s="9" t="str">
        <v>Midlife Upgrade</v>
      </c>
      <c r="K66" s="9" t="str">
        <v>Yes</v>
      </c>
      <c r="L66" s="9" t="str">
        <v>KXIND/S/GA/MLU/25001</v>
      </c>
      <c r="M66" s="9" t="str">
        <v>16/05/2025</v>
      </c>
      <c r="N66" s="9">
        <v>336860.15999999997</v>
      </c>
      <c r="O66" s="9" t="str">
        <v>May</v>
      </c>
      <c r="P66" s="9" t="str">
        <v>August</v>
      </c>
      <c r="Q66" s="9">
        <v>0.6</v>
      </c>
      <c r="R66" s="9">
        <v>4500273564</v>
      </c>
      <c r="S66" s="9" t="str">
        <v>20/08/2025</v>
      </c>
      <c r="T66" s="9">
        <v>336860.15999999997</v>
      </c>
      <c r="U66" s="9" t="str">
        <v>August</v>
      </c>
      <c r="V66" s="9">
        <v>0</v>
      </c>
      <c r="W66" s="9">
        <v>0</v>
      </c>
      <c r="X66" s="9">
        <v>0</v>
      </c>
      <c r="Y66" s="9">
        <v>0</v>
      </c>
    </row>
    <row r="67" spans="1:25">
      <c r="A67" s="9">
        <v>60</v>
      </c>
      <c r="B67" s="9" t="str">
        <v>27/05/2025</v>
      </c>
      <c r="C67" s="9" t="str">
        <v>Titan Company Limited Jewellery Division</v>
      </c>
      <c r="D67" s="9" t="str">
        <v>HOSUR</v>
      </c>
      <c r="E67" s="9" t="str">
        <v>maint</v>
      </c>
      <c r="F67" s="9" t="str">
        <v>Ashik</v>
      </c>
      <c r="G67" s="9">
        <v>0</v>
      </c>
      <c r="H67" s="9" t="str">
        <v>ashikmp@titan.co.in</v>
      </c>
      <c r="I67" s="9">
        <v>102005564</v>
      </c>
      <c r="J67" s="9" t="str">
        <v>Relocation</v>
      </c>
      <c r="K67" s="9" t="str">
        <v>No</v>
      </c>
      <c r="L67" s="9" t="str">
        <v>KXIND/S/GA/REL/25002</v>
      </c>
      <c r="M67" s="9">
        <v>45934</v>
      </c>
      <c r="N67" s="9">
        <v>0</v>
      </c>
      <c r="O67" s="9" t="str">
        <v>April</v>
      </c>
      <c r="P67" s="9">
        <v>0</v>
      </c>
      <c r="Q67" s="9">
        <v>0.6</v>
      </c>
      <c r="R67" s="9">
        <v>0</v>
      </c>
      <c r="S67" s="9">
        <v>0</v>
      </c>
      <c r="T67" s="9">
        <v>0</v>
      </c>
      <c r="U67" s="9" t="str">
        <v>November</v>
      </c>
      <c r="V67" s="9">
        <v>0</v>
      </c>
      <c r="W67" s="9">
        <v>0</v>
      </c>
      <c r="X67" s="9">
        <v>0</v>
      </c>
      <c r="Y67" s="9">
        <v>0</v>
      </c>
    </row>
    <row r="68" spans="1:25">
      <c r="A68" s="9">
        <v>61</v>
      </c>
      <c r="B68" s="9" t="str">
        <v>27/05/2025</v>
      </c>
      <c r="C68" s="9" t="str">
        <v>Rittal India Pvt Ltd</v>
      </c>
      <c r="D68" s="9" t="str">
        <v>Bangalore</v>
      </c>
      <c r="E68" s="9" t="str">
        <v>Store</v>
      </c>
      <c r="F68" s="9" t="str">
        <v>Siddegowda A G</v>
      </c>
      <c r="G68" s="9" t="str">
        <v>+91 82962 60470</v>
      </c>
      <c r="H68" s="9" t="str">
        <v>siddegowda.ag@rittal-india.com</v>
      </c>
      <c r="I68" s="9" t="str">
        <v>08003615/001</v>
      </c>
      <c r="J68" s="9" t="str">
        <v>Relocation</v>
      </c>
      <c r="K68" s="9" t="str">
        <v>No</v>
      </c>
      <c r="L68" s="9" t="str">
        <v>KXIND/S/GA/REL/25004</v>
      </c>
      <c r="M68" s="9">
        <v>45937</v>
      </c>
      <c r="N68" s="9">
        <v>250000</v>
      </c>
      <c r="O68" s="9" t="str">
        <v>October</v>
      </c>
      <c r="P68" s="9" t="str">
        <v>October</v>
      </c>
      <c r="Q68" s="9">
        <v>1</v>
      </c>
      <c r="R68" s="9">
        <v>4500277024</v>
      </c>
      <c r="S68" s="9" t="str">
        <v>17/10/2025</v>
      </c>
      <c r="T68" s="9">
        <v>250000</v>
      </c>
      <c r="U68" s="9" t="str">
        <v>October</v>
      </c>
      <c r="V68" s="9">
        <v>0</v>
      </c>
      <c r="W68" s="9">
        <v>0</v>
      </c>
      <c r="X68" s="9">
        <v>0</v>
      </c>
      <c r="Y68" s="9">
        <v>0</v>
      </c>
    </row>
    <row r="69" spans="1:25">
      <c r="A69" s="9">
        <v>62</v>
      </c>
      <c r="B69" s="9" t="str">
        <v>27/05/2025</v>
      </c>
      <c r="C69" s="9" t="str">
        <v xml:space="preserve">Hindustan Aeronautics LTD </v>
      </c>
      <c r="D69" s="9" t="str">
        <v>Bangalore</v>
      </c>
      <c r="E69" s="9" t="str">
        <v>AD</v>
      </c>
      <c r="F69" s="9" t="str">
        <v>Jeyaselvan</v>
      </c>
      <c r="G69" s="9">
        <v>9481273435</v>
      </c>
      <c r="H69" s="9" t="str">
        <v>purchase_ac@hal-india.co.in</v>
      </c>
      <c r="I69" s="9" t="str">
        <v>13000980/001</v>
      </c>
      <c r="J69" s="9" t="str">
        <v>Relocation</v>
      </c>
      <c r="K69" s="9" t="str">
        <v>No</v>
      </c>
      <c r="L69" s="9" t="str">
        <v>KXIND/S/GA/REL/25003</v>
      </c>
      <c r="M69" s="9" t="str">
        <v>23/04/2025</v>
      </c>
      <c r="N69" s="9">
        <v>392000</v>
      </c>
      <c r="O69" s="9" t="str">
        <v>April</v>
      </c>
      <c r="P69" s="9" t="str">
        <v xml:space="preserve">November </v>
      </c>
      <c r="Q69" s="9">
        <v>0.7</v>
      </c>
      <c r="R69" s="9">
        <v>0</v>
      </c>
      <c r="S69" s="9">
        <v>0</v>
      </c>
      <c r="T69" s="9">
        <v>0</v>
      </c>
      <c r="U69" s="9">
        <v>0</v>
      </c>
      <c r="V69" s="9">
        <v>392000</v>
      </c>
      <c r="W69" s="9">
        <v>0</v>
      </c>
      <c r="X69" s="9">
        <v>0</v>
      </c>
      <c r="Y69" s="9">
        <v>0</v>
      </c>
    </row>
    <row r="70" spans="1:25">
      <c r="A70" s="9">
        <v>64</v>
      </c>
      <c r="B70" s="9" t="str">
        <v>27/05/2025</v>
      </c>
      <c r="C70" s="9" t="str">
        <v>Bharat Electronics Ltd</v>
      </c>
      <c r="D70" s="9" t="str">
        <v>Bangalore</v>
      </c>
      <c r="E70" s="9" t="str">
        <v>EW&amp;A</v>
      </c>
      <c r="F70" s="9" t="str">
        <v>Sathish J</v>
      </c>
      <c r="G70" s="9">
        <v>9740619050</v>
      </c>
      <c r="H70" s="9" t="str">
        <v>sathishj@bel.co.in</v>
      </c>
      <c r="I70" s="9" t="str">
        <v>18000194/001</v>
      </c>
      <c r="J70" s="9" t="str">
        <v>SPP</v>
      </c>
      <c r="K70" s="9" t="str">
        <v>Yes</v>
      </c>
      <c r="L70" s="9" t="str">
        <v>KXIND/S/GA/SPP/25023</v>
      </c>
      <c r="M70" s="9">
        <v>45782</v>
      </c>
      <c r="N70" s="9">
        <v>10500</v>
      </c>
      <c r="O70" s="9" t="str">
        <v>May</v>
      </c>
      <c r="P70" s="9" t="str">
        <v>June</v>
      </c>
      <c r="Q70" s="9">
        <v>1</v>
      </c>
      <c r="R70" s="9">
        <v>4000546648</v>
      </c>
      <c r="S70" s="9" t="str">
        <v>14/07/2025</v>
      </c>
      <c r="T70" s="9">
        <v>10500</v>
      </c>
      <c r="U70" s="9" t="str">
        <v>July</v>
      </c>
      <c r="V70" s="9">
        <v>0</v>
      </c>
      <c r="W70" s="9">
        <v>0</v>
      </c>
      <c r="X70" s="9">
        <v>0</v>
      </c>
      <c r="Y70" s="9">
        <v>0</v>
      </c>
    </row>
    <row r="71" spans="1:25">
      <c r="A71" s="9">
        <v>65</v>
      </c>
      <c r="B71" s="9" t="str">
        <v>27/05/2025</v>
      </c>
      <c r="C71" s="9" t="str">
        <v>Bharat Electronics Ltd</v>
      </c>
      <c r="D71" s="9" t="str">
        <v>Bangalore</v>
      </c>
      <c r="E71" s="9" t="str">
        <v>NS2</v>
      </c>
      <c r="F71" s="9" t="str">
        <v>Manivannan K</v>
      </c>
      <c r="G71" s="9">
        <v>9449041517</v>
      </c>
      <c r="H71" s="9" t="str">
        <v>&lt;manivannank@bel.co.in&gt;</v>
      </c>
      <c r="I71" s="9" t="str">
        <v>10002282/001</v>
      </c>
      <c r="J71" s="9" t="str">
        <v>SPP</v>
      </c>
      <c r="K71" s="9" t="str">
        <v>Yes</v>
      </c>
      <c r="L71" s="9" t="str">
        <v>KXIND/S/GA/SPP/25022</v>
      </c>
      <c r="M71" s="9">
        <v>45782</v>
      </c>
      <c r="N71" s="9">
        <v>355866</v>
      </c>
      <c r="O71" s="9" t="str">
        <v>May</v>
      </c>
      <c r="P71" s="9">
        <v>0</v>
      </c>
      <c r="Q71" s="9">
        <v>0.7</v>
      </c>
      <c r="R71" s="9">
        <v>0</v>
      </c>
      <c r="S71" s="9">
        <v>0</v>
      </c>
      <c r="T71" s="9">
        <v>0</v>
      </c>
      <c r="U71" s="9">
        <v>0</v>
      </c>
      <c r="V71" s="9">
        <v>355866</v>
      </c>
      <c r="W71" s="9">
        <v>0</v>
      </c>
      <c r="X71" s="9">
        <v>0</v>
      </c>
      <c r="Y71" s="9">
        <v>0</v>
      </c>
    </row>
    <row r="72" spans="1:25">
      <c r="A72" s="9">
        <v>66</v>
      </c>
      <c r="B72" s="9" t="str">
        <v>28/05/2025</v>
      </c>
      <c r="C72" s="9" t="str">
        <v>Bharat Electronics Ltd</v>
      </c>
      <c r="D72" s="9" t="str">
        <v>Bangalore</v>
      </c>
      <c r="E72" s="9" t="str">
        <v>CMC</v>
      </c>
      <c r="F72" s="9" t="str">
        <v>Shivanandaraju R</v>
      </c>
      <c r="G72" s="9">
        <v>8022195885</v>
      </c>
      <c r="H72" s="9" t="str">
        <v>shivanandarajur@bel.co.in</v>
      </c>
      <c r="I72" s="9" t="str">
        <v>12002062/001</v>
      </c>
      <c r="J72" s="9" t="str">
        <v>SPP</v>
      </c>
      <c r="K72" s="9" t="str">
        <v>Yes</v>
      </c>
      <c r="L72" s="9" t="str">
        <v>KXIND/S/GA/SPP/25021A</v>
      </c>
      <c r="M72" s="9">
        <v>45782</v>
      </c>
      <c r="N72" s="9">
        <v>364850</v>
      </c>
      <c r="O72" s="9" t="str">
        <v>May</v>
      </c>
      <c r="P72" s="9" t="str">
        <v>October</v>
      </c>
      <c r="Q72" s="9">
        <v>1</v>
      </c>
      <c r="R72" s="9">
        <v>4000571346</v>
      </c>
      <c r="S72" s="9" t="str">
        <v>15/10/2025</v>
      </c>
      <c r="T72" s="9">
        <v>242465.28</v>
      </c>
      <c r="U72" s="9" t="str">
        <v>October</v>
      </c>
      <c r="V72" s="9">
        <v>0</v>
      </c>
      <c r="W72" s="9">
        <v>0</v>
      </c>
      <c r="X72" s="9">
        <v>0</v>
      </c>
      <c r="Y72" s="9">
        <v>0</v>
      </c>
    </row>
    <row r="73" spans="1:25">
      <c r="A73" s="9">
        <v>67</v>
      </c>
      <c r="B73" s="9" t="str">
        <v>28/05/2025</v>
      </c>
      <c r="C73" s="9" t="str">
        <v xml:space="preserve">Hindustan Aeronautics LTD </v>
      </c>
      <c r="D73" s="9" t="str">
        <v>Bangalore</v>
      </c>
      <c r="E73" s="9" t="str">
        <v>ED</v>
      </c>
      <c r="F73" s="9" t="str">
        <v>Ravi Madha</v>
      </c>
      <c r="G73" s="9">
        <v>9972356437</v>
      </c>
      <c r="H73" s="9" t="str">
        <v>ravi.madhav@hal-india.com</v>
      </c>
      <c r="I73" s="9" t="str">
        <v>21000483/003</v>
      </c>
      <c r="J73" s="9" t="str">
        <v>SPP</v>
      </c>
      <c r="K73" s="9" t="str">
        <v>Yes</v>
      </c>
      <c r="L73" s="9" t="str">
        <v>KXIND/S/GA/SPP/25020</v>
      </c>
      <c r="M73" s="9" t="str">
        <v>27/04/2025</v>
      </c>
      <c r="N73" s="9">
        <v>1900412</v>
      </c>
      <c r="O73" s="9" t="str">
        <v>April</v>
      </c>
      <c r="P73" s="9" t="str">
        <v>December</v>
      </c>
      <c r="Q73" s="9">
        <v>0.5</v>
      </c>
      <c r="R73" s="9">
        <v>0</v>
      </c>
      <c r="S73" s="9">
        <v>0</v>
      </c>
      <c r="T73" s="9">
        <v>0</v>
      </c>
      <c r="U73" s="9">
        <v>0</v>
      </c>
      <c r="V73" s="9">
        <v>1900412</v>
      </c>
      <c r="W73" s="9">
        <v>0</v>
      </c>
      <c r="X73" s="9">
        <v>0</v>
      </c>
      <c r="Y73" s="9">
        <v>0</v>
      </c>
    </row>
    <row r="74" spans="1:25">
      <c r="A74" s="9">
        <v>68</v>
      </c>
      <c r="B74" s="9">
        <v>45694</v>
      </c>
      <c r="C74" s="9" t="str">
        <v>Honda Motorcycle and Scooter India Pvt. Ltd</v>
      </c>
      <c r="D74" s="9" t="str">
        <v>Kolar</v>
      </c>
      <c r="E74" s="9" t="str">
        <v>Line 4</v>
      </c>
      <c r="F74" s="9" t="str">
        <v>Shivaram MV</v>
      </c>
      <c r="G74" s="9">
        <v>9902311047</v>
      </c>
      <c r="H74" s="9" t="str">
        <v>Shivaram.V@honda.hmsi.in</v>
      </c>
      <c r="I74" s="9" t="str">
        <v>17002414/03</v>
      </c>
      <c r="J74" s="9" t="str">
        <v>Contract</v>
      </c>
      <c r="K74" s="9" t="str">
        <v>No</v>
      </c>
      <c r="L74" s="9" t="str">
        <v>KXIND/S/AMC/GR24-011</v>
      </c>
      <c r="M74" s="9">
        <v>45325</v>
      </c>
      <c r="N74" s="9">
        <v>89000</v>
      </c>
      <c r="O74" s="9" t="str">
        <v>January</v>
      </c>
      <c r="P74" s="9" t="str">
        <v>June</v>
      </c>
      <c r="Q74" s="9">
        <v>0.9</v>
      </c>
      <c r="R74" s="9" t="str">
        <v>NSPR/6000082589</v>
      </c>
      <c r="S74" s="9" t="str">
        <v>29.05.2025</v>
      </c>
      <c r="T74" s="9">
        <v>89000</v>
      </c>
      <c r="U74" s="9" t="str">
        <v>November</v>
      </c>
      <c r="V74" s="9">
        <v>0</v>
      </c>
      <c r="W74" s="9" t="str">
        <v>December, bought forward back log from 2024</v>
      </c>
      <c r="X74" s="9">
        <v>0</v>
      </c>
      <c r="Y74" s="9">
        <v>0</v>
      </c>
    </row>
    <row r="75" spans="1:25">
      <c r="A75" s="9">
        <v>69</v>
      </c>
      <c r="B75" s="9">
        <v>45967</v>
      </c>
      <c r="C75" s="9" t="str">
        <v>Bharat Electronics Ltd</v>
      </c>
      <c r="D75" s="9" t="str">
        <v>Bangalore</v>
      </c>
      <c r="E75" s="9" t="str">
        <v>NCS</v>
      </c>
      <c r="F75" s="9" t="str">
        <v>Prakas V</v>
      </c>
      <c r="G75" s="9">
        <v>9343174460</v>
      </c>
      <c r="H75" s="9" t="str">
        <v>prakashv@bel.co.in</v>
      </c>
      <c r="I75" s="9" t="str">
        <v>09005253/001</v>
      </c>
      <c r="J75" s="9" t="str">
        <v>BD Spare</v>
      </c>
      <c r="K75" s="9" t="str">
        <v>No</v>
      </c>
      <c r="L75" s="9" t="str">
        <v>KXIND/S/GA/SPP/25029</v>
      </c>
      <c r="M75" s="9">
        <v>45819</v>
      </c>
      <c r="N75" s="9">
        <v>217000</v>
      </c>
      <c r="O75" s="9" t="str">
        <v>June</v>
      </c>
      <c r="P75" s="9" t="str">
        <v>December</v>
      </c>
      <c r="Q75" s="9">
        <v>0.7</v>
      </c>
      <c r="R75" s="9">
        <v>0</v>
      </c>
      <c r="S75" s="9">
        <v>0</v>
      </c>
      <c r="T75" s="9">
        <v>0</v>
      </c>
      <c r="U75" s="9">
        <v>0</v>
      </c>
      <c r="V75" s="9">
        <v>217000</v>
      </c>
      <c r="W75" s="9">
        <v>0</v>
      </c>
      <c r="X75" s="9">
        <v>0</v>
      </c>
      <c r="Y75" s="9">
        <v>0</v>
      </c>
    </row>
    <row r="76" spans="1:25">
      <c r="A76" s="9">
        <v>70</v>
      </c>
      <c r="B76" s="9">
        <v>45967</v>
      </c>
      <c r="C76" s="9" t="str">
        <v>Wendt india</v>
      </c>
      <c r="D76" s="9" t="str">
        <v>HOSUR</v>
      </c>
      <c r="E76" s="9" t="str">
        <v>maint</v>
      </c>
      <c r="F76" s="9" t="str">
        <v>Chidambaram.A</v>
      </c>
      <c r="G76" s="9">
        <v>9965812996</v>
      </c>
      <c r="H76" s="9" t="str">
        <v>pedteam@wendtindia.com</v>
      </c>
      <c r="I76" s="9" t="str">
        <v>15001956/001</v>
      </c>
      <c r="J76" s="9" t="str">
        <v>Upgrade kit</v>
      </c>
      <c r="K76" s="9">
        <v>0</v>
      </c>
      <c r="L76" s="9" t="str">
        <v>KXIND/S/GA/SPP/25028</v>
      </c>
      <c r="M76" s="9">
        <v>45818</v>
      </c>
      <c r="N76" s="9">
        <v>630000</v>
      </c>
      <c r="O76" s="9" t="str">
        <v>June</v>
      </c>
      <c r="P76" s="9" t="str">
        <v>December</v>
      </c>
      <c r="Q76" s="9">
        <v>0.5</v>
      </c>
      <c r="R76" s="9">
        <v>0</v>
      </c>
      <c r="S76" s="9">
        <v>0</v>
      </c>
      <c r="T76" s="9">
        <v>0</v>
      </c>
      <c r="U76" s="9">
        <v>0</v>
      </c>
      <c r="V76" s="9">
        <v>630000</v>
      </c>
      <c r="W76" s="9">
        <v>0</v>
      </c>
      <c r="X76" s="9">
        <v>0</v>
      </c>
      <c r="Y76" s="9">
        <v>0</v>
      </c>
    </row>
    <row r="77" spans="1:25">
      <c r="A77" s="9">
        <v>71</v>
      </c>
      <c r="B77" s="9" t="str">
        <v>29/07/2025</v>
      </c>
      <c r="C77" s="9" t="str">
        <v>Bharat Electronics Ltd</v>
      </c>
      <c r="D77" s="9" t="str">
        <v>Bangalore</v>
      </c>
      <c r="E77" s="9" t="str">
        <v>CMC</v>
      </c>
      <c r="F77" s="9" t="str">
        <v>Shivanandaraju R</v>
      </c>
      <c r="G77" s="9">
        <v>8022195885</v>
      </c>
      <c r="H77" s="9" t="str">
        <v>shivanandarajur@bel.co.in</v>
      </c>
      <c r="I77" s="9" t="str">
        <v>98000417/001</v>
      </c>
      <c r="J77" s="9" t="str">
        <v>Contract</v>
      </c>
      <c r="K77" s="9" t="str">
        <v>No</v>
      </c>
      <c r="L77" s="9" t="str">
        <v>KXIND/S/GA/MC/250018</v>
      </c>
      <c r="M77" s="9">
        <v>45819</v>
      </c>
      <c r="N77" s="9">
        <v>64190</v>
      </c>
      <c r="O77" s="9" t="str">
        <v>July</v>
      </c>
      <c r="P77" s="9" t="str">
        <v>July</v>
      </c>
      <c r="Q77" s="9">
        <v>1</v>
      </c>
      <c r="R77" s="9">
        <v>4800089417</v>
      </c>
      <c r="S77" s="9">
        <v>45864</v>
      </c>
      <c r="T77" s="9">
        <v>64190</v>
      </c>
      <c r="U77" s="9" t="str">
        <v>November</v>
      </c>
      <c r="V77" s="9">
        <v>0</v>
      </c>
      <c r="W77" s="9">
        <v>0</v>
      </c>
      <c r="X77" s="9">
        <v>0</v>
      </c>
      <c r="Y77" s="9">
        <v>0</v>
      </c>
    </row>
    <row r="78" spans="1:25">
      <c r="A78" s="9">
        <v>72</v>
      </c>
      <c r="B78" s="9" t="str">
        <v>29/07/2025</v>
      </c>
      <c r="C78" s="9" t="str">
        <v>CONTINENTAL AUTOMOTIVE COMPONENTS(INDIA)PVT LTD</v>
      </c>
      <c r="D78" s="9" t="str">
        <v xml:space="preserve">Bangalore </v>
      </c>
      <c r="E78" s="9" t="str">
        <v>Store</v>
      </c>
      <c r="F78" s="9" t="str">
        <v>Dheeraj, Dheeraj V</v>
      </c>
      <c r="G78" s="9">
        <v>9060133171</v>
      </c>
      <c r="H78" s="9" t="str">
        <v>dheeraj.v.dheeraj@continental-corporation.com</v>
      </c>
      <c r="I78" s="9" t="str">
        <v>16005036/001</v>
      </c>
      <c r="J78" s="9" t="str">
        <v>Contract</v>
      </c>
      <c r="K78" s="9" t="str">
        <v>No</v>
      </c>
      <c r="L78" s="9" t="str">
        <v>KXIND/S/GA/MC/250020</v>
      </c>
      <c r="M78" s="9">
        <v>45819</v>
      </c>
      <c r="N78" s="9">
        <v>102563.91</v>
      </c>
      <c r="O78" s="9" t="str">
        <v>July</v>
      </c>
      <c r="P78" s="9" t="str">
        <v>July</v>
      </c>
      <c r="Q78" s="9">
        <v>1</v>
      </c>
      <c r="R78" s="9">
        <v>5891136624</v>
      </c>
      <c r="S78" s="9">
        <v>45856</v>
      </c>
      <c r="T78" s="9">
        <v>102563.91</v>
      </c>
      <c r="U78" s="9" t="str">
        <v>November</v>
      </c>
      <c r="V78" s="9">
        <v>0</v>
      </c>
      <c r="W78" s="9">
        <v>0</v>
      </c>
      <c r="X78" s="9">
        <v>0</v>
      </c>
      <c r="Y78" s="9">
        <v>0</v>
      </c>
    </row>
    <row r="79" spans="1:25">
      <c r="A79" s="9">
        <v>73</v>
      </c>
      <c r="B79" s="9" t="str">
        <v>29/07/2025</v>
      </c>
      <c r="C79" s="9" t="str">
        <v>Rotork Controls (India) Pvt.Ltd</v>
      </c>
      <c r="D79" s="9" t="str">
        <v>Bangalore</v>
      </c>
      <c r="E79" s="9" t="str">
        <v>store</v>
      </c>
      <c r="F79" s="9" t="str">
        <v>Karthik</v>
      </c>
      <c r="G79" s="9">
        <v>9629999441</v>
      </c>
      <c r="H79" s="9" t="str">
        <v>Karthik.Subbarayalu@rotork.com</v>
      </c>
      <c r="I79" s="9" t="str">
        <v>09006892/001</v>
      </c>
      <c r="J79" s="9" t="str">
        <v>Contract</v>
      </c>
      <c r="K79" s="9" t="str">
        <v>No</v>
      </c>
      <c r="L79" s="9" t="str">
        <v>KXIND/S/GA/MC/250019</v>
      </c>
      <c r="M79" s="9">
        <v>45819</v>
      </c>
      <c r="N79" s="9">
        <v>62000</v>
      </c>
      <c r="O79" s="9" t="str">
        <v>June</v>
      </c>
      <c r="P79" s="9" t="str">
        <v>July</v>
      </c>
      <c r="Q79" s="9">
        <v>1</v>
      </c>
      <c r="R79" s="9" t="str">
        <v>KQ092756</v>
      </c>
      <c r="S79" s="9">
        <v>45855</v>
      </c>
      <c r="T79" s="9">
        <v>62000</v>
      </c>
      <c r="U79" s="9" t="str">
        <v>November</v>
      </c>
      <c r="V79" s="9">
        <v>0</v>
      </c>
      <c r="W79" s="9">
        <v>0</v>
      </c>
      <c r="X79" s="9">
        <v>0</v>
      </c>
      <c r="Y79" s="9">
        <v>0</v>
      </c>
    </row>
    <row r="80" spans="1:25">
      <c r="A80" s="9">
        <v>74</v>
      </c>
      <c r="B80" s="9" t="str">
        <v>29/7/2025</v>
      </c>
      <c r="C80" s="9" t="str">
        <v>International Aerospace Manufacturing Pvt Ltd</v>
      </c>
      <c r="D80" s="9" t="str">
        <v>Bangalore</v>
      </c>
      <c r="E80" s="9" t="str">
        <v>store</v>
      </c>
      <c r="F80" s="9" t="str">
        <v>Guruprasad BC</v>
      </c>
      <c r="G80" s="9">
        <v>9742019678</v>
      </c>
      <c r="H80" s="9" t="str">
        <v>guru.prasad@iampl.co.in</v>
      </c>
      <c r="I80" s="9" t="str">
        <v>12000025/001</v>
      </c>
      <c r="J80" s="9" t="str">
        <v>Contract</v>
      </c>
      <c r="K80" s="9" t="str">
        <v>No</v>
      </c>
      <c r="L80" s="9" t="str">
        <v>KXIND/S/GA/MC/25016</v>
      </c>
      <c r="M80" s="9">
        <v>45819</v>
      </c>
      <c r="N80" s="9">
        <v>120000</v>
      </c>
      <c r="O80" s="9" t="str">
        <v>June</v>
      </c>
      <c r="P80" s="9" t="str">
        <v>July</v>
      </c>
      <c r="Q80" s="9">
        <v>1</v>
      </c>
      <c r="R80" s="9" t="str">
        <v>BLR-PO-1005150</v>
      </c>
      <c r="S80" s="9">
        <v>45854</v>
      </c>
      <c r="T80" s="9">
        <v>120000</v>
      </c>
      <c r="U80" s="9" t="str">
        <v>November</v>
      </c>
      <c r="V80" s="9">
        <v>0</v>
      </c>
      <c r="W80" s="9">
        <v>0</v>
      </c>
      <c r="X80" s="9">
        <v>0</v>
      </c>
      <c r="Y80" s="9">
        <v>0</v>
      </c>
    </row>
    <row r="81" spans="1:25">
      <c r="A81" s="9">
        <v>75</v>
      </c>
      <c r="B81" s="9" t="str">
        <v>29/07/2025</v>
      </c>
      <c r="C81" s="9" t="str">
        <v>CONTINENTAL AUTOMOTIVE COMPONENTS(INDIA)PVT LTD</v>
      </c>
      <c r="D81" s="9" t="str">
        <v xml:space="preserve">Bangalore </v>
      </c>
      <c r="E81" s="9" t="str">
        <v>Store</v>
      </c>
      <c r="F81" s="9" t="str">
        <v>Dheeraj, Dheeraj V</v>
      </c>
      <c r="G81" s="9">
        <v>9060133171</v>
      </c>
      <c r="H81" s="9" t="str">
        <v>dheeraj.v.dheeraj@continental-corporation.com</v>
      </c>
      <c r="I81" s="9" t="str">
        <v>16005036/002</v>
      </c>
      <c r="J81" s="9" t="str">
        <v>SPP</v>
      </c>
      <c r="K81" s="9" t="str">
        <v>Yes</v>
      </c>
      <c r="L81" s="9" t="str">
        <v>KXIND/S/SPP/GR24-025B</v>
      </c>
      <c r="M81" s="9" t="str">
        <v>28/11/2024</v>
      </c>
      <c r="N81" s="9">
        <v>280932.47999999998</v>
      </c>
      <c r="O81" s="9" t="str">
        <v>January</v>
      </c>
      <c r="P81" s="9" t="str">
        <v>July</v>
      </c>
      <c r="Q81" s="9">
        <v>0.9</v>
      </c>
      <c r="R81" s="9">
        <v>5891136626</v>
      </c>
      <c r="S81" s="9">
        <v>45856</v>
      </c>
      <c r="T81" s="9">
        <v>280932.47999999998</v>
      </c>
      <c r="U81" s="9" t="str">
        <v>November</v>
      </c>
      <c r="V81" s="9">
        <v>0</v>
      </c>
      <c r="W81" s="9">
        <v>0</v>
      </c>
      <c r="X81" s="9">
        <v>0</v>
      </c>
      <c r="Y81" s="9">
        <v>0</v>
      </c>
    </row>
    <row r="82" spans="1:25">
      <c r="A82" s="9">
        <v>76</v>
      </c>
      <c r="B82" s="9" t="str">
        <v>29/7/2025</v>
      </c>
      <c r="C82" s="9" t="str">
        <v>Schaeffler India Limited</v>
      </c>
      <c r="D82" s="9" t="str">
        <v>hosur</v>
      </c>
      <c r="E82" s="9" t="str">
        <v>store</v>
      </c>
      <c r="F82" s="9" t="str">
        <v>Jaishankar Govindasamy</v>
      </c>
      <c r="G82" s="9">
        <v>9894006484</v>
      </c>
      <c r="H82" s="9" t="str">
        <v>govinjis@schaeffler.com ·</v>
      </c>
      <c r="I82" s="9" t="str">
        <v>18007954/002</v>
      </c>
      <c r="J82" s="9" t="str">
        <v>SPP</v>
      </c>
      <c r="K82" s="9" t="str">
        <v>Yes</v>
      </c>
      <c r="L82" s="9" t="str">
        <v>KXIND/S/GA/SPP/25030A</v>
      </c>
      <c r="M82" s="9">
        <v>45855</v>
      </c>
      <c r="N82" s="9">
        <v>496771</v>
      </c>
      <c r="O82" s="9" t="str">
        <v>July</v>
      </c>
      <c r="P82" s="9" t="str">
        <v>July</v>
      </c>
      <c r="Q82" s="9">
        <v>1</v>
      </c>
      <c r="R82" s="9" t="str">
        <v>0153 / C56 / 39717570</v>
      </c>
      <c r="S82" s="9">
        <v>45855</v>
      </c>
      <c r="T82" s="9">
        <v>496771</v>
      </c>
      <c r="U82" s="9" t="str">
        <v>November</v>
      </c>
      <c r="V82" s="9">
        <v>0</v>
      </c>
      <c r="W82" s="9">
        <v>0</v>
      </c>
      <c r="X82" s="9">
        <v>0</v>
      </c>
      <c r="Y82" s="9">
        <v>0</v>
      </c>
    </row>
    <row r="83" spans="1:25">
      <c r="A83" s="9">
        <v>77</v>
      </c>
      <c r="B83" s="9" t="str">
        <v>29/7/2025</v>
      </c>
      <c r="C83" s="9" t="str">
        <v>Bharat Electronics Ltd</v>
      </c>
      <c r="D83" s="9" t="str">
        <v>Bangalore</v>
      </c>
      <c r="E83" s="9" t="str">
        <v>NP Store</v>
      </c>
      <c r="F83" s="9" t="str">
        <v>Prabhakar S</v>
      </c>
      <c r="G83" s="9">
        <v>0</v>
      </c>
      <c r="H83" s="9" t="str">
        <v>prabhakars@bel.co.in</v>
      </c>
      <c r="I83" s="9" t="str">
        <v>04001139/001</v>
      </c>
      <c r="J83" s="9" t="str">
        <v>SPP</v>
      </c>
      <c r="K83" s="9" t="str">
        <v>Yes</v>
      </c>
      <c r="L83" s="9" t="str">
        <v>KXIND/S/GA/SPP/25011</v>
      </c>
      <c r="M83" s="9" t="str">
        <v>19/03/2025</v>
      </c>
      <c r="N83" s="9">
        <v>168652</v>
      </c>
      <c r="O83" s="9" t="str">
        <v>March</v>
      </c>
      <c r="P83" s="9" t="str">
        <v>July</v>
      </c>
      <c r="Q83" s="9">
        <v>1</v>
      </c>
      <c r="R83" s="9">
        <v>4000547869</v>
      </c>
      <c r="S83" s="9">
        <v>45839</v>
      </c>
      <c r="T83" s="9">
        <v>168652</v>
      </c>
      <c r="U83" s="9" t="str">
        <v>November</v>
      </c>
      <c r="V83" s="9">
        <v>0</v>
      </c>
      <c r="W83" s="9">
        <v>0</v>
      </c>
      <c r="X83" s="9">
        <v>0</v>
      </c>
      <c r="Y83" s="9">
        <v>0</v>
      </c>
    </row>
    <row r="84" spans="1:25">
      <c r="A84" s="9">
        <v>78</v>
      </c>
      <c r="B84" s="9" t="str">
        <v>30/07/2025</v>
      </c>
      <c r="C84" s="9" t="str">
        <v>Titan Engineering and Automation Limited</v>
      </c>
      <c r="D84" s="9" t="str">
        <v>Hosur</v>
      </c>
      <c r="E84" s="9" t="str">
        <v>Unit 1</v>
      </c>
      <c r="F84" s="9" t="str">
        <v>L.Thanigaivel</v>
      </c>
      <c r="G84" s="9">
        <v>9442277228</v>
      </c>
      <c r="H84" s="9" t="str">
        <v>thanigaivel@titan.co.in</v>
      </c>
      <c r="I84" s="9" t="str">
        <v>20000362/001</v>
      </c>
      <c r="J84" s="9" t="str">
        <v>Contract</v>
      </c>
      <c r="K84" s="9" t="str">
        <v>No</v>
      </c>
      <c r="L84" s="9" t="str">
        <v>KXIND/S/GA/MC/25026A</v>
      </c>
      <c r="M84" s="9" t="str">
        <v>30/07/2025</v>
      </c>
      <c r="N84" s="9">
        <v>76000</v>
      </c>
      <c r="O84" s="9" t="str">
        <v>July</v>
      </c>
      <c r="P84" s="9" t="str">
        <v>August</v>
      </c>
      <c r="Q84" s="9">
        <v>1</v>
      </c>
      <c r="R84" s="9">
        <v>401230020</v>
      </c>
      <c r="S84" s="9">
        <v>45878</v>
      </c>
      <c r="T84" s="9">
        <v>76000</v>
      </c>
      <c r="U84" s="9" t="str">
        <v>November</v>
      </c>
      <c r="V84" s="9">
        <v>0</v>
      </c>
      <c r="W84" s="9">
        <v>0</v>
      </c>
      <c r="X84" s="9">
        <v>0</v>
      </c>
      <c r="Y84" s="9">
        <v>0</v>
      </c>
    </row>
    <row r="85" spans="1:25">
      <c r="A85" s="9">
        <v>79</v>
      </c>
      <c r="B85" s="9" t="str">
        <v>30/07/2025</v>
      </c>
      <c r="C85" s="9" t="str">
        <v>Bharat Electronics Ltd</v>
      </c>
      <c r="D85" s="9" t="str">
        <v>Bangalore</v>
      </c>
      <c r="E85" s="9" t="str">
        <v>MWT</v>
      </c>
      <c r="F85" s="9" t="str">
        <v>Prasanna kumar C</v>
      </c>
      <c r="G85" s="9">
        <v>9902611220</v>
      </c>
      <c r="H85" s="9" t="str">
        <v>prasannakumarc@bel.co.in</v>
      </c>
      <c r="I85" s="9" t="str">
        <v>14000054/001</v>
      </c>
      <c r="J85" s="9" t="str">
        <v>Contract</v>
      </c>
      <c r="K85" s="9" t="str">
        <v>Yes</v>
      </c>
      <c r="L85" s="9" t="str">
        <v>KXIND/S/GA/MC/25025</v>
      </c>
      <c r="M85" s="9">
        <v>45849</v>
      </c>
      <c r="N85" s="9">
        <v>61000</v>
      </c>
      <c r="O85" s="9" t="str">
        <v>July</v>
      </c>
      <c r="P85" s="9" t="str">
        <v>August</v>
      </c>
      <c r="Q85" s="9">
        <v>1</v>
      </c>
      <c r="R85" s="9">
        <v>4800089566</v>
      </c>
      <c r="S85" s="9">
        <v>45755</v>
      </c>
      <c r="T85" s="9">
        <v>61000</v>
      </c>
      <c r="U85" s="9" t="str">
        <v>November</v>
      </c>
      <c r="V85" s="9">
        <v>0</v>
      </c>
      <c r="W85" s="9">
        <v>0</v>
      </c>
      <c r="X85" s="9">
        <v>0</v>
      </c>
      <c r="Y85" s="9">
        <v>0</v>
      </c>
    </row>
    <row r="86" spans="1:25">
      <c r="A86" s="9">
        <v>80</v>
      </c>
      <c r="B86" s="9" t="str">
        <v>30/07/2025</v>
      </c>
      <c r="C86" s="9" t="str">
        <v>Federal Mogul Goetze (India) Pvt Ltd</v>
      </c>
      <c r="D86" s="9" t="str">
        <v>Bangalore</v>
      </c>
      <c r="E86" s="9" t="str">
        <v>Store</v>
      </c>
      <c r="F86" s="9" t="str">
        <v>Benjamin.Antony Benjamin.Antony</v>
      </c>
      <c r="G86" s="9">
        <v>9019707946</v>
      </c>
      <c r="H86" s="9" t="str">
        <v>&lt;benjamin.antony@tenneco.com&gt;</v>
      </c>
      <c r="I86" s="9" t="str">
        <v>05007637/001</v>
      </c>
      <c r="J86" s="9" t="str">
        <v>SPP</v>
      </c>
      <c r="K86" s="9" t="str">
        <v>Yes</v>
      </c>
      <c r="L86" s="9" t="str">
        <v>KXIND/S/GA/SPP/25032</v>
      </c>
      <c r="M86" s="9">
        <v>45842</v>
      </c>
      <c r="N86" s="9">
        <v>599462.35</v>
      </c>
      <c r="O86" s="9" t="str">
        <v>July</v>
      </c>
      <c r="P86" s="9" t="str">
        <v>August</v>
      </c>
      <c r="Q86" s="9">
        <v>0.9</v>
      </c>
      <c r="R86" s="9" t="str">
        <v>3010345924</v>
      </c>
      <c r="S86" s="9">
        <v>45874</v>
      </c>
      <c r="T86" s="9">
        <v>599462.35</v>
      </c>
      <c r="U86" s="9" t="str">
        <v>November</v>
      </c>
      <c r="V86" s="9">
        <v>0</v>
      </c>
      <c r="W86" s="9">
        <v>0</v>
      </c>
      <c r="X86" s="9">
        <v>0</v>
      </c>
      <c r="Y86" s="9">
        <v>0</v>
      </c>
    </row>
    <row r="87" spans="1:25">
      <c r="A87" s="9">
        <v>81</v>
      </c>
      <c r="B87" s="9" t="str">
        <v>30/07/2025</v>
      </c>
      <c r="C87" s="9" t="str">
        <v>C DOT</v>
      </c>
      <c r="D87" s="9" t="str">
        <v>Bangalore</v>
      </c>
      <c r="E87" s="9" t="str">
        <v> </v>
      </c>
      <c r="F87" s="9" t="str">
        <v xml:space="preserve">Shiva </v>
      </c>
      <c r="G87" s="9">
        <v>9448325008</v>
      </c>
      <c r="H87" s="9" t="str">
        <v>siva@cdot.in</v>
      </c>
      <c r="I87" s="9" t="str">
        <v>16002526/001</v>
      </c>
      <c r="J87" s="9" t="str">
        <v>Contract</v>
      </c>
      <c r="K87" s="9" t="str">
        <v>No</v>
      </c>
      <c r="L87" s="9" t="str">
        <v>KXIND/S/GA/MC/250024</v>
      </c>
      <c r="M87" s="9">
        <v>45842</v>
      </c>
      <c r="N87" s="9">
        <v>660000</v>
      </c>
      <c r="O87" s="9" t="str">
        <v>July</v>
      </c>
      <c r="P87" s="9" t="str">
        <v>December</v>
      </c>
      <c r="Q87" s="9">
        <v>1</v>
      </c>
      <c r="R87" s="9" t="str">
        <v>PO2526BCPL00176</v>
      </c>
      <c r="S87" s="9">
        <v>46000</v>
      </c>
      <c r="T87" s="9">
        <v>660000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</row>
    <row r="88" spans="1:25">
      <c r="A88" s="9">
        <v>82</v>
      </c>
      <c r="B88" s="9" t="str">
        <v>30/07/2025</v>
      </c>
      <c r="C88" s="9" t="str">
        <v>Wendt india</v>
      </c>
      <c r="D88" s="9" t="str">
        <v>HOSUR</v>
      </c>
      <c r="E88" s="9" t="str">
        <v>maint</v>
      </c>
      <c r="F88" s="9" t="str">
        <v>Chidambaram.A</v>
      </c>
      <c r="G88" s="9">
        <v>9965812996</v>
      </c>
      <c r="H88" s="9" t="str">
        <v>pedteam@wendtindia.com</v>
      </c>
      <c r="I88" s="9" t="str">
        <v>15001956/001</v>
      </c>
      <c r="J88" s="9" t="str">
        <v>Contract</v>
      </c>
      <c r="K88" s="9" t="str">
        <v>No</v>
      </c>
      <c r="L88" s="9" t="str">
        <v>KXIND/S/GA/MC/250023</v>
      </c>
      <c r="M88" s="9">
        <v>45842</v>
      </c>
      <c r="N88" s="9">
        <v>84000</v>
      </c>
      <c r="O88" s="9" t="str">
        <v>July</v>
      </c>
      <c r="P88" s="9" t="str">
        <v>October</v>
      </c>
      <c r="Q88" s="9">
        <v>0.9</v>
      </c>
      <c r="R88" s="9">
        <v>5500011884</v>
      </c>
      <c r="S88" s="9" t="str">
        <v>29/08/2025</v>
      </c>
      <c r="T88" s="9">
        <v>84000</v>
      </c>
      <c r="U88" s="9" t="str">
        <v>November</v>
      </c>
      <c r="V88" s="9">
        <v>0</v>
      </c>
      <c r="W88" s="9">
        <v>0</v>
      </c>
      <c r="X88" s="9">
        <v>0</v>
      </c>
      <c r="Y88" s="9">
        <v>0</v>
      </c>
    </row>
    <row r="89" spans="1:25">
      <c r="A89" s="9">
        <v>83</v>
      </c>
      <c r="B89" s="9" t="str">
        <v>30/07/2025</v>
      </c>
      <c r="C89" s="9" t="str">
        <v>Otto Bilz(India) Pvt Ltd</v>
      </c>
      <c r="D89" s="9" t="str">
        <v>Bangalore</v>
      </c>
      <c r="E89" s="9" t="str">
        <v>Maint</v>
      </c>
      <c r="F89" s="9" t="str">
        <v>Narasimha</v>
      </c>
      <c r="G89" s="9">
        <v>8197508735</v>
      </c>
      <c r="H89" s="9" t="str">
        <v>narasimha@bilzindia.com</v>
      </c>
      <c r="I89" s="9">
        <v>305000032</v>
      </c>
      <c r="J89" s="9" t="str">
        <v>Contract</v>
      </c>
      <c r="K89" s="9" t="str">
        <v>No</v>
      </c>
      <c r="L89" s="9" t="str">
        <v>KXIND/S/GA/MC/250021</v>
      </c>
      <c r="M89" s="9">
        <v>45819</v>
      </c>
      <c r="N89" s="9">
        <v>84000</v>
      </c>
      <c r="O89" s="9" t="str">
        <v>September</v>
      </c>
      <c r="P89" s="9" t="str">
        <v>August</v>
      </c>
      <c r="Q89" s="9">
        <v>1</v>
      </c>
      <c r="R89" s="9" t="str">
        <v>OBI/WRO/2025/00154</v>
      </c>
      <c r="S89" s="9" t="str">
        <v>13-08-2025</v>
      </c>
      <c r="T89" s="9">
        <v>84000</v>
      </c>
      <c r="U89" s="9" t="str">
        <v>November</v>
      </c>
      <c r="V89" s="9">
        <v>0</v>
      </c>
      <c r="W89" s="9">
        <v>0</v>
      </c>
      <c r="X89" s="9">
        <v>0</v>
      </c>
      <c r="Y89" s="9">
        <v>0</v>
      </c>
    </row>
    <row r="90" spans="1:25">
      <c r="A90" s="9">
        <v>84</v>
      </c>
      <c r="B90" s="9">
        <v>45785</v>
      </c>
      <c r="C90" s="9" t="str">
        <v>ITC Ltd</v>
      </c>
      <c r="D90" s="9" t="str">
        <v>Bangalore</v>
      </c>
      <c r="E90" s="9" t="str">
        <v>STORE</v>
      </c>
      <c r="F90" s="9" t="str">
        <v>Padmaja Shankar</v>
      </c>
      <c r="G90" s="9">
        <v>9844121404</v>
      </c>
      <c r="H90" s="9" t="str">
        <v>Padmaja.Shankar@itc.in</v>
      </c>
      <c r="I90" s="9" t="str">
        <v>00008461/001</v>
      </c>
      <c r="J90" s="9" t="str">
        <v>BD Spare</v>
      </c>
      <c r="K90" s="9" t="str">
        <v>No</v>
      </c>
      <c r="L90" s="9" t="str">
        <v>KXIND/S/GA/SPP/25009</v>
      </c>
      <c r="M90" s="9">
        <v>45871</v>
      </c>
      <c r="N90" s="9">
        <v>131594.88</v>
      </c>
      <c r="O90" s="9" t="str">
        <v>August</v>
      </c>
      <c r="P90" s="9" t="str">
        <v>August</v>
      </c>
      <c r="Q90" s="9">
        <v>1</v>
      </c>
      <c r="R90" s="9">
        <v>4517476650</v>
      </c>
      <c r="S90" s="9">
        <v>45785</v>
      </c>
      <c r="T90" s="9">
        <v>131594.88</v>
      </c>
      <c r="U90" s="9" t="str">
        <v>November</v>
      </c>
      <c r="V90" s="9">
        <v>0</v>
      </c>
      <c r="W90" s="9">
        <v>0</v>
      </c>
      <c r="X90" s="9">
        <v>0</v>
      </c>
      <c r="Y90" s="9">
        <v>0</v>
      </c>
    </row>
    <row r="91" spans="1:25">
      <c r="A91" s="9">
        <v>85</v>
      </c>
      <c r="B91" s="9">
        <v>45785</v>
      </c>
      <c r="C91" s="9" t="str">
        <v>Bharat Electronics Ltd</v>
      </c>
      <c r="D91" s="9" t="str">
        <v>Bangalore</v>
      </c>
      <c r="E91" s="9" t="str">
        <v>MWT</v>
      </c>
      <c r="F91" s="9" t="str">
        <v>Prasanna kumar C</v>
      </c>
      <c r="G91" s="9">
        <v>9902611220</v>
      </c>
      <c r="H91" s="9" t="str">
        <v>prasannakumarc@bel.co.in</v>
      </c>
      <c r="I91" s="9" t="str">
        <v>14000054/001</v>
      </c>
      <c r="J91" s="9" t="str">
        <v>BD Spare</v>
      </c>
      <c r="K91" s="9" t="str">
        <v>No</v>
      </c>
      <c r="L91" s="9" t="str">
        <v>KXIND/S/GA/SPP/25033</v>
      </c>
      <c r="M91" s="9">
        <v>45968</v>
      </c>
      <c r="N91" s="9">
        <v>37810</v>
      </c>
      <c r="O91" s="9" t="str">
        <v>July</v>
      </c>
      <c r="P91" s="9" t="str">
        <v>August</v>
      </c>
      <c r="Q91" s="9">
        <v>1</v>
      </c>
      <c r="R91" s="9">
        <v>4000559236</v>
      </c>
      <c r="S91" s="9">
        <v>45785</v>
      </c>
      <c r="T91" s="9">
        <v>37810</v>
      </c>
      <c r="U91" s="9" t="str">
        <v>November</v>
      </c>
      <c r="V91" s="9">
        <v>0</v>
      </c>
      <c r="W91" s="9">
        <v>0</v>
      </c>
      <c r="X91" s="9">
        <v>0</v>
      </c>
      <c r="Y91" s="9">
        <v>0</v>
      </c>
    </row>
    <row r="92" spans="1:25">
      <c r="A92" s="9">
        <v>86</v>
      </c>
      <c r="B92" s="9">
        <v>45908</v>
      </c>
      <c r="C92" s="9" t="str">
        <v>Honda Motorcycle and Scooter India Pvt. Ltd</v>
      </c>
      <c r="D92" s="9" t="str">
        <v>Kolar</v>
      </c>
      <c r="E92" s="9" t="str">
        <v>Line 4</v>
      </c>
      <c r="F92" s="9" t="str">
        <v>Shivaram MV</v>
      </c>
      <c r="G92" s="9">
        <v>9902311047</v>
      </c>
      <c r="H92" s="9" t="str">
        <v>Shivaram.V@honda.hmsi.in</v>
      </c>
      <c r="I92" s="9" t="str">
        <v>17002414/001</v>
      </c>
      <c r="J92" s="9" t="str">
        <v>Contract</v>
      </c>
      <c r="K92" s="9" t="str">
        <v>No</v>
      </c>
      <c r="L92" s="9" t="str">
        <v>Repet Order</v>
      </c>
      <c r="M92" s="9">
        <v>0</v>
      </c>
      <c r="N92" s="9">
        <v>89000</v>
      </c>
      <c r="O92" s="9" t="str">
        <v>August</v>
      </c>
      <c r="P92" s="9" t="str">
        <v>August</v>
      </c>
      <c r="Q92" s="9">
        <v>1</v>
      </c>
      <c r="R92" s="9" t="str">
        <v>NSPR/6000083834</v>
      </c>
      <c r="S92" s="9">
        <v>45873</v>
      </c>
      <c r="T92" s="9">
        <v>89000</v>
      </c>
      <c r="U92" s="9" t="str">
        <v>November</v>
      </c>
      <c r="V92" s="9">
        <v>0</v>
      </c>
      <c r="W92" s="9">
        <v>0</v>
      </c>
      <c r="X92" s="9">
        <v>0</v>
      </c>
      <c r="Y92" s="9">
        <v>0</v>
      </c>
    </row>
    <row r="93" spans="1:25">
      <c r="A93" s="9">
        <v>87</v>
      </c>
      <c r="B93" s="9" t="str">
        <v>21/08/2025</v>
      </c>
      <c r="C93" s="9" t="str">
        <v>Schaeffler India Limited</v>
      </c>
      <c r="D93" s="9" t="str">
        <v>hosur</v>
      </c>
      <c r="E93" s="9" t="str">
        <v>store</v>
      </c>
      <c r="F93" s="9" t="str">
        <v>Jaishankar Govindasamy</v>
      </c>
      <c r="G93" s="9">
        <v>9894006484</v>
      </c>
      <c r="H93" s="9" t="str">
        <v>govinjis@schaeffler.com ·</v>
      </c>
      <c r="I93" s="9" t="str">
        <v>18007954/002</v>
      </c>
      <c r="J93" s="9" t="str">
        <v>SPP</v>
      </c>
      <c r="K93" s="9" t="str">
        <v>Yes</v>
      </c>
      <c r="L93" s="9" t="str">
        <v>KXIND/S/GA/SPP/25030A</v>
      </c>
      <c r="M93" s="9">
        <v>45855</v>
      </c>
      <c r="N93" s="9">
        <v>383075</v>
      </c>
      <c r="O93" s="9" t="str">
        <v>July</v>
      </c>
      <c r="P93" s="9" t="str">
        <v>July</v>
      </c>
      <c r="Q93" s="9">
        <v>1</v>
      </c>
      <c r="R93" s="9" t="str">
        <v>0153 / C56 / 50042813</v>
      </c>
      <c r="S93" s="9" t="str">
        <v>21/08/2028</v>
      </c>
      <c r="T93" s="9">
        <v>383075</v>
      </c>
      <c r="U93" s="9" t="str">
        <v>November</v>
      </c>
      <c r="V93" s="9">
        <v>0</v>
      </c>
      <c r="W93" s="9">
        <v>0</v>
      </c>
      <c r="X93" s="9">
        <v>0</v>
      </c>
      <c r="Y93" s="9">
        <v>0</v>
      </c>
    </row>
    <row r="94" spans="1:25">
      <c r="A94" s="9">
        <v>88</v>
      </c>
      <c r="B94" s="9">
        <v>45666</v>
      </c>
      <c r="C94" s="9" t="str">
        <v>Schaeffler India Limited</v>
      </c>
      <c r="D94" s="9" t="str">
        <v>hosur</v>
      </c>
      <c r="E94" s="9" t="str">
        <v>store</v>
      </c>
      <c r="F94" s="9" t="str">
        <v>Jaishankar Govindasamy</v>
      </c>
      <c r="G94" s="9">
        <v>9894006484</v>
      </c>
      <c r="H94" s="9" t="str">
        <v>govinjis@schaeffler.com ·</v>
      </c>
      <c r="I94" s="9" t="str">
        <v>17006348/001</v>
      </c>
      <c r="J94" s="9" t="str">
        <v>Upgrade kit</v>
      </c>
      <c r="K94" s="9" t="str">
        <v>Yes</v>
      </c>
      <c r="L94" s="9" t="str">
        <v>KXIND/S/GA/SPP/25031</v>
      </c>
      <c r="M94" s="9" t="str">
        <v>27/06/2025</v>
      </c>
      <c r="N94" s="9">
        <v>566371</v>
      </c>
      <c r="O94" s="9" t="str">
        <v>September</v>
      </c>
      <c r="P94" s="9" t="str">
        <v>September</v>
      </c>
      <c r="Q94" s="9">
        <v>1</v>
      </c>
      <c r="R94" s="9" t="str">
        <v>0153 / C56 / 50107766</v>
      </c>
      <c r="S94" s="9">
        <v>45666</v>
      </c>
      <c r="T94" s="9">
        <v>566371</v>
      </c>
      <c r="U94" s="9" t="str">
        <v>November</v>
      </c>
      <c r="V94" s="9">
        <v>0</v>
      </c>
      <c r="W94" s="9">
        <v>0</v>
      </c>
      <c r="X94" s="9">
        <v>0</v>
      </c>
      <c r="Y94" s="9">
        <v>0</v>
      </c>
    </row>
    <row r="95" spans="1:25">
      <c r="A95" s="9">
        <v>89</v>
      </c>
      <c r="B95" s="9">
        <v>45725</v>
      </c>
      <c r="C95" s="9" t="str">
        <v>Titan Enginnering and Automation Ltd</v>
      </c>
      <c r="D95" s="9" t="str">
        <v>HOSUR</v>
      </c>
      <c r="E95" s="9" t="str">
        <v xml:space="preserve">Unit 5 </v>
      </c>
      <c r="F95" s="9" t="str">
        <v>SARAVANAN V</v>
      </c>
      <c r="G95" s="9">
        <v>7305219330</v>
      </c>
      <c r="H95" s="9" t="str">
        <v>vsaravanan@titan.co.in</v>
      </c>
      <c r="I95" s="9" t="str">
        <v>21008643/001</v>
      </c>
      <c r="J95" s="9" t="str">
        <v>BD Spare</v>
      </c>
      <c r="K95" s="9" t="str">
        <v>No</v>
      </c>
      <c r="L95" s="9" t="str">
        <v>KXIND/S/GA/SPP/25039</v>
      </c>
      <c r="M95" s="9" t="str">
        <v>27/08/2025</v>
      </c>
      <c r="N95" s="9">
        <v>30903.5</v>
      </c>
      <c r="O95" s="9" t="str">
        <v>August</v>
      </c>
      <c r="P95" s="9" t="str">
        <v>September</v>
      </c>
      <c r="Q95" s="9">
        <v>1</v>
      </c>
      <c r="R95" s="9">
        <v>20414332</v>
      </c>
      <c r="S95" s="9">
        <v>45725</v>
      </c>
      <c r="T95" s="9">
        <v>30903.5</v>
      </c>
      <c r="U95" s="9" t="str">
        <v>November</v>
      </c>
      <c r="V95" s="9">
        <v>0</v>
      </c>
      <c r="W95" s="9">
        <v>0</v>
      </c>
      <c r="X95" s="9">
        <v>0</v>
      </c>
      <c r="Y95" s="9">
        <v>0</v>
      </c>
    </row>
    <row r="96" spans="1:25">
      <c r="A96" s="9">
        <v>90</v>
      </c>
      <c r="B96" s="9">
        <v>45939</v>
      </c>
      <c r="C96" s="9" t="str">
        <v>Energy Pack Pvt Ltd</v>
      </c>
      <c r="D96" s="9" t="str">
        <v>Bangalore</v>
      </c>
      <c r="E96" s="9" t="str">
        <v xml:space="preserve">maintenance </v>
      </c>
      <c r="F96" s="9" t="str">
        <v>Devaraja</v>
      </c>
      <c r="G96" s="9">
        <v>9980798762</v>
      </c>
      <c r="H96" s="9" t="str">
        <v>maintenaceTeam &lt;maintenance@shivamanigroup.com&gt;</v>
      </c>
      <c r="I96" s="9" t="str">
        <v>11006708/001</v>
      </c>
      <c r="J96" s="9" t="str">
        <v>BD Charges</v>
      </c>
      <c r="K96" s="9" t="str">
        <v>No</v>
      </c>
      <c r="L96" s="9" t="str">
        <v>KXIIND/S/OTS/GR25-007</v>
      </c>
      <c r="M96" s="9">
        <v>45756</v>
      </c>
      <c r="N96" s="9">
        <v>33000</v>
      </c>
      <c r="O96" s="9" t="str">
        <v>September</v>
      </c>
      <c r="P96" s="9" t="str">
        <v>September</v>
      </c>
      <c r="Q96" s="9">
        <v>1</v>
      </c>
      <c r="R96" s="9" t="str">
        <v>U12526POR03102</v>
      </c>
      <c r="S96" s="9">
        <v>45878</v>
      </c>
      <c r="T96" s="9">
        <v>33000</v>
      </c>
      <c r="U96" s="9" t="str">
        <v>November</v>
      </c>
      <c r="V96" s="9">
        <v>0</v>
      </c>
      <c r="W96" s="9">
        <v>0</v>
      </c>
      <c r="X96" s="9">
        <v>0</v>
      </c>
      <c r="Y96" s="9">
        <v>0</v>
      </c>
    </row>
    <row r="97" spans="1:25">
      <c r="A97" s="9">
        <v>91</v>
      </c>
      <c r="B97" s="9">
        <v>45818</v>
      </c>
      <c r="C97" s="9" t="str">
        <v>Corborundum Universal Ltd</v>
      </c>
      <c r="D97" s="9" t="str">
        <v>HOSUR</v>
      </c>
      <c r="E97" s="9" t="str">
        <v>Maint</v>
      </c>
      <c r="F97" s="9" t="str">
        <v>Kalishwaran V</v>
      </c>
      <c r="G97" s="9" t="str">
        <v>96299 97207</v>
      </c>
      <c r="H97" s="9" t="str">
        <v>kalishwaranv@cumi.murugappa.com</v>
      </c>
      <c r="I97" s="9" t="str">
        <v>19008586/001</v>
      </c>
      <c r="J97" s="9" t="str">
        <v>Contract</v>
      </c>
      <c r="K97" s="9" t="str">
        <v>No</v>
      </c>
      <c r="L97" s="9" t="str">
        <v>KXIND/S/GA/MC/250028_01</v>
      </c>
      <c r="M97" s="9">
        <v>45848</v>
      </c>
      <c r="N97" s="9">
        <v>109200</v>
      </c>
      <c r="O97" s="9" t="str">
        <v>October</v>
      </c>
      <c r="P97" s="9" t="str">
        <v>October</v>
      </c>
      <c r="Q97" s="9">
        <v>0.9</v>
      </c>
      <c r="R97" s="9" t="str">
        <v>CICSPO/000805/25</v>
      </c>
      <c r="S97" s="9" t="str">
        <v>25/10/2025</v>
      </c>
      <c r="T97" s="9">
        <v>109200</v>
      </c>
      <c r="U97" s="9" t="str">
        <v>November</v>
      </c>
      <c r="V97" s="9">
        <v>0</v>
      </c>
      <c r="W97" s="9">
        <v>0</v>
      </c>
      <c r="X97" s="9">
        <v>0</v>
      </c>
      <c r="Y97" s="9">
        <v>0</v>
      </c>
    </row>
    <row r="98" spans="1:25">
      <c r="A98" s="9">
        <v>92</v>
      </c>
      <c r="B98" s="9">
        <v>45818</v>
      </c>
      <c r="C98" s="9" t="str">
        <v>Honda Motorcycle and Scooter India Pvt. Ltd</v>
      </c>
      <c r="D98" s="9" t="str">
        <v>Kolar</v>
      </c>
      <c r="E98" s="9" t="str">
        <v>FA</v>
      </c>
      <c r="F98" s="9" t="str">
        <v>P. Ganesh</v>
      </c>
      <c r="G98" s="9">
        <v>9686452794</v>
      </c>
      <c r="H98" s="9" t="str">
        <v>P.Ganesh@honda.hmsi.in</v>
      </c>
      <c r="I98" s="9" t="str">
        <v>16007470/001</v>
      </c>
      <c r="J98" s="9" t="str">
        <v>Contract</v>
      </c>
      <c r="K98" s="9" t="str">
        <v>No</v>
      </c>
      <c r="L98" s="9" t="str">
        <v>KXIND/S/GA/MC/250030</v>
      </c>
      <c r="M98" s="9">
        <v>45901</v>
      </c>
      <c r="N98" s="9">
        <v>89000</v>
      </c>
      <c r="O98" s="9" t="str">
        <v>September</v>
      </c>
      <c r="P98" s="9" t="str">
        <v>October</v>
      </c>
      <c r="Q98" s="9">
        <v>1</v>
      </c>
      <c r="R98" s="9" t="str">
        <v>NSPR/6000084878</v>
      </c>
      <c r="S98" s="9" t="str">
        <v>26/09/2025</v>
      </c>
      <c r="T98" s="9">
        <v>89000</v>
      </c>
      <c r="U98" s="9" t="str">
        <v>November</v>
      </c>
      <c r="V98" s="9">
        <v>0</v>
      </c>
      <c r="W98" s="9">
        <v>0</v>
      </c>
      <c r="X98" s="9">
        <v>0</v>
      </c>
      <c r="Y98" s="9">
        <v>0</v>
      </c>
    </row>
    <row r="99" spans="1:25">
      <c r="A99" s="9">
        <v>93</v>
      </c>
      <c r="B99" s="9">
        <v>45848</v>
      </c>
      <c r="C99" s="9" t="str">
        <v>Federal Mogul Goetze (India) Pvt Ltd</v>
      </c>
      <c r="D99" s="9" t="str">
        <v>Bangalore</v>
      </c>
      <c r="E99" s="9" t="str">
        <v>Store</v>
      </c>
      <c r="F99" s="9" t="str">
        <v>Benjamin.Antony Benjamin.Antony</v>
      </c>
      <c r="G99" s="9">
        <v>9019707946</v>
      </c>
      <c r="H99" s="9" t="str">
        <v>benjamin.antony@tenneco.com</v>
      </c>
      <c r="I99" s="9" t="str">
        <v>05007637/001</v>
      </c>
      <c r="J99" s="9" t="str">
        <v>Contract</v>
      </c>
      <c r="K99" s="9" t="str">
        <v>No</v>
      </c>
      <c r="L99" s="9" t="str">
        <v>KXIND/S/GA/MC/250049</v>
      </c>
      <c r="M99" s="9">
        <v>45933</v>
      </c>
      <c r="N99" s="9">
        <v>93000</v>
      </c>
      <c r="O99" s="9" t="str">
        <v>October</v>
      </c>
      <c r="P99" s="9" t="str">
        <v>December</v>
      </c>
      <c r="Q99" s="9">
        <v>0.8</v>
      </c>
      <c r="R99" s="9">
        <v>0</v>
      </c>
      <c r="S99" s="9">
        <v>0</v>
      </c>
      <c r="T99" s="9">
        <v>0</v>
      </c>
      <c r="U99" s="9" t="str">
        <v>November</v>
      </c>
      <c r="V99" s="9">
        <v>93000</v>
      </c>
      <c r="W99" s="9">
        <v>0</v>
      </c>
      <c r="X99" s="9">
        <v>0</v>
      </c>
      <c r="Y99" s="9">
        <v>0</v>
      </c>
    </row>
    <row r="100" spans="1:25">
      <c r="A100" s="9">
        <v>94</v>
      </c>
      <c r="B100" s="9">
        <v>45848</v>
      </c>
      <c r="C100" s="9" t="str">
        <v>Taegutec India Pvt Ltd</v>
      </c>
      <c r="D100" s="9" t="str">
        <v>Bangalore</v>
      </c>
      <c r="E100" s="9" t="str">
        <v>Mait</v>
      </c>
      <c r="F100" s="9" t="str">
        <v>Suresha N</v>
      </c>
      <c r="G100" s="9">
        <v>9590027444</v>
      </c>
      <c r="H100" s="9" t="str">
        <v>suresha.n@taegutec-india.com</v>
      </c>
      <c r="I100" s="9">
        <v>500003581</v>
      </c>
      <c r="J100" s="9" t="str">
        <v>Contract</v>
      </c>
      <c r="K100" s="9" t="str">
        <v>No</v>
      </c>
      <c r="L100" s="9" t="str">
        <v>KXIND/S/GA/MC/250048</v>
      </c>
      <c r="M100" s="9">
        <v>45933</v>
      </c>
      <c r="N100" s="9">
        <v>75000</v>
      </c>
      <c r="O100" s="9" t="str">
        <v>October</v>
      </c>
      <c r="P100" s="9" t="str">
        <v>November</v>
      </c>
      <c r="Q100" s="9">
        <v>1</v>
      </c>
      <c r="R100" s="9">
        <v>132964</v>
      </c>
      <c r="S100" s="9">
        <v>45981</v>
      </c>
      <c r="T100" s="9">
        <v>75000</v>
      </c>
      <c r="U100" s="9" t="str">
        <v>December</v>
      </c>
      <c r="V100" s="9">
        <v>0</v>
      </c>
      <c r="W100" s="9">
        <v>0</v>
      </c>
      <c r="X100" s="9">
        <v>0</v>
      </c>
      <c r="Y100" s="9">
        <v>0</v>
      </c>
    </row>
    <row r="101" spans="1:25">
      <c r="A101" s="9">
        <v>95</v>
      </c>
      <c r="B101" s="9">
        <v>45848</v>
      </c>
      <c r="C101" s="9" t="str">
        <v>Bharat Electronics Ltd</v>
      </c>
      <c r="D101" s="9" t="str">
        <v>Bangalore</v>
      </c>
      <c r="E101" s="9" t="str">
        <v>NS2</v>
      </c>
      <c r="F101" s="9" t="str">
        <v>NATARAJA H</v>
      </c>
      <c r="G101" s="9">
        <v>8022195605</v>
      </c>
      <c r="H101" s="9" t="str">
        <v>natarajah@bel.co.innatarajah@bel.co.in</v>
      </c>
      <c r="I101" s="9" t="str">
        <v>11003650/001</v>
      </c>
      <c r="J101" s="9" t="str">
        <v>Contract</v>
      </c>
      <c r="K101" s="9" t="str">
        <v>No</v>
      </c>
      <c r="L101" s="9" t="str">
        <v>KXIND/S/GA/MC/250047</v>
      </c>
      <c r="M101" s="9">
        <v>45933</v>
      </c>
      <c r="N101" s="9">
        <v>61440</v>
      </c>
      <c r="O101" s="9" t="str">
        <v>October</v>
      </c>
      <c r="P101" s="9" t="str">
        <v>December</v>
      </c>
      <c r="Q101" s="9">
        <v>1</v>
      </c>
      <c r="R101" s="9">
        <v>4800091857</v>
      </c>
      <c r="S101" s="9" t="str">
        <v>17/11/2025</v>
      </c>
      <c r="T101" s="9">
        <v>61440</v>
      </c>
      <c r="U101" s="9" t="str">
        <v>November</v>
      </c>
      <c r="V101" s="9">
        <v>0</v>
      </c>
      <c r="W101" s="9">
        <v>0</v>
      </c>
      <c r="X101" s="9">
        <v>0</v>
      </c>
      <c r="Y101" s="9">
        <v>0</v>
      </c>
    </row>
    <row r="102" spans="1:25">
      <c r="A102" s="9">
        <v>96</v>
      </c>
      <c r="B102" s="9">
        <v>45848</v>
      </c>
      <c r="C102" s="9" t="str">
        <v xml:space="preserve">Hindustan Aeronautics LTD </v>
      </c>
      <c r="D102" s="9" t="str">
        <v>Bangalore</v>
      </c>
      <c r="E102" s="9" t="str">
        <v>ED</v>
      </c>
      <c r="F102" s="9" t="str">
        <v>Ravi Madha</v>
      </c>
      <c r="G102" s="9">
        <v>9972356437</v>
      </c>
      <c r="H102" s="9" t="str">
        <v>ravi.madhav@hal-india.com</v>
      </c>
      <c r="I102" s="9" t="str">
        <v>16000086/002</v>
      </c>
      <c r="J102" s="9" t="str">
        <v>Contract</v>
      </c>
      <c r="K102" s="9" t="str">
        <v>No</v>
      </c>
      <c r="L102" s="9" t="str">
        <v>KXIND/S/GA/MC/250046</v>
      </c>
      <c r="M102" s="9">
        <v>45933</v>
      </c>
      <c r="N102" s="9">
        <v>95500</v>
      </c>
      <c r="O102" s="9" t="str">
        <v>October</v>
      </c>
      <c r="P102" s="9" t="str">
        <v>December</v>
      </c>
      <c r="Q102" s="9">
        <v>0.9</v>
      </c>
      <c r="R102" s="9">
        <v>0</v>
      </c>
      <c r="S102" s="9">
        <v>0</v>
      </c>
      <c r="T102" s="9">
        <v>0</v>
      </c>
      <c r="U102" s="9" t="str">
        <v>November</v>
      </c>
      <c r="V102" s="9">
        <v>95500</v>
      </c>
      <c r="W102" s="9">
        <v>0</v>
      </c>
      <c r="X102" s="9">
        <v>0</v>
      </c>
      <c r="Y102" s="9">
        <v>0</v>
      </c>
    </row>
    <row r="103" spans="1:25">
      <c r="A103" s="9">
        <v>97</v>
      </c>
      <c r="B103" s="9">
        <v>45848</v>
      </c>
      <c r="C103" s="9" t="str">
        <v>Bharat Electronics Ltd</v>
      </c>
      <c r="D103" s="9" t="str">
        <v>Bangalore</v>
      </c>
      <c r="E103" s="9" t="str">
        <v>PSC</v>
      </c>
      <c r="F103" s="9" t="str">
        <v>Ramanjinaiah</v>
      </c>
      <c r="G103" s="9">
        <v>9480080557</v>
      </c>
      <c r="H103" s="9" t="str">
        <v>mcsemrej@bel.co.in</v>
      </c>
      <c r="I103" s="9" t="str">
        <v>04001792/001</v>
      </c>
      <c r="J103" s="9" t="str">
        <v>Contract</v>
      </c>
      <c r="K103" s="9" t="str">
        <v>No</v>
      </c>
      <c r="L103" s="9" t="str">
        <v>KXIND/S/GA/MC/250045</v>
      </c>
      <c r="M103" s="9">
        <v>45909</v>
      </c>
      <c r="N103" s="9">
        <v>65500</v>
      </c>
      <c r="O103" s="9" t="str">
        <v>September</v>
      </c>
      <c r="P103" s="9" t="str">
        <v>December</v>
      </c>
      <c r="Q103" s="9">
        <v>0.6</v>
      </c>
      <c r="R103" s="9">
        <v>0</v>
      </c>
      <c r="S103" s="9">
        <v>0</v>
      </c>
      <c r="T103" s="9">
        <v>0</v>
      </c>
      <c r="U103" s="9" t="str">
        <v>November</v>
      </c>
      <c r="V103" s="9">
        <v>65500</v>
      </c>
      <c r="W103" s="9">
        <v>0</v>
      </c>
      <c r="X103" s="9">
        <v>0</v>
      </c>
      <c r="Y103" s="9">
        <v>0</v>
      </c>
    </row>
    <row r="104" spans="1:25">
      <c r="A104" s="9">
        <v>98</v>
      </c>
      <c r="B104" s="9">
        <v>45848</v>
      </c>
      <c r="C104" s="9" t="str">
        <v>Bharat Electronics Ltd</v>
      </c>
      <c r="D104" s="9" t="str">
        <v>Bangalore</v>
      </c>
      <c r="E104" s="9" t="str">
        <v>MCE &amp; NCS</v>
      </c>
      <c r="F104" s="9" t="str">
        <v>Prakas V</v>
      </c>
      <c r="G104" s="9">
        <v>9343174460</v>
      </c>
      <c r="H104" s="9" t="str">
        <v>prakashv@bel.co.in</v>
      </c>
      <c r="I104" s="9" t="str">
        <v>10002349/001</v>
      </c>
      <c r="J104" s="9" t="str">
        <v>Contract</v>
      </c>
      <c r="K104" s="9" t="str">
        <v>No</v>
      </c>
      <c r="L104" s="9" t="str">
        <v>KXIND/S/GA/MC/250017A</v>
      </c>
      <c r="M104" s="9">
        <v>45907</v>
      </c>
      <c r="N104" s="9">
        <v>65500</v>
      </c>
      <c r="O104" s="9" t="str">
        <v>September</v>
      </c>
      <c r="P104" s="9" t="str">
        <v>December</v>
      </c>
      <c r="Q104" s="9">
        <v>0.8</v>
      </c>
      <c r="R104" s="9">
        <v>0</v>
      </c>
      <c r="S104" s="9">
        <v>0</v>
      </c>
      <c r="T104" s="9">
        <v>0</v>
      </c>
      <c r="U104" s="9" t="str">
        <v>November</v>
      </c>
      <c r="V104" s="9">
        <v>65500</v>
      </c>
      <c r="W104" s="9">
        <v>0</v>
      </c>
      <c r="X104" s="9">
        <v>0</v>
      </c>
      <c r="Y104" s="9">
        <v>0</v>
      </c>
    </row>
    <row r="105" spans="1:25">
      <c r="A105" s="9">
        <v>99</v>
      </c>
      <c r="B105" s="9">
        <v>45848</v>
      </c>
      <c r="C105" s="9" t="str">
        <v>Indic EMS Electronics Pvt LTD</v>
      </c>
      <c r="D105" s="9" t="str">
        <v>Bangalore</v>
      </c>
      <c r="E105" s="9" t="str">
        <v>Store</v>
      </c>
      <c r="F105" s="9" t="str">
        <v>Murulidhara K</v>
      </c>
      <c r="G105" s="9" t="str">
        <v>95385 62445</v>
      </c>
      <c r="H105" s="9" t="str">
        <v>murulidharak@indicelectronics.com</v>
      </c>
      <c r="I105" s="9" t="str">
        <v>105000217/001</v>
      </c>
      <c r="J105" s="9" t="str">
        <v>Contract</v>
      </c>
      <c r="K105" s="9" t="str">
        <v>Yes</v>
      </c>
      <c r="L105" s="9" t="str">
        <v>KXIND/S/GA/MC/250029</v>
      </c>
      <c r="M105" s="9">
        <v>45901</v>
      </c>
      <c r="N105" s="9">
        <v>100000</v>
      </c>
      <c r="O105" s="9" t="str">
        <v>September</v>
      </c>
      <c r="P105" s="9" t="str">
        <v>November</v>
      </c>
      <c r="Q105" s="9">
        <v>1</v>
      </c>
      <c r="R105" s="9">
        <v>4400000465</v>
      </c>
      <c r="S105" s="9" t="str">
        <v>13/11/2025</v>
      </c>
      <c r="T105" s="9">
        <v>100000</v>
      </c>
      <c r="U105" s="9" t="str">
        <v>November</v>
      </c>
      <c r="V105" s="9">
        <v>0</v>
      </c>
      <c r="W105" s="9">
        <v>0</v>
      </c>
      <c r="X105" s="9">
        <v>0</v>
      </c>
      <c r="Y105" s="9">
        <v>0</v>
      </c>
    </row>
    <row r="106" spans="1:25">
      <c r="A106" s="9">
        <v>100</v>
      </c>
      <c r="B106" s="9">
        <v>45848</v>
      </c>
      <c r="C106" s="9" t="str">
        <v>Tata Hitachi Construction Machinery Company Limited (THCM)</v>
      </c>
      <c r="D106" s="9" t="str">
        <v>DHARAWAD</v>
      </c>
      <c r="E106" s="9" t="str">
        <v>maint</v>
      </c>
      <c r="F106" s="9" t="str">
        <v>Simon.kishore</v>
      </c>
      <c r="G106" s="9">
        <v>8824185860</v>
      </c>
      <c r="H106" s="9" t="str">
        <v>Simon.kishore@tatahitachi.co.in</v>
      </c>
      <c r="I106" s="9" t="str">
        <v>07010648/001</v>
      </c>
      <c r="J106" s="9" t="str">
        <v>Contract</v>
      </c>
      <c r="K106" s="9" t="str">
        <v>No</v>
      </c>
      <c r="L106" s="9" t="str">
        <v>KXIND/S/GA/MC/25027</v>
      </c>
      <c r="M106" s="9" t="str">
        <v>28/08/2025</v>
      </c>
      <c r="N106" s="9">
        <v>88200</v>
      </c>
      <c r="O106" s="9" t="str">
        <v>August</v>
      </c>
      <c r="P106" s="9" t="str">
        <v>November</v>
      </c>
      <c r="Q106" s="9">
        <v>1</v>
      </c>
      <c r="R106" s="9">
        <v>2800095345</v>
      </c>
      <c r="S106" s="9" t="str">
        <v>17/10/2025</v>
      </c>
      <c r="T106" s="9">
        <v>86436</v>
      </c>
      <c r="U106" s="9" t="str">
        <v>November</v>
      </c>
      <c r="V106" s="9">
        <v>0</v>
      </c>
      <c r="W106" s="9">
        <v>0</v>
      </c>
      <c r="X106" s="9">
        <v>0</v>
      </c>
      <c r="Y106" s="9">
        <v>0</v>
      </c>
    </row>
    <row r="107" spans="1:25">
      <c r="A107" s="9">
        <v>101</v>
      </c>
      <c r="B107" s="9">
        <v>45848</v>
      </c>
      <c r="C107" s="9" t="str">
        <v>Titan Enginnering and Automation Ltd</v>
      </c>
      <c r="D107" s="9" t="str">
        <v>HOSUR</v>
      </c>
      <c r="E107" s="9" t="str">
        <v>unit 2</v>
      </c>
      <c r="F107" s="9" t="str">
        <v>Satheesh V</v>
      </c>
      <c r="G107" s="9">
        <v>9597085079</v>
      </c>
      <c r="H107" s="9" t="str">
        <v>satheeshv@titan.co.in</v>
      </c>
      <c r="I107" s="9" t="str">
        <v>16001971/001</v>
      </c>
      <c r="J107" s="9" t="str">
        <v>SPP</v>
      </c>
      <c r="K107" s="9" t="str">
        <v>Yes</v>
      </c>
      <c r="L107" s="9" t="str">
        <v>KXIND/S/GA/SPP/25050</v>
      </c>
      <c r="M107" s="9">
        <v>45937</v>
      </c>
      <c r="N107" s="9">
        <v>279767</v>
      </c>
      <c r="O107" s="9" t="str">
        <v>October</v>
      </c>
      <c r="P107" s="9" t="str">
        <v>December</v>
      </c>
      <c r="Q107" s="9">
        <v>0.6</v>
      </c>
      <c r="R107" s="9">
        <v>0</v>
      </c>
      <c r="S107" s="9">
        <v>0</v>
      </c>
      <c r="T107" s="9">
        <v>0</v>
      </c>
      <c r="U107" s="9">
        <v>0</v>
      </c>
      <c r="V107" s="9">
        <v>279767</v>
      </c>
      <c r="W107" s="9">
        <v>0</v>
      </c>
      <c r="X107" s="9">
        <v>0</v>
      </c>
      <c r="Y107" s="9">
        <v>0</v>
      </c>
    </row>
    <row r="108" spans="1:25">
      <c r="A108" s="9">
        <v>102</v>
      </c>
      <c r="B108" s="9">
        <v>45848</v>
      </c>
      <c r="C108" s="9" t="str">
        <v>Titan Company Limited Watch Division</v>
      </c>
      <c r="D108" s="9" t="str">
        <v>Hosur</v>
      </c>
      <c r="E108" s="9" t="str">
        <v>Case maint</v>
      </c>
      <c r="F108" s="9" t="str">
        <v>Muthukumar G</v>
      </c>
      <c r="G108" s="9">
        <v>9043276494</v>
      </c>
      <c r="H108" s="9" t="str">
        <v>muthukumar@titan.co.in</v>
      </c>
      <c r="I108" s="9" t="str">
        <v>16007990/001</v>
      </c>
      <c r="J108" s="9" t="str">
        <v>SPP</v>
      </c>
      <c r="K108" s="9" t="str">
        <v>Yes</v>
      </c>
      <c r="L108" s="9" t="str">
        <v>KXIND/S/GA/SPP/250049</v>
      </c>
      <c r="M108" s="9">
        <v>45938</v>
      </c>
      <c r="N108" s="9">
        <v>60000</v>
      </c>
      <c r="O108" s="9" t="str">
        <v>October</v>
      </c>
      <c r="P108" s="9" t="str">
        <v>November</v>
      </c>
      <c r="Q108" s="9">
        <v>1</v>
      </c>
      <c r="R108" s="9">
        <v>101276474</v>
      </c>
      <c r="S108" s="9" t="str">
        <v>16/10/2025</v>
      </c>
      <c r="T108" s="9">
        <v>580894.24</v>
      </c>
      <c r="U108" s="9" t="str">
        <v>November</v>
      </c>
      <c r="V108" s="9">
        <v>0</v>
      </c>
      <c r="W108" s="9">
        <v>0</v>
      </c>
      <c r="X108" s="9">
        <v>0</v>
      </c>
      <c r="Y108" s="9">
        <v>0</v>
      </c>
    </row>
    <row r="109" spans="1:25">
      <c r="A109" s="9">
        <v>103</v>
      </c>
      <c r="B109" s="9">
        <v>45848</v>
      </c>
      <c r="C109" s="9" t="str">
        <v>GE BE PVT LTD</v>
      </c>
      <c r="D109" s="9" t="str">
        <v>Bangalore</v>
      </c>
      <c r="E109" s="9" t="str">
        <v>Store</v>
      </c>
      <c r="F109" s="9" t="str">
        <v>HL, Ambarish</v>
      </c>
      <c r="G109" s="9">
        <v>9845203244</v>
      </c>
      <c r="H109" s="9" t="str">
        <v>ambarish.hl@gehealthcare.com</v>
      </c>
      <c r="I109" s="9" t="str">
        <v>02000017/001</v>
      </c>
      <c r="J109" s="9" t="str">
        <v>Upgrade kit</v>
      </c>
      <c r="K109" s="9" t="str">
        <v>Yes</v>
      </c>
      <c r="L109" s="9" t="str">
        <v>KXIND/S/GA/SPP/2548</v>
      </c>
      <c r="M109" s="9">
        <v>45936</v>
      </c>
      <c r="N109" s="9">
        <v>758304</v>
      </c>
      <c r="O109" s="9" t="str">
        <v>October</v>
      </c>
      <c r="P109" s="9" t="str">
        <v>December</v>
      </c>
      <c r="Q109" s="9">
        <v>0.9</v>
      </c>
      <c r="R109" s="9">
        <v>0</v>
      </c>
      <c r="S109" s="9">
        <v>0</v>
      </c>
      <c r="T109" s="9">
        <v>0</v>
      </c>
      <c r="U109" s="9">
        <v>0</v>
      </c>
      <c r="V109" s="9">
        <v>758304</v>
      </c>
      <c r="W109" s="9">
        <v>0</v>
      </c>
      <c r="X109" s="9">
        <v>0</v>
      </c>
      <c r="Y109" s="9">
        <v>0</v>
      </c>
    </row>
    <row r="110" spans="1:25">
      <c r="A110" s="9">
        <v>104</v>
      </c>
      <c r="B110" s="9">
        <v>45848</v>
      </c>
      <c r="C110" s="9" t="str">
        <v>Bharat Electronics Ltd</v>
      </c>
      <c r="D110" s="9" t="str">
        <v>Bangalore</v>
      </c>
      <c r="E110" s="9" t="str">
        <v>NS1</v>
      </c>
      <c r="F110" s="9" t="str">
        <v>Muralidharan M</v>
      </c>
      <c r="G110" s="9">
        <v>9008097055</v>
      </c>
      <c r="H110" s="9" t="str">
        <v>muralidharanm@bel.co.in</v>
      </c>
      <c r="I110" s="9" t="str">
        <v>98011682/001</v>
      </c>
      <c r="J110" s="9" t="str">
        <v>SPP</v>
      </c>
      <c r="K110" s="9" t="str">
        <v>Yes</v>
      </c>
      <c r="L110" s="9" t="str">
        <v>KXIND/S/GA/SPP/25047</v>
      </c>
      <c r="M110" s="9">
        <v>45936</v>
      </c>
      <c r="N110" s="9">
        <v>120750</v>
      </c>
      <c r="O110" s="9" t="str">
        <v>October</v>
      </c>
      <c r="P110" s="9" t="str">
        <v>December</v>
      </c>
      <c r="Q110" s="9">
        <v>0.6</v>
      </c>
      <c r="R110" s="9">
        <v>0</v>
      </c>
      <c r="S110" s="9">
        <v>0</v>
      </c>
      <c r="T110" s="9">
        <v>0</v>
      </c>
      <c r="U110" s="9">
        <v>0</v>
      </c>
      <c r="V110" s="9">
        <v>120750</v>
      </c>
      <c r="W110" s="9">
        <v>0</v>
      </c>
      <c r="X110" s="9">
        <v>0</v>
      </c>
      <c r="Y110" s="9">
        <v>0</v>
      </c>
    </row>
    <row r="111" spans="1:25">
      <c r="A111" s="9">
        <v>105</v>
      </c>
      <c r="B111" s="9">
        <v>45848</v>
      </c>
      <c r="C111" s="9" t="str">
        <v xml:space="preserve">Hindustan Aeronautics LTD </v>
      </c>
      <c r="D111" s="9" t="str">
        <v>Bangalore</v>
      </c>
      <c r="E111" s="9" t="str">
        <v>AD</v>
      </c>
      <c r="F111" s="9" t="str">
        <v>Bhavishya S N</v>
      </c>
      <c r="G111" s="9" t="str">
        <v>94814 23476</v>
      </c>
      <c r="H111" s="9" t="str">
        <v>bhavishya.sn@hal-india.co.in</v>
      </c>
      <c r="I111" s="9" t="str">
        <v>14003375/001</v>
      </c>
      <c r="J111" s="9" t="str">
        <v>Midlife Upgrade</v>
      </c>
      <c r="K111" s="9" t="str">
        <v>Yes</v>
      </c>
      <c r="L111" s="9" t="str">
        <v>KXIND/S/GA/SPP/25046</v>
      </c>
      <c r="M111" s="9">
        <v>45934</v>
      </c>
      <c r="N111" s="9">
        <v>6485822</v>
      </c>
      <c r="O111" s="9" t="str">
        <v>October</v>
      </c>
      <c r="P111" s="9" t="str">
        <v>December</v>
      </c>
      <c r="Q111" s="9">
        <v>0.8</v>
      </c>
      <c r="R111" s="9">
        <v>0</v>
      </c>
      <c r="S111" s="9">
        <v>0</v>
      </c>
      <c r="T111" s="9">
        <v>0</v>
      </c>
      <c r="U111" s="9">
        <v>0</v>
      </c>
      <c r="V111" s="9">
        <v>6485822</v>
      </c>
      <c r="W111" s="9">
        <v>0</v>
      </c>
      <c r="X111" s="9">
        <v>0</v>
      </c>
      <c r="Y111" s="9">
        <v>0</v>
      </c>
    </row>
    <row r="112" spans="1:25">
      <c r="A112" s="9">
        <v>106</v>
      </c>
      <c r="B112" s="9">
        <v>45848</v>
      </c>
      <c r="C112" s="9" t="str">
        <v>AUTOMOTIVE AXEL PVT LTD</v>
      </c>
      <c r="D112" s="9" t="str">
        <v>MYSORE</v>
      </c>
      <c r="E112" s="9" t="str">
        <v>maint</v>
      </c>
      <c r="F112" s="9" t="str">
        <v>Girish V K</v>
      </c>
      <c r="G112" s="9">
        <v>9900636398</v>
      </c>
      <c r="H112" s="9" t="str">
        <v>girishvk@autoaxle.com</v>
      </c>
      <c r="I112" s="9" t="str">
        <v>06000270/003,</v>
      </c>
      <c r="J112" s="9" t="str">
        <v>SPP</v>
      </c>
      <c r="K112" s="9" t="str">
        <v>Yes</v>
      </c>
      <c r="L112" s="9" t="str">
        <v>KXIND/S/GA/SPP/250045</v>
      </c>
      <c r="M112" s="9">
        <v>45933</v>
      </c>
      <c r="N112" s="9">
        <v>491331</v>
      </c>
      <c r="O112" s="9" t="str">
        <v>October</v>
      </c>
      <c r="P112" s="9" t="str">
        <v>December</v>
      </c>
      <c r="Q112" s="9">
        <v>0.8</v>
      </c>
      <c r="R112" s="9">
        <v>0</v>
      </c>
      <c r="S112" s="9">
        <v>0</v>
      </c>
      <c r="T112" s="9">
        <v>0</v>
      </c>
      <c r="U112" s="9">
        <v>0</v>
      </c>
      <c r="V112" s="9">
        <v>491331</v>
      </c>
      <c r="W112" s="9">
        <v>0</v>
      </c>
      <c r="X112" s="9">
        <v>0</v>
      </c>
      <c r="Y112" s="9">
        <v>0</v>
      </c>
    </row>
    <row r="113" spans="1:25">
      <c r="A113" s="9">
        <v>107</v>
      </c>
      <c r="B113" s="9">
        <v>45848</v>
      </c>
      <c r="C113" s="9" t="str">
        <v>Federal Mogul Goetze (India) Pvt Ltd</v>
      </c>
      <c r="D113" s="9" t="str">
        <v>Bangalore</v>
      </c>
      <c r="E113" s="9" t="str">
        <v>store</v>
      </c>
      <c r="F113" s="9" t="str">
        <v>Benjamin.Antony Benjamin.Antony</v>
      </c>
      <c r="G113" s="9">
        <v>9019707946</v>
      </c>
      <c r="H113" s="9" t="str">
        <v>benjamin.antony@tenneco.com</v>
      </c>
      <c r="I113" s="9" t="str">
        <v>05007637/001</v>
      </c>
      <c r="J113" s="9" t="str">
        <v>SPP</v>
      </c>
      <c r="K113" s="9" t="str">
        <v>Yes</v>
      </c>
      <c r="L113" s="9" t="str">
        <v>KXIND/S/GA/SPP/25043</v>
      </c>
      <c r="M113" s="9">
        <v>45911</v>
      </c>
      <c r="N113" s="9">
        <v>117758</v>
      </c>
      <c r="O113" s="9" t="str">
        <v>September</v>
      </c>
      <c r="P113" s="9" t="str">
        <v>December</v>
      </c>
      <c r="Q113" s="9">
        <v>0.7</v>
      </c>
      <c r="R113" s="9">
        <v>0</v>
      </c>
      <c r="S113" s="9">
        <v>0</v>
      </c>
      <c r="T113" s="9">
        <v>0</v>
      </c>
      <c r="U113" s="9">
        <v>0</v>
      </c>
      <c r="V113" s="9">
        <v>117758</v>
      </c>
      <c r="W113" s="9">
        <v>0</v>
      </c>
      <c r="X113" s="9">
        <v>0</v>
      </c>
      <c r="Y113" s="9">
        <v>0</v>
      </c>
    </row>
    <row r="114" spans="1:25">
      <c r="A114" s="9">
        <v>108</v>
      </c>
      <c r="B114" s="9">
        <v>45848</v>
      </c>
      <c r="C114" s="9" t="str">
        <v>AUTOMOTIVE AXEL PVT LTD</v>
      </c>
      <c r="D114" s="9" t="str">
        <v>MYSORE</v>
      </c>
      <c r="E114" s="9" t="str">
        <v>maint</v>
      </c>
      <c r="F114" s="9" t="str">
        <v>Girish V K</v>
      </c>
      <c r="G114" s="9">
        <v>9900636398</v>
      </c>
      <c r="H114" s="9" t="str">
        <v>girishvk@autoaxle.com</v>
      </c>
      <c r="I114" s="9" t="str">
        <v>06000270/002,</v>
      </c>
      <c r="J114" s="9" t="str">
        <v>SPP</v>
      </c>
      <c r="K114" s="9" t="str">
        <v>Yes</v>
      </c>
      <c r="L114" s="9" t="str">
        <v>KXIND/S/GA/SPP/250043</v>
      </c>
      <c r="M114" s="9">
        <v>45910</v>
      </c>
      <c r="N114" s="9">
        <v>229260</v>
      </c>
      <c r="O114" s="9" t="str">
        <v>September</v>
      </c>
      <c r="P114" s="9" t="str">
        <v>October</v>
      </c>
      <c r="Q114" s="9">
        <v>1</v>
      </c>
      <c r="R114" s="9">
        <v>3600023936</v>
      </c>
      <c r="S114" s="9" t="str">
        <v>20/10/2025</v>
      </c>
      <c r="T114" s="9">
        <v>229260</v>
      </c>
      <c r="U114" s="9" t="str">
        <v>November</v>
      </c>
      <c r="V114" s="9">
        <v>0</v>
      </c>
      <c r="W114" s="9">
        <v>0</v>
      </c>
      <c r="X114" s="9">
        <v>0</v>
      </c>
      <c r="Y114" s="9">
        <v>0</v>
      </c>
    </row>
    <row r="115" spans="1:25">
      <c r="A115" s="9">
        <v>109</v>
      </c>
      <c r="B115" s="9">
        <v>45848</v>
      </c>
      <c r="C115" s="9" t="str">
        <v>AUTOMOTIVE AXEL PVT LTD</v>
      </c>
      <c r="D115" s="9" t="str">
        <v>MYSORE</v>
      </c>
      <c r="E115" s="9" t="str">
        <v>maint</v>
      </c>
      <c r="F115" s="9" t="str">
        <v>Girish V K</v>
      </c>
      <c r="G115" s="9">
        <v>9900636398</v>
      </c>
      <c r="H115" s="9" t="str">
        <v>girishvk@autoaxle.com</v>
      </c>
      <c r="I115" s="9" t="str">
        <v>06000270/005</v>
      </c>
      <c r="J115" s="9" t="str">
        <v>Relocation</v>
      </c>
      <c r="K115" s="9" t="str">
        <v>No</v>
      </c>
      <c r="L115" s="9" t="str">
        <v xml:space="preserve"> KXIND/S/GA/REL/25007</v>
      </c>
      <c r="M115" s="9">
        <v>45874</v>
      </c>
      <c r="N115" s="9">
        <v>403750</v>
      </c>
      <c r="O115" s="9" t="str">
        <v>August</v>
      </c>
      <c r="P115" s="9" t="str">
        <v>November</v>
      </c>
      <c r="Q115" s="9">
        <v>1</v>
      </c>
      <c r="R115" s="9">
        <v>8000000589</v>
      </c>
      <c r="S115" s="9" t="str">
        <v>29/08/2025</v>
      </c>
      <c r="T115" s="9">
        <v>403750</v>
      </c>
      <c r="U115" s="9" t="str">
        <v>November</v>
      </c>
      <c r="V115" s="9">
        <v>0</v>
      </c>
      <c r="W115" s="9">
        <v>0</v>
      </c>
      <c r="X115" s="9">
        <v>0</v>
      </c>
      <c r="Y115" s="9">
        <v>0</v>
      </c>
    </row>
    <row r="116" spans="1:25">
      <c r="A116" s="9">
        <v>110</v>
      </c>
      <c r="B116" s="9">
        <v>45668</v>
      </c>
      <c r="C116" s="9" t="str">
        <v>Rotork Controls (India) Pvt.Ltd</v>
      </c>
      <c r="D116" s="9" t="str">
        <v>Bangalore</v>
      </c>
      <c r="E116" s="9" t="str">
        <v>Store</v>
      </c>
      <c r="F116" s="9" t="str">
        <v>Karthik</v>
      </c>
      <c r="G116" s="9">
        <v>9629999441</v>
      </c>
      <c r="H116" s="9" t="str">
        <v>Karthik.Subbarayalu@rotork.com</v>
      </c>
      <c r="I116" s="9" t="str">
        <v>09006892/001</v>
      </c>
      <c r="J116" s="9" t="str">
        <v>SPP</v>
      </c>
      <c r="K116" s="9" t="str">
        <v>Yes</v>
      </c>
      <c r="L116" s="9" t="str">
        <v>KXIND/S/GA/SPP/250037</v>
      </c>
      <c r="M116" s="9">
        <v>45875</v>
      </c>
      <c r="N116" s="9">
        <v>331454.94</v>
      </c>
      <c r="O116" s="9" t="str">
        <v>August</v>
      </c>
      <c r="P116" s="9" t="str">
        <v>November</v>
      </c>
      <c r="Q116" s="9">
        <v>1</v>
      </c>
      <c r="R116" s="9" t="str">
        <v>KQ092945</v>
      </c>
      <c r="S116" s="9">
        <v>45967</v>
      </c>
      <c r="T116" s="9">
        <v>331454.94</v>
      </c>
      <c r="U116" s="9" t="str">
        <v>November</v>
      </c>
      <c r="V116" s="9">
        <v>0</v>
      </c>
      <c r="W116" s="9">
        <v>0</v>
      </c>
      <c r="X116" s="9">
        <v>0</v>
      </c>
      <c r="Y116" s="9">
        <v>0</v>
      </c>
    </row>
    <row r="117" spans="1:25">
      <c r="A117" s="9">
        <v>110</v>
      </c>
      <c r="B117" s="9">
        <v>0</v>
      </c>
      <c r="C117" s="9" t="str">
        <v>Bharat Electronics Ltd</v>
      </c>
      <c r="D117" s="9" t="str">
        <v>Bangalore</v>
      </c>
      <c r="E117" s="9">
        <v>0</v>
      </c>
      <c r="F117" s="9" t="str">
        <v>Super Components</v>
      </c>
      <c r="G117" s="9">
        <v>9902611220</v>
      </c>
      <c r="H117" s="9" t="str">
        <v>prasannakumarc@bel.co.in</v>
      </c>
      <c r="I117" s="9" t="str">
        <v>16001904/001</v>
      </c>
      <c r="J117" s="9" t="str">
        <v>Contract</v>
      </c>
      <c r="K117" s="9" t="str">
        <v>Yes</v>
      </c>
      <c r="L117" s="9" t="str">
        <v>KXIND/S/GA/MC/25025</v>
      </c>
      <c r="M117" s="9">
        <v>45849</v>
      </c>
      <c r="N117" s="9">
        <v>0</v>
      </c>
      <c r="O117" s="9" t="str">
        <v>July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 t="str">
        <v>November</v>
      </c>
      <c r="V117" s="9">
        <v>0</v>
      </c>
      <c r="W117" s="9">
        <v>0</v>
      </c>
      <c r="X117" s="9">
        <v>0</v>
      </c>
      <c r="Y117" s="9">
        <v>0</v>
      </c>
    </row>
    <row r="118" spans="1:25">
      <c r="A118" s="9">
        <v>111</v>
      </c>
      <c r="B118" s="9" t="str">
        <v>30/10/2025</v>
      </c>
      <c r="C118" s="9" t="str">
        <v>Titan Company Limited Watch Division</v>
      </c>
      <c r="D118" s="9" t="str">
        <v>HOSUR</v>
      </c>
      <c r="E118" s="9" t="str">
        <v xml:space="preserve">Project </v>
      </c>
      <c r="F118" s="9" t="str">
        <v>Sanjeev Jaswal</v>
      </c>
      <c r="G118" s="9" t="str">
        <v>92195 44404</v>
      </c>
      <c r="H118" s="9" t="str">
        <v>Sanjeev Jaswal &lt;sanjeevj@titan.co.in&gt;</v>
      </c>
      <c r="I118" s="9" t="str">
        <v>20002171/001</v>
      </c>
      <c r="J118" s="9" t="str">
        <v>Upgrade kit</v>
      </c>
      <c r="K118" s="9" t="str">
        <v>Yes</v>
      </c>
      <c r="L118" s="9" t="str">
        <v>KXIND/S/Shuttle/GR25-02</v>
      </c>
      <c r="M118" s="9" t="str">
        <v>30/10/2025</v>
      </c>
      <c r="N118" s="9">
        <v>3517000</v>
      </c>
      <c r="O118" s="9" t="str">
        <v>October</v>
      </c>
      <c r="P118" s="9" t="str">
        <v>November</v>
      </c>
      <c r="Q118" s="9">
        <v>1</v>
      </c>
      <c r="R118" s="9">
        <v>301070402</v>
      </c>
      <c r="S118" s="9">
        <v>45973</v>
      </c>
      <c r="T118" s="9">
        <v>3517000</v>
      </c>
      <c r="U118" s="9" t="str">
        <v>November</v>
      </c>
      <c r="V118" s="9">
        <v>0</v>
      </c>
      <c r="W118" s="9">
        <v>0</v>
      </c>
      <c r="X118" s="9">
        <v>0</v>
      </c>
      <c r="Y118" s="9">
        <v>0</v>
      </c>
    </row>
    <row r="119" spans="1:25">
      <c r="A119" s="9">
        <v>112</v>
      </c>
      <c r="B119" s="9" t="str">
        <v>30/10/2025</v>
      </c>
      <c r="C119" s="9" t="str">
        <v>Titan Company Limited Watch Division</v>
      </c>
      <c r="D119" s="9" t="str">
        <v>HOSUR</v>
      </c>
      <c r="E119" s="9" t="str">
        <v xml:space="preserve">Project </v>
      </c>
      <c r="F119" s="9" t="str">
        <v>Sanjeev Jaswal</v>
      </c>
      <c r="G119" s="9" t="str">
        <v>92195 44404</v>
      </c>
      <c r="H119" s="9" t="str">
        <v>Sanjeev Jaswal &lt;sanjeevj@titan.co.in&gt;</v>
      </c>
      <c r="I119" s="9" t="str">
        <v>20002171/001</v>
      </c>
      <c r="J119" s="9" t="str">
        <v>Upgrade kit</v>
      </c>
      <c r="K119" s="9" t="str">
        <v>Yes</v>
      </c>
      <c r="L119" s="9" t="str">
        <v>KXIND/S/Shuttle/GR25-01</v>
      </c>
      <c r="M119" s="9" t="str">
        <v>30/10/2025</v>
      </c>
      <c r="N119" s="9">
        <v>1389000</v>
      </c>
      <c r="O119" s="9" t="str">
        <v>October</v>
      </c>
      <c r="P119" s="9" t="str">
        <v>November</v>
      </c>
      <c r="Q119" s="9">
        <v>1</v>
      </c>
      <c r="R119" s="9">
        <v>301070629</v>
      </c>
      <c r="S119" s="9" t="str">
        <v>19/11/2025</v>
      </c>
      <c r="T119" s="9">
        <v>1389000</v>
      </c>
      <c r="U119" s="9" t="str">
        <v>November</v>
      </c>
      <c r="V119" s="9">
        <v>0</v>
      </c>
      <c r="W119" s="9">
        <v>0</v>
      </c>
      <c r="X119" s="9">
        <v>0</v>
      </c>
      <c r="Y119" s="9">
        <v>0</v>
      </c>
    </row>
    <row r="120" spans="1:25">
      <c r="A120" s="9">
        <v>0</v>
      </c>
      <c r="B120" s="9">
        <v>0</v>
      </c>
      <c r="C120" s="9" t="str">
        <v>Titan Company Limited Watch Division</v>
      </c>
      <c r="D120" s="9" t="str">
        <v>HOSUR</v>
      </c>
      <c r="E120" s="9" t="str">
        <v>die</v>
      </c>
      <c r="F120" s="9" t="str">
        <v>Selvakumar</v>
      </c>
      <c r="G120" s="9">
        <v>7010372298</v>
      </c>
      <c r="H120" s="9" t="str">
        <v>selvakumar@titan.co.in'</v>
      </c>
      <c r="I120" s="9" t="str">
        <v>18002513/001</v>
      </c>
      <c r="J120" s="9" t="str">
        <v>SPP</v>
      </c>
      <c r="K120" s="9" t="str">
        <v>Yes</v>
      </c>
      <c r="L120" s="9" t="str">
        <v>KXIND/S/GA/SPP/24071</v>
      </c>
      <c r="M120" s="9" t="str">
        <v>17/11/2024</v>
      </c>
      <c r="N120" s="9">
        <v>40000</v>
      </c>
      <c r="O120" s="9" t="str">
        <v>January</v>
      </c>
      <c r="P120" s="9" t="str">
        <v>January</v>
      </c>
      <c r="Q120" s="9">
        <v>0.5</v>
      </c>
      <c r="R120" s="9">
        <v>101260192</v>
      </c>
      <c r="S120" s="9" t="str">
        <v>14/12/2024</v>
      </c>
      <c r="T120" s="9">
        <v>40000</v>
      </c>
      <c r="U120" s="9" t="str">
        <v>January</v>
      </c>
      <c r="V120" s="9">
        <v>0</v>
      </c>
      <c r="W120" s="9">
        <v>0</v>
      </c>
      <c r="X120" s="9">
        <v>0</v>
      </c>
      <c r="Y120" s="9" t="str">
        <v>30/1/2025</v>
      </c>
    </row>
    <row r="121" spans="1:25">
      <c r="A121" s="9">
        <v>0</v>
      </c>
      <c r="B121" s="9">
        <v>0</v>
      </c>
      <c r="C121" s="9" t="str">
        <v>Bharat Electronics Ltd</v>
      </c>
      <c r="D121" s="9" t="str">
        <v>Bangalore</v>
      </c>
      <c r="E121" s="9" t="str">
        <v>NCS</v>
      </c>
      <c r="F121" s="9" t="str">
        <v>Nagesh</v>
      </c>
      <c r="G121" s="9">
        <v>9900104075</v>
      </c>
      <c r="H121" s="9" t="str">
        <v>purncs@bel.co.in</v>
      </c>
      <c r="I121" s="9" t="str">
        <v>08001086/002</v>
      </c>
      <c r="J121" s="9" t="str">
        <v>Contract</v>
      </c>
      <c r="K121" s="9" t="str">
        <v>No</v>
      </c>
      <c r="L121" s="9" t="str">
        <v>Repet order</v>
      </c>
      <c r="M121" s="9" t="str">
        <v> </v>
      </c>
      <c r="N121" s="9">
        <v>57000</v>
      </c>
      <c r="O121" s="9" t="str">
        <v>January</v>
      </c>
      <c r="P121" s="9" t="str">
        <v>January</v>
      </c>
      <c r="Q121" s="9">
        <v>1</v>
      </c>
      <c r="R121" s="9" t="str">
        <v>BEPO/E3/4800083530</v>
      </c>
      <c r="S121" s="9" t="str">
        <v>23/11/2024</v>
      </c>
      <c r="T121" s="9">
        <v>57000</v>
      </c>
      <c r="U121" s="9" t="str">
        <v>January</v>
      </c>
      <c r="V121" s="9">
        <v>0</v>
      </c>
      <c r="W121" s="9">
        <v>0</v>
      </c>
      <c r="X121" s="9">
        <v>0</v>
      </c>
      <c r="Y121" s="9" t="str">
        <v>21/2/2025</v>
      </c>
    </row>
    <row r="122" spans="1:25">
      <c r="A122" s="9">
        <v>0</v>
      </c>
      <c r="B122" s="9">
        <v>0</v>
      </c>
      <c r="C122" s="9" t="str">
        <v>Bharat Electronics Ltd</v>
      </c>
      <c r="D122" s="9" t="str">
        <v>Bangalore</v>
      </c>
      <c r="E122" s="9" t="str">
        <v>NCS</v>
      </c>
      <c r="F122" s="9" t="str">
        <v>Nagesh</v>
      </c>
      <c r="G122" s="9">
        <v>9900104075</v>
      </c>
      <c r="H122" s="9" t="str">
        <v>purncs@bel.co.in</v>
      </c>
      <c r="I122" s="9" t="str">
        <v>09005253/001</v>
      </c>
      <c r="J122" s="9" t="str">
        <v>Contract</v>
      </c>
      <c r="K122" s="9" t="str">
        <v>No</v>
      </c>
      <c r="L122" s="9" t="str">
        <v>Repet order</v>
      </c>
      <c r="M122" s="9" t="str">
        <v> </v>
      </c>
      <c r="N122" s="9">
        <v>57000</v>
      </c>
      <c r="O122" s="9" t="str">
        <v>January</v>
      </c>
      <c r="P122" s="9" t="str">
        <v>January</v>
      </c>
      <c r="Q122" s="9">
        <v>1</v>
      </c>
      <c r="R122" s="9" t="str">
        <v>BEPO/E3/4800083530</v>
      </c>
      <c r="S122" s="9" t="str">
        <v>23/11/2024</v>
      </c>
      <c r="T122" s="9">
        <v>57000</v>
      </c>
      <c r="U122" s="9" t="str">
        <v>January</v>
      </c>
      <c r="V122" s="9">
        <v>0</v>
      </c>
      <c r="W122" s="9">
        <v>0</v>
      </c>
      <c r="X122" s="9">
        <v>0</v>
      </c>
      <c r="Y122" s="9" t="str">
        <v>21/2/2025</v>
      </c>
    </row>
    <row r="123" spans="1:25">
      <c r="A123" s="9">
        <v>0</v>
      </c>
      <c r="B123" s="9">
        <v>0</v>
      </c>
      <c r="C123" s="9" t="str">
        <v>Bharat Electronics Ltd</v>
      </c>
      <c r="D123" s="9" t="str">
        <v>Bangalore</v>
      </c>
      <c r="E123" s="9" t="str">
        <v>NCS</v>
      </c>
      <c r="F123" s="9" t="str">
        <v>Nagesh</v>
      </c>
      <c r="G123" s="9">
        <v>9900104075</v>
      </c>
      <c r="H123" s="9" t="str">
        <v>purncs@bel.co.in</v>
      </c>
      <c r="I123" s="9" t="str">
        <v>10002334/001</v>
      </c>
      <c r="J123" s="9" t="str">
        <v>Contract</v>
      </c>
      <c r="K123" s="9" t="str">
        <v>No</v>
      </c>
      <c r="L123" s="9" t="str">
        <v>Repet order</v>
      </c>
      <c r="M123" s="9" t="str">
        <v> </v>
      </c>
      <c r="N123" s="9">
        <v>57000</v>
      </c>
      <c r="O123" s="9" t="str">
        <v>January</v>
      </c>
      <c r="P123" s="9" t="str">
        <v>January</v>
      </c>
      <c r="Q123" s="9">
        <v>1</v>
      </c>
      <c r="R123" s="9" t="str">
        <v>BEPO/E3/4800083530</v>
      </c>
      <c r="S123" s="9" t="str">
        <v>23/11/2024</v>
      </c>
      <c r="T123" s="9">
        <v>57000</v>
      </c>
      <c r="U123" s="9" t="str">
        <v>January</v>
      </c>
      <c r="V123" s="9">
        <v>0</v>
      </c>
      <c r="W123" s="9">
        <v>0</v>
      </c>
      <c r="X123" s="9">
        <v>0</v>
      </c>
      <c r="Y123" s="9" t="str">
        <v>21/2/2025</v>
      </c>
    </row>
    <row r="124" spans="1:25">
      <c r="A124" s="9">
        <v>0</v>
      </c>
      <c r="B124" s="9">
        <v>0</v>
      </c>
      <c r="C124" s="9" t="str">
        <v>Bharat Electronics Ltd</v>
      </c>
      <c r="D124" s="9" t="str">
        <v>Bangalore</v>
      </c>
      <c r="E124" s="9" t="str">
        <v>EW&amp;A</v>
      </c>
      <c r="F124" s="9" t="str">
        <v>Lingaraju</v>
      </c>
      <c r="G124" s="9">
        <v>8147347034</v>
      </c>
      <c r="H124" s="9" t="str">
        <v>lingarajun@bel.co.in</v>
      </c>
      <c r="I124" s="9" t="str">
        <v>12008434/001</v>
      </c>
      <c r="J124" s="9" t="str">
        <v>Contract</v>
      </c>
      <c r="K124" s="9" t="str">
        <v>No</v>
      </c>
      <c r="L124" s="9" t="str">
        <v>KXIND/S/AMC/GR23-007</v>
      </c>
      <c r="M124" s="9">
        <v>45172</v>
      </c>
      <c r="N124" s="9">
        <v>58000</v>
      </c>
      <c r="O124" s="9" t="str">
        <v>January</v>
      </c>
      <c r="P124" s="9" t="str">
        <v>october</v>
      </c>
      <c r="Q124" s="9">
        <v>1</v>
      </c>
      <c r="R124" s="9" t="str">
        <v>BEPO/H1/4800069354</v>
      </c>
      <c r="S124" s="9">
        <v>45056</v>
      </c>
      <c r="T124" s="9">
        <v>58000</v>
      </c>
      <c r="U124" s="9" t="str">
        <v>october</v>
      </c>
      <c r="V124" s="9">
        <v>0</v>
      </c>
      <c r="W124" s="9">
        <v>0</v>
      </c>
      <c r="X124" s="9">
        <v>0</v>
      </c>
      <c r="Y124" s="9">
        <v>0</v>
      </c>
    </row>
    <row r="125" spans="1:25">
      <c r="A125" s="9">
        <v>0</v>
      </c>
      <c r="B125" s="9">
        <v>0</v>
      </c>
      <c r="C125" s="9" t="str">
        <v>Bharat Electronics Ltd</v>
      </c>
      <c r="D125" s="9" t="str">
        <v>Bangalore</v>
      </c>
      <c r="E125" s="9" t="str">
        <v>EW&amp;A</v>
      </c>
      <c r="F125" s="9" t="str">
        <v>Lingaraju</v>
      </c>
      <c r="G125" s="9">
        <v>8147347034</v>
      </c>
      <c r="H125" s="9" t="str">
        <v>lingarajun@bel.co.in</v>
      </c>
      <c r="I125" s="9" t="str">
        <v>12008387/001</v>
      </c>
      <c r="J125" s="9" t="str">
        <v>Contract</v>
      </c>
      <c r="K125" s="9" t="str">
        <v>No</v>
      </c>
      <c r="L125" s="9" t="str">
        <v>KXIND/S/AMC/GR23-007</v>
      </c>
      <c r="M125" s="9">
        <v>45172</v>
      </c>
      <c r="N125" s="9">
        <v>58000</v>
      </c>
      <c r="O125" s="9" t="str">
        <v>January</v>
      </c>
      <c r="P125" s="9" t="str">
        <v>october</v>
      </c>
      <c r="Q125" s="9">
        <v>1</v>
      </c>
      <c r="R125" s="9" t="str">
        <v>BEPO/H1/4800069354</v>
      </c>
      <c r="S125" s="9">
        <v>45056</v>
      </c>
      <c r="T125" s="9">
        <v>58000</v>
      </c>
      <c r="U125" s="9" t="str">
        <v>october</v>
      </c>
      <c r="V125" s="9">
        <v>0</v>
      </c>
      <c r="W125" s="9">
        <v>0</v>
      </c>
      <c r="X125" s="9">
        <v>0</v>
      </c>
      <c r="Y125" s="9">
        <v>0</v>
      </c>
    </row>
    <row r="126" spans="1:25">
      <c r="A126" s="9">
        <v>0</v>
      </c>
      <c r="B126" s="9">
        <v>0</v>
      </c>
      <c r="C126" s="9" t="str">
        <v>Bharat Electronics Ltd</v>
      </c>
      <c r="D126" s="9" t="str">
        <v>Bangalore</v>
      </c>
      <c r="E126" s="9" t="str">
        <v>EW&amp;A</v>
      </c>
      <c r="F126" s="9" t="str">
        <v>Lingaraju</v>
      </c>
      <c r="G126" s="9">
        <v>8147347034</v>
      </c>
      <c r="H126" s="9" t="str">
        <v>lingarajun@bel.co.in</v>
      </c>
      <c r="I126" s="9" t="str">
        <v>12008380/001</v>
      </c>
      <c r="J126" s="9" t="str">
        <v>Contract</v>
      </c>
      <c r="K126" s="9" t="str">
        <v>No</v>
      </c>
      <c r="L126" s="9" t="str">
        <v>KXIND/S/AMC/GR23-007</v>
      </c>
      <c r="M126" s="9">
        <v>45172</v>
      </c>
      <c r="N126" s="9">
        <v>58000</v>
      </c>
      <c r="O126" s="9" t="str">
        <v>January</v>
      </c>
      <c r="P126" s="9" t="str">
        <v>october</v>
      </c>
      <c r="Q126" s="9">
        <v>1</v>
      </c>
      <c r="R126" s="9" t="str">
        <v>BEPO/H1/4800069354</v>
      </c>
      <c r="S126" s="9">
        <v>45056</v>
      </c>
      <c r="T126" s="9">
        <v>58000</v>
      </c>
      <c r="U126" s="9" t="str">
        <v>october</v>
      </c>
      <c r="V126" s="9">
        <v>0</v>
      </c>
      <c r="W126" s="9">
        <v>0</v>
      </c>
      <c r="X126" s="9">
        <v>0</v>
      </c>
      <c r="Y126" s="9">
        <v>0</v>
      </c>
    </row>
    <row r="127" spans="1:25">
      <c r="A127" s="9">
        <v>0</v>
      </c>
      <c r="B127" s="9">
        <v>0</v>
      </c>
      <c r="C127" s="9" t="str">
        <v>Bharat Electronics Ltd</v>
      </c>
      <c r="D127" s="9" t="str">
        <v>Bangalore</v>
      </c>
      <c r="E127" s="9" t="str">
        <v>MS</v>
      </c>
      <c r="F127" s="9" t="str">
        <v>Manimaran B</v>
      </c>
      <c r="G127" s="9">
        <v>9483049074</v>
      </c>
      <c r="H127" s="9" t="str">
        <v>manimaranb@bel.co.in</v>
      </c>
      <c r="I127" s="9" t="str">
        <v>18000848/002</v>
      </c>
      <c r="J127" s="9" t="str">
        <v>Contract</v>
      </c>
      <c r="K127" s="9" t="str">
        <v>No</v>
      </c>
      <c r="L127" s="9" t="str">
        <v>KXIND/S/AMC/GR23-061</v>
      </c>
      <c r="M127" s="9" t="str">
        <v>15/10/2023</v>
      </c>
      <c r="N127" s="9">
        <v>59000</v>
      </c>
      <c r="O127" s="9" t="str">
        <v>January</v>
      </c>
      <c r="P127" s="9" t="str">
        <v>February</v>
      </c>
      <c r="Q127" s="9">
        <v>1</v>
      </c>
      <c r="R127" s="9" t="str">
        <v>BEPO/MS1/4800077496</v>
      </c>
      <c r="S127" s="9">
        <v>45293</v>
      </c>
      <c r="T127" s="9">
        <v>59000</v>
      </c>
      <c r="U127" s="9" t="str">
        <v>February</v>
      </c>
      <c r="V127" s="9">
        <v>0</v>
      </c>
      <c r="W127" s="9">
        <v>0</v>
      </c>
      <c r="X127" s="9">
        <v>0</v>
      </c>
      <c r="Y127" s="9">
        <v>0</v>
      </c>
    </row>
    <row r="128" spans="1:25">
      <c r="A128" s="9">
        <v>0</v>
      </c>
      <c r="B128" s="9">
        <v>0</v>
      </c>
      <c r="C128" s="9" t="str">
        <v>Bharat Electronics Ltd</v>
      </c>
      <c r="D128" s="9" t="str">
        <v>Bangalore</v>
      </c>
      <c r="E128" s="9" t="str">
        <v>MS</v>
      </c>
      <c r="F128" s="9" t="str">
        <v>Manimaran B</v>
      </c>
      <c r="G128" s="9">
        <v>9483049074</v>
      </c>
      <c r="H128" s="9" t="str">
        <v>manimaranb@bel.co.in</v>
      </c>
      <c r="I128" s="9" t="str">
        <v>18000848/003</v>
      </c>
      <c r="J128" s="9" t="str">
        <v>Contract</v>
      </c>
      <c r="K128" s="9" t="str">
        <v>No</v>
      </c>
      <c r="L128" s="9" t="str">
        <v>KXIND/S/AMC/GR23-061</v>
      </c>
      <c r="M128" s="9" t="str">
        <v>15/10/2023</v>
      </c>
      <c r="N128" s="9">
        <v>59000</v>
      </c>
      <c r="O128" s="9" t="str">
        <v>January</v>
      </c>
      <c r="P128" s="9" t="str">
        <v>February</v>
      </c>
      <c r="Q128" s="9">
        <v>1</v>
      </c>
      <c r="R128" s="9" t="str">
        <v>BEPO/MS1/4800077496</v>
      </c>
      <c r="S128" s="9">
        <v>45293</v>
      </c>
      <c r="T128" s="9">
        <v>59000</v>
      </c>
      <c r="U128" s="9" t="str">
        <v>February</v>
      </c>
      <c r="V128" s="9">
        <v>0</v>
      </c>
      <c r="W128" s="9">
        <v>0</v>
      </c>
      <c r="X128" s="9">
        <v>0</v>
      </c>
      <c r="Y128" s="9">
        <v>0</v>
      </c>
    </row>
    <row r="129" spans="1:25">
      <c r="A129" s="9">
        <v>0</v>
      </c>
      <c r="B129" s="9">
        <v>0</v>
      </c>
      <c r="C129" s="9" t="str">
        <v>Bharat Electronics Ltd</v>
      </c>
      <c r="D129" s="9" t="str">
        <v>Bangalore</v>
      </c>
      <c r="E129" s="9" t="str">
        <v>MMF</v>
      </c>
      <c r="F129" s="9" t="str">
        <v>Nanda Kishore S M</v>
      </c>
      <c r="G129" s="9" t="str">
        <v>080 - 2219 7454</v>
      </c>
      <c r="H129" s="9" t="str">
        <v>nandakishoresm@bel.co.in</v>
      </c>
      <c r="I129" s="9" t="str">
        <v>9006141/002</v>
      </c>
      <c r="J129" s="9" t="str">
        <v>Contract</v>
      </c>
      <c r="K129" s="9" t="str">
        <v>No</v>
      </c>
      <c r="L129" s="9" t="str">
        <v>KXIND/S/GA/MC/24029</v>
      </c>
      <c r="M129" s="9">
        <v>45478</v>
      </c>
      <c r="N129" s="9">
        <v>59850</v>
      </c>
      <c r="O129" s="9" t="str">
        <v>January</v>
      </c>
      <c r="P129" s="9" t="str">
        <v>January</v>
      </c>
      <c r="Q129" s="9">
        <v>1</v>
      </c>
      <c r="R129" s="9" t="str">
        <v>BEPO/EP/ 4800082450</v>
      </c>
      <c r="S129" s="9" t="str">
        <v>24/10/2024</v>
      </c>
      <c r="T129" s="9">
        <v>59850</v>
      </c>
      <c r="U129" s="9" t="str">
        <v>January</v>
      </c>
      <c r="V129" s="9">
        <v>0</v>
      </c>
      <c r="W129" s="9">
        <v>0</v>
      </c>
      <c r="X129" s="9">
        <v>0</v>
      </c>
      <c r="Y129" s="9">
        <v>45718</v>
      </c>
    </row>
    <row r="130" spans="1:25">
      <c r="A130" s="9">
        <v>0</v>
      </c>
      <c r="B130" s="9">
        <v>0</v>
      </c>
      <c r="C130" s="9" t="str">
        <v>Bharat Electronics Ltd</v>
      </c>
      <c r="D130" s="9" t="str">
        <v>Bangalore</v>
      </c>
      <c r="E130" s="9" t="str">
        <v>MMF</v>
      </c>
      <c r="F130" s="9" t="str">
        <v>Nanda Kishore S M</v>
      </c>
      <c r="G130" s="9" t="str">
        <v>080 - 2219 7454</v>
      </c>
      <c r="H130" s="9" t="str">
        <v>nandakishoresm@bel.co.in</v>
      </c>
      <c r="I130" s="9" t="str">
        <v>10002283/001</v>
      </c>
      <c r="J130" s="9" t="str">
        <v>Contract</v>
      </c>
      <c r="K130" s="9" t="str">
        <v>No</v>
      </c>
      <c r="L130" s="9" t="str">
        <v>KXIND/S/GA/MC/24029</v>
      </c>
      <c r="M130" s="9">
        <v>45478</v>
      </c>
      <c r="N130" s="9">
        <v>59850</v>
      </c>
      <c r="O130" s="9" t="str">
        <v>January</v>
      </c>
      <c r="P130" s="9" t="str">
        <v>January</v>
      </c>
      <c r="Q130" s="9">
        <v>1</v>
      </c>
      <c r="R130" s="9" t="str">
        <v>BEPO/EP/ 4800082450</v>
      </c>
      <c r="S130" s="9" t="str">
        <v>24/10/2024</v>
      </c>
      <c r="T130" s="9">
        <v>59850</v>
      </c>
      <c r="U130" s="9" t="str">
        <v>January</v>
      </c>
      <c r="V130" s="9">
        <v>0</v>
      </c>
      <c r="W130" s="9">
        <v>0</v>
      </c>
      <c r="X130" s="9">
        <v>0</v>
      </c>
      <c r="Y130" s="9">
        <v>45718</v>
      </c>
    </row>
    <row r="131" spans="1:25">
      <c r="A131" s="9">
        <v>0</v>
      </c>
      <c r="B131" s="9">
        <v>0</v>
      </c>
      <c r="C131" s="9" t="str">
        <v>Bharat Electronics Ltd</v>
      </c>
      <c r="D131" s="9" t="str">
        <v>Bangalore</v>
      </c>
      <c r="E131" s="9" t="str">
        <v>NS1</v>
      </c>
      <c r="F131" s="9" t="str">
        <v>Muralidharan M</v>
      </c>
      <c r="G131" s="9">
        <v>9008097055</v>
      </c>
      <c r="H131" s="9" t="str">
        <v>muralidharanm@bel.co.in</v>
      </c>
      <c r="I131" s="9" t="str">
        <v>98011682/002</v>
      </c>
      <c r="J131" s="9" t="str">
        <v>Contract</v>
      </c>
      <c r="K131" s="9" t="str">
        <v>no</v>
      </c>
      <c r="L131" s="9" t="str">
        <v>KXIND/S/GA/MC/25004</v>
      </c>
      <c r="M131" s="9" t="str">
        <v>28/01/2025</v>
      </c>
      <c r="N131" s="9">
        <v>59850</v>
      </c>
      <c r="O131" s="9" t="str">
        <v>January</v>
      </c>
      <c r="P131" s="9" t="str">
        <v>April</v>
      </c>
      <c r="Q131" s="9">
        <v>0.8</v>
      </c>
      <c r="R131" s="9">
        <v>4800086922</v>
      </c>
      <c r="S131" s="9" t="str">
        <v>31.03.2025</v>
      </c>
      <c r="T131" s="9">
        <v>59850</v>
      </c>
      <c r="U131" s="9" t="str">
        <v>April</v>
      </c>
      <c r="V131" s="9">
        <v>0</v>
      </c>
      <c r="W131" s="9">
        <v>0</v>
      </c>
      <c r="X131" s="9">
        <v>0</v>
      </c>
      <c r="Y131" s="9">
        <v>0</v>
      </c>
    </row>
    <row r="132" spans="1:25">
      <c r="A132" s="9">
        <v>0</v>
      </c>
      <c r="B132" s="9">
        <v>0</v>
      </c>
      <c r="C132" s="9" t="str">
        <v>Bharat Electronics Ltd</v>
      </c>
      <c r="D132" s="9" t="str">
        <v>Bangalore</v>
      </c>
      <c r="E132" s="9" t="str">
        <v>NS1</v>
      </c>
      <c r="F132" s="9" t="str">
        <v>Muralidharan M</v>
      </c>
      <c r="G132" s="9">
        <v>9008097055</v>
      </c>
      <c r="H132" s="9" t="str">
        <v>muralidharanm@bel.co.in</v>
      </c>
      <c r="I132" s="9" t="str">
        <v>08001859/001</v>
      </c>
      <c r="J132" s="9" t="str">
        <v>Contract</v>
      </c>
      <c r="K132" s="9" t="str">
        <v>no</v>
      </c>
      <c r="L132" s="9" t="str">
        <v>KXIND/S/GA/MC/25004</v>
      </c>
      <c r="M132" s="9" t="str">
        <v>28/01/2025</v>
      </c>
      <c r="N132" s="9">
        <v>59850</v>
      </c>
      <c r="O132" s="9" t="str">
        <v>January</v>
      </c>
      <c r="P132" s="9" t="str">
        <v>April</v>
      </c>
      <c r="Q132" s="9">
        <v>0.8</v>
      </c>
      <c r="R132" s="9">
        <v>4800086922</v>
      </c>
      <c r="S132" s="9" t="str">
        <v>31.03.2025</v>
      </c>
      <c r="T132" s="9">
        <v>59850</v>
      </c>
      <c r="U132" s="9" t="str">
        <v>April</v>
      </c>
      <c r="V132" s="9">
        <v>0</v>
      </c>
      <c r="W132" s="9">
        <v>0</v>
      </c>
      <c r="X132" s="9">
        <v>0</v>
      </c>
      <c r="Y132" s="9">
        <v>0</v>
      </c>
    </row>
    <row r="133" spans="1:25">
      <c r="A133" s="9">
        <v>0</v>
      </c>
      <c r="B133" s="9">
        <v>0</v>
      </c>
      <c r="C133" s="9" t="str">
        <v>Bharat Electronics Ltd</v>
      </c>
      <c r="D133" s="9" t="str">
        <v>Bangalore</v>
      </c>
      <c r="E133" s="9" t="str">
        <v>NP Store</v>
      </c>
      <c r="F133" s="9" t="str">
        <v>Sridevi R</v>
      </c>
      <c r="G133" s="9">
        <v>9972013197</v>
      </c>
      <c r="H133" s="9" t="str">
        <v>sridevir@bel.co.in</v>
      </c>
      <c r="I133" s="9" t="str">
        <v>04001160/001</v>
      </c>
      <c r="J133" s="9" t="str">
        <v>Contract</v>
      </c>
      <c r="K133" s="9" t="str">
        <v>No</v>
      </c>
      <c r="L133" s="9" t="str">
        <v>KXIND/S/GA/MC/24033</v>
      </c>
      <c r="M133" s="9">
        <v>45481</v>
      </c>
      <c r="N133" s="9">
        <v>59850</v>
      </c>
      <c r="O133" s="9" t="str">
        <v>January</v>
      </c>
      <c r="P133" s="9" t="str">
        <v>May</v>
      </c>
      <c r="Q133" s="9">
        <v>1</v>
      </c>
      <c r="R133" s="9" t="str">
        <v>BEPO/NP/4800087571</v>
      </c>
      <c r="S133" s="9">
        <v>45996</v>
      </c>
      <c r="T133" s="9">
        <v>59850</v>
      </c>
      <c r="U133" s="9" t="str">
        <v>May</v>
      </c>
      <c r="V133" s="9">
        <v>0</v>
      </c>
      <c r="W133" s="9" t="str">
        <v>December, bought forward back log from 2024</v>
      </c>
      <c r="X133" s="9">
        <v>0</v>
      </c>
      <c r="Y133" s="9">
        <v>0</v>
      </c>
    </row>
    <row r="134" spans="1:25">
      <c r="A134" s="9">
        <v>0</v>
      </c>
      <c r="B134" s="9">
        <v>0</v>
      </c>
      <c r="C134" s="9" t="str">
        <v>Bharat Electronics Ltd</v>
      </c>
      <c r="D134" s="9" t="str">
        <v>Bangalore</v>
      </c>
      <c r="E134" s="9" t="str">
        <v>NP Store</v>
      </c>
      <c r="F134" s="9" t="str">
        <v>Sridevi R</v>
      </c>
      <c r="G134" s="9">
        <v>9972013197</v>
      </c>
      <c r="H134" s="9" t="str">
        <v>sridevir@bel.co.in</v>
      </c>
      <c r="I134" s="9" t="str">
        <v>11002428/001</v>
      </c>
      <c r="J134" s="9" t="str">
        <v>Contract</v>
      </c>
      <c r="K134" s="9" t="str">
        <v>No</v>
      </c>
      <c r="L134" s="9" t="str">
        <v>KXIND/S/GA/MC/24033</v>
      </c>
      <c r="M134" s="9">
        <v>45481</v>
      </c>
      <c r="N134" s="9">
        <v>59850</v>
      </c>
      <c r="O134" s="9" t="str">
        <v>January</v>
      </c>
      <c r="P134" s="9" t="str">
        <v>May</v>
      </c>
      <c r="Q134" s="9">
        <v>1</v>
      </c>
      <c r="R134" s="9" t="str">
        <v>BEPO/NP/4800087571</v>
      </c>
      <c r="S134" s="9">
        <v>45996</v>
      </c>
      <c r="T134" s="9">
        <v>59850</v>
      </c>
      <c r="U134" s="9" t="str">
        <v>May</v>
      </c>
      <c r="V134" s="9">
        <v>0</v>
      </c>
      <c r="W134" s="9" t="str">
        <v>December, bought forward back log from 2024</v>
      </c>
      <c r="X134" s="9">
        <v>0</v>
      </c>
      <c r="Y134" s="9">
        <v>0</v>
      </c>
    </row>
    <row r="135" spans="1:25">
      <c r="A135" s="9">
        <v>0</v>
      </c>
      <c r="B135" s="9">
        <v>0</v>
      </c>
      <c r="C135" s="9" t="str">
        <v>ITC Ltd</v>
      </c>
      <c r="D135" s="9" t="str">
        <v>Bangalore</v>
      </c>
      <c r="E135" s="9" t="str">
        <v>Store</v>
      </c>
      <c r="F135" s="9" t="str">
        <v>Padmaja Shankar</v>
      </c>
      <c r="G135" s="9">
        <v>9844121404</v>
      </c>
      <c r="H135" s="9" t="str">
        <v>&lt;Padmaja.Shankar@itc.in&gt;</v>
      </c>
      <c r="I135" s="9" t="str">
        <v>00008461/001</v>
      </c>
      <c r="J135" s="9" t="str">
        <v>Contract</v>
      </c>
      <c r="K135" s="9" t="str">
        <v>No</v>
      </c>
      <c r="L135" s="9" t="str">
        <v>KXIND/S/GA/MC/24015</v>
      </c>
      <c r="M135" s="9" t="str">
        <v>23/05/2025</v>
      </c>
      <c r="N135" s="9">
        <v>60000</v>
      </c>
      <c r="O135" s="9" t="str">
        <v>May</v>
      </c>
      <c r="P135" s="9" t="str">
        <v>July</v>
      </c>
      <c r="Q135" s="9">
        <v>1</v>
      </c>
      <c r="R135" s="9">
        <v>4200342890</v>
      </c>
      <c r="S135" s="9">
        <v>45817</v>
      </c>
      <c r="T135" s="9">
        <v>60000</v>
      </c>
      <c r="U135" s="9" t="str">
        <v>November</v>
      </c>
      <c r="V135" s="9">
        <v>0</v>
      </c>
      <c r="W135" s="9">
        <v>0</v>
      </c>
      <c r="X135" s="9">
        <v>0</v>
      </c>
      <c r="Y135" s="9">
        <v>0</v>
      </c>
    </row>
    <row r="136" spans="1:25">
      <c r="A136" s="9">
        <v>0</v>
      </c>
      <c r="B136" s="9">
        <v>0</v>
      </c>
      <c r="C136" s="9" t="str">
        <v>ITC Ltd</v>
      </c>
      <c r="D136" s="9" t="str">
        <v>Bangalore</v>
      </c>
      <c r="E136" s="9" t="str">
        <v>Store</v>
      </c>
      <c r="F136" s="9" t="str">
        <v>Padmaja Shankar</v>
      </c>
      <c r="G136" s="9">
        <v>9844121404</v>
      </c>
      <c r="H136" s="9" t="str">
        <v>&lt;Padmaja.Shankar@itc.in&gt;</v>
      </c>
      <c r="I136" s="9" t="str">
        <v>00008462/001</v>
      </c>
      <c r="J136" s="9" t="str">
        <v>Contract</v>
      </c>
      <c r="K136" s="9" t="str">
        <v>No</v>
      </c>
      <c r="L136" s="9" t="str">
        <v>KXIND/S/GA/MC/24015</v>
      </c>
      <c r="M136" s="9" t="str">
        <v>23/05/2025</v>
      </c>
      <c r="N136" s="9">
        <v>60000</v>
      </c>
      <c r="O136" s="9" t="str">
        <v>May</v>
      </c>
      <c r="P136" s="9" t="str">
        <v>July</v>
      </c>
      <c r="Q136" s="9">
        <v>1</v>
      </c>
      <c r="R136" s="9">
        <v>4200342890</v>
      </c>
      <c r="S136" s="9">
        <v>45817</v>
      </c>
      <c r="T136" s="9">
        <v>60000</v>
      </c>
      <c r="U136" s="9" t="str">
        <v>November</v>
      </c>
      <c r="V136" s="9">
        <v>0</v>
      </c>
      <c r="W136" s="9">
        <v>0</v>
      </c>
      <c r="X136" s="9">
        <v>0</v>
      </c>
      <c r="Y136" s="9">
        <v>0</v>
      </c>
    </row>
    <row r="137" spans="1:25">
      <c r="A137" s="9">
        <v>0</v>
      </c>
      <c r="B137" s="9">
        <v>0</v>
      </c>
      <c r="C137" s="9" t="str">
        <v>Bharat Electronics Ltd</v>
      </c>
      <c r="D137" s="9" t="str">
        <v>Bangalore</v>
      </c>
      <c r="E137" s="9" t="str">
        <v>T&amp;BS</v>
      </c>
      <c r="F137" s="9" t="str">
        <v>Amitava</v>
      </c>
      <c r="G137" s="9">
        <v>9681203773</v>
      </c>
      <c r="H137" s="9" t="str">
        <v>amitava@bel.co.in</v>
      </c>
      <c r="I137" s="9" t="str">
        <v>16001318/001</v>
      </c>
      <c r="J137" s="9" t="str">
        <v>Contract</v>
      </c>
      <c r="K137" s="9" t="str">
        <v>No</v>
      </c>
      <c r="L137" s="9" t="str">
        <v>KXIND/S/GA/MC/25006A</v>
      </c>
      <c r="M137" s="9" t="str">
        <v>19/03/2025</v>
      </c>
      <c r="N137" s="9">
        <v>61000</v>
      </c>
      <c r="O137" s="9" t="str">
        <v>March</v>
      </c>
      <c r="P137" s="9" t="str">
        <v>October</v>
      </c>
      <c r="Q137" s="9">
        <v>0.9</v>
      </c>
      <c r="R137" s="9">
        <v>0</v>
      </c>
      <c r="S137" s="9">
        <v>0</v>
      </c>
      <c r="T137" s="9">
        <v>0</v>
      </c>
      <c r="U137" s="9" t="str">
        <v>November</v>
      </c>
      <c r="V137" s="9">
        <v>61000</v>
      </c>
      <c r="W137" s="9">
        <v>0</v>
      </c>
      <c r="X137" s="9">
        <v>0</v>
      </c>
      <c r="Y137" s="9">
        <v>0</v>
      </c>
    </row>
    <row r="138" spans="1:25">
      <c r="A138" s="9">
        <v>0</v>
      </c>
      <c r="B138" s="9">
        <v>0</v>
      </c>
      <c r="C138" s="9" t="str">
        <v>Bharat Electronics Ltd</v>
      </c>
      <c r="D138" s="9" t="str">
        <v>Bangalore</v>
      </c>
      <c r="E138" s="9" t="str">
        <v>T&amp;BS</v>
      </c>
      <c r="F138" s="9" t="str">
        <v>Amitava</v>
      </c>
      <c r="G138" s="9">
        <v>9681203773</v>
      </c>
      <c r="H138" s="9" t="str">
        <v>amitava@bel.co.in</v>
      </c>
      <c r="I138" s="9" t="str">
        <v>16001319/001</v>
      </c>
      <c r="J138" s="9" t="str">
        <v>Contract</v>
      </c>
      <c r="K138" s="9" t="str">
        <v>No</v>
      </c>
      <c r="L138" s="9" t="str">
        <v>KXIND/S/GA/MC/25006A</v>
      </c>
      <c r="M138" s="9" t="str">
        <v>19/03/2025</v>
      </c>
      <c r="N138" s="9">
        <v>61000</v>
      </c>
      <c r="O138" s="9" t="str">
        <v>March</v>
      </c>
      <c r="P138" s="9" t="str">
        <v>October</v>
      </c>
      <c r="Q138" s="9">
        <v>0.9</v>
      </c>
      <c r="R138" s="9">
        <v>0</v>
      </c>
      <c r="S138" s="9">
        <v>0</v>
      </c>
      <c r="T138" s="9">
        <v>0</v>
      </c>
      <c r="U138" s="9" t="str">
        <v>November</v>
      </c>
      <c r="V138" s="9">
        <v>61000</v>
      </c>
      <c r="W138" s="9">
        <v>0</v>
      </c>
      <c r="X138" s="9">
        <v>0</v>
      </c>
      <c r="Y138" s="9">
        <v>0</v>
      </c>
    </row>
    <row r="139" spans="1:25">
      <c r="A139" s="9">
        <v>0</v>
      </c>
      <c r="B139" s="9">
        <v>0</v>
      </c>
      <c r="C139" s="9" t="str">
        <v>Bharat Electronics Ltd</v>
      </c>
      <c r="D139" s="9" t="str">
        <v>Bangalore</v>
      </c>
      <c r="E139" s="9" t="str">
        <v>MR</v>
      </c>
      <c r="F139" s="9" t="str">
        <v>Suresh P N</v>
      </c>
      <c r="G139" s="9" t="str">
        <v>99801 26292</v>
      </c>
      <c r="H139" s="9" t="str">
        <v>sureshpn@bel.co.in</v>
      </c>
      <c r="I139" s="9" t="str">
        <v>17001000/001</v>
      </c>
      <c r="J139" s="9" t="str">
        <v>Contract</v>
      </c>
      <c r="K139" s="9" t="str">
        <v>No</v>
      </c>
      <c r="L139" s="9" t="str">
        <v>KXIND/S/GA/MC/24046</v>
      </c>
      <c r="M139" s="9">
        <v>45638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</row>
    <row r="140" spans="1:25">
      <c r="A140" s="9">
        <v>0</v>
      </c>
      <c r="B140" s="9">
        <v>0</v>
      </c>
      <c r="C140" s="9" t="str">
        <v>Bharat Electronics Ltd</v>
      </c>
      <c r="D140" s="9" t="str">
        <v>Bangalore</v>
      </c>
      <c r="E140" s="9" t="str">
        <v>NS2</v>
      </c>
      <c r="F140" s="9" t="str">
        <v>NATARAJA H</v>
      </c>
      <c r="G140" s="9">
        <v>8022195605</v>
      </c>
      <c r="H140" s="9" t="str">
        <v>natarajah@bel.co.innatarajah@bel.co.in</v>
      </c>
      <c r="I140" s="9" t="str">
        <v>11000975/001</v>
      </c>
      <c r="J140" s="9" t="str">
        <v>Contract</v>
      </c>
      <c r="K140" s="9" t="str">
        <v>No</v>
      </c>
      <c r="L140" s="9" t="str">
        <v>KXIND/S/GA/MC/250047</v>
      </c>
      <c r="M140" s="9">
        <v>45933</v>
      </c>
      <c r="N140" s="9">
        <v>61440</v>
      </c>
      <c r="O140" s="9" t="str">
        <v>October</v>
      </c>
      <c r="P140" s="9" t="str">
        <v>December</v>
      </c>
      <c r="Q140" s="9">
        <v>1</v>
      </c>
      <c r="R140" s="9">
        <v>4800091857</v>
      </c>
      <c r="S140" s="9" t="str">
        <v>17/11/2025</v>
      </c>
      <c r="T140" s="9">
        <v>61440</v>
      </c>
      <c r="U140" s="9" t="str">
        <v>November</v>
      </c>
      <c r="V140" s="9">
        <v>0</v>
      </c>
      <c r="W140" s="9">
        <v>0</v>
      </c>
      <c r="X140" s="9">
        <v>0</v>
      </c>
      <c r="Y140" s="9">
        <v>0</v>
      </c>
    </row>
    <row r="141" spans="1:25">
      <c r="A141" s="9">
        <v>0</v>
      </c>
      <c r="B141" s="9">
        <v>0</v>
      </c>
      <c r="C141" s="9" t="str">
        <v>Bharat Electronics Ltd</v>
      </c>
      <c r="D141" s="9" t="str">
        <v>Bangalore</v>
      </c>
      <c r="E141" s="9" t="str">
        <v>NS2</v>
      </c>
      <c r="F141" s="9" t="str">
        <v>NATARAJA H</v>
      </c>
      <c r="G141" s="9">
        <v>8022195605</v>
      </c>
      <c r="H141" s="9" t="str">
        <v>natarajah@bel.co.innatarajah@bel.co.in</v>
      </c>
      <c r="I141" s="9" t="str">
        <v>13000352/001</v>
      </c>
      <c r="J141" s="9" t="str">
        <v>Contract</v>
      </c>
      <c r="K141" s="9" t="str">
        <v>No</v>
      </c>
      <c r="L141" s="9" t="str">
        <v>KXIND/S/GA/MC/250047</v>
      </c>
      <c r="M141" s="9">
        <v>45933</v>
      </c>
      <c r="N141" s="9">
        <v>61440</v>
      </c>
      <c r="O141" s="9" t="str">
        <v>October</v>
      </c>
      <c r="P141" s="9" t="str">
        <v>December</v>
      </c>
      <c r="Q141" s="9">
        <v>1</v>
      </c>
      <c r="R141" s="9">
        <v>4800091857</v>
      </c>
      <c r="S141" s="9" t="str">
        <v>17/11/2025</v>
      </c>
      <c r="T141" s="9">
        <v>61440</v>
      </c>
      <c r="U141" s="9" t="str">
        <v>November</v>
      </c>
      <c r="V141" s="9">
        <v>0</v>
      </c>
      <c r="W141" s="9">
        <v>0</v>
      </c>
      <c r="X141" s="9">
        <v>0</v>
      </c>
      <c r="Y141" s="9">
        <v>0</v>
      </c>
    </row>
    <row r="142" spans="1:25">
      <c r="A142" s="9">
        <v>0</v>
      </c>
      <c r="B142" s="9">
        <v>0</v>
      </c>
      <c r="C142" s="9" t="str">
        <v>Bharat Electronics Ltd</v>
      </c>
      <c r="D142" s="9" t="str">
        <v>Bangalore</v>
      </c>
      <c r="E142" s="9" t="str">
        <v>NS2</v>
      </c>
      <c r="F142" s="9" t="str">
        <v>NATARAJA H</v>
      </c>
      <c r="G142" s="9">
        <v>8022195605</v>
      </c>
      <c r="H142" s="9" t="str">
        <v>natarajah@bel.co.innatarajah@bel.co.in</v>
      </c>
      <c r="I142" s="9" t="str">
        <v>11003649/001</v>
      </c>
      <c r="J142" s="9" t="str">
        <v>Contract</v>
      </c>
      <c r="K142" s="9" t="str">
        <v>No</v>
      </c>
      <c r="L142" s="9" t="str">
        <v>KXIND/S/GA/MC/250047</v>
      </c>
      <c r="M142" s="9">
        <v>45933</v>
      </c>
      <c r="N142" s="9">
        <v>61440</v>
      </c>
      <c r="O142" s="9" t="str">
        <v>October</v>
      </c>
      <c r="P142" s="9" t="str">
        <v>December</v>
      </c>
      <c r="Q142" s="9">
        <v>1</v>
      </c>
      <c r="R142" s="9">
        <v>4800091857</v>
      </c>
      <c r="S142" s="9" t="str">
        <v>17/11/2025</v>
      </c>
      <c r="T142" s="9">
        <v>61440</v>
      </c>
      <c r="U142" s="9" t="str">
        <v>November</v>
      </c>
      <c r="V142" s="9">
        <v>0</v>
      </c>
      <c r="W142" s="9">
        <v>0</v>
      </c>
      <c r="X142" s="9">
        <v>0</v>
      </c>
      <c r="Y142" s="9">
        <v>0</v>
      </c>
    </row>
    <row r="143" spans="1:25">
      <c r="A143" s="9">
        <v>0</v>
      </c>
      <c r="B143" s="9">
        <v>0</v>
      </c>
      <c r="C143" s="9" t="str">
        <v>Bharat Electronics Ltd</v>
      </c>
      <c r="D143" s="9" t="str">
        <v>Bangalore</v>
      </c>
      <c r="E143" s="9" t="str">
        <v>NS2</v>
      </c>
      <c r="F143" s="9" t="str">
        <v>NATARAJA H</v>
      </c>
      <c r="G143" s="9">
        <v>8022195605</v>
      </c>
      <c r="H143" s="9" t="str">
        <v>natarajah@bel.co.innatarajah@bel.co.in</v>
      </c>
      <c r="I143" s="9" t="str">
        <v>10002281/001</v>
      </c>
      <c r="J143" s="9" t="str">
        <v>Contract</v>
      </c>
      <c r="K143" s="9" t="str">
        <v>No</v>
      </c>
      <c r="L143" s="9" t="str">
        <v>KXIND/S/GA/MC/250047</v>
      </c>
      <c r="M143" s="9">
        <v>45933</v>
      </c>
      <c r="N143" s="9">
        <v>61440</v>
      </c>
      <c r="O143" s="9" t="str">
        <v>October</v>
      </c>
      <c r="P143" s="9" t="str">
        <v>December</v>
      </c>
      <c r="Q143" s="9">
        <v>1</v>
      </c>
      <c r="R143" s="9">
        <v>4800091857</v>
      </c>
      <c r="S143" s="9" t="str">
        <v>17/11/2025</v>
      </c>
      <c r="T143" s="9">
        <v>61440</v>
      </c>
      <c r="U143" s="9" t="str">
        <v>November</v>
      </c>
      <c r="V143" s="9">
        <v>0</v>
      </c>
      <c r="W143" s="9">
        <v>0</v>
      </c>
      <c r="X143" s="9">
        <v>0</v>
      </c>
      <c r="Y143" s="9">
        <v>0</v>
      </c>
    </row>
    <row r="144" spans="1:25">
      <c r="A144" s="9">
        <v>0</v>
      </c>
      <c r="B144" s="9">
        <v>0</v>
      </c>
      <c r="C144" s="9" t="str">
        <v>Bharat Electronics Ltd</v>
      </c>
      <c r="D144" s="9" t="str">
        <v>Bangalore</v>
      </c>
      <c r="E144" s="9" t="str">
        <v>NS2</v>
      </c>
      <c r="F144" s="9" t="str">
        <v>NATARAJA H</v>
      </c>
      <c r="G144" s="9">
        <v>8022195605</v>
      </c>
      <c r="H144" s="9" t="str">
        <v>natarajah@bel.co.innatarajah@bel.co.in</v>
      </c>
      <c r="I144" s="9" t="str">
        <v>10002280/001</v>
      </c>
      <c r="J144" s="9" t="str">
        <v>Contract</v>
      </c>
      <c r="K144" s="9" t="str">
        <v>No</v>
      </c>
      <c r="L144" s="9" t="str">
        <v>KXIND/S/GA/MC/250047</v>
      </c>
      <c r="M144" s="9">
        <v>45933</v>
      </c>
      <c r="N144" s="9">
        <v>61440</v>
      </c>
      <c r="O144" s="9" t="str">
        <v>October</v>
      </c>
      <c r="P144" s="9" t="str">
        <v>December</v>
      </c>
      <c r="Q144" s="9">
        <v>1</v>
      </c>
      <c r="R144" s="9">
        <v>4800091857</v>
      </c>
      <c r="S144" s="9" t="str">
        <v>17/11/2025</v>
      </c>
      <c r="T144" s="9">
        <v>61440</v>
      </c>
      <c r="U144" s="9" t="str">
        <v>November</v>
      </c>
      <c r="V144" s="9">
        <v>0</v>
      </c>
      <c r="W144" s="9">
        <v>0</v>
      </c>
      <c r="X144" s="9">
        <v>0</v>
      </c>
      <c r="Y144" s="9">
        <v>0</v>
      </c>
    </row>
    <row r="145" spans="1:25">
      <c r="A145" s="9">
        <v>0</v>
      </c>
      <c r="B145" s="9">
        <v>0</v>
      </c>
      <c r="C145" s="9" t="str">
        <v>Bharat Electronics Ltd</v>
      </c>
      <c r="D145" s="9" t="str">
        <v>Bangalore</v>
      </c>
      <c r="E145" s="9" t="str">
        <v>NS2</v>
      </c>
      <c r="F145" s="9" t="str">
        <v>NATARAJA H</v>
      </c>
      <c r="G145" s="9">
        <v>8022195605</v>
      </c>
      <c r="H145" s="9" t="str">
        <v>natarajah@bel.co.innatarajah@bel.co.in</v>
      </c>
      <c r="I145" s="9" t="str">
        <v>10002282/001</v>
      </c>
      <c r="J145" s="9" t="str">
        <v>Contract</v>
      </c>
      <c r="K145" s="9" t="str">
        <v>No</v>
      </c>
      <c r="L145" s="9" t="str">
        <v>KXIND/S/GA/MC/250047</v>
      </c>
      <c r="M145" s="9">
        <v>45933</v>
      </c>
      <c r="N145" s="9">
        <v>61440</v>
      </c>
      <c r="O145" s="9" t="str">
        <v>October</v>
      </c>
      <c r="P145" s="9" t="str">
        <v>December</v>
      </c>
      <c r="Q145" s="9">
        <v>1</v>
      </c>
      <c r="R145" s="9">
        <v>4800091857</v>
      </c>
      <c r="S145" s="9" t="str">
        <v>17/11/2025</v>
      </c>
      <c r="T145" s="9">
        <v>61440</v>
      </c>
      <c r="U145" s="9" t="str">
        <v>November</v>
      </c>
      <c r="V145" s="9">
        <v>0</v>
      </c>
      <c r="W145" s="9">
        <v>0</v>
      </c>
      <c r="X145" s="9">
        <v>0</v>
      </c>
      <c r="Y145" s="9">
        <v>0</v>
      </c>
    </row>
    <row r="146" spans="1:25">
      <c r="A146" s="9">
        <v>0</v>
      </c>
      <c r="B146" s="9">
        <v>0</v>
      </c>
      <c r="C146" s="9" t="str">
        <v>Bharat Electronics Ltd</v>
      </c>
      <c r="D146" s="9" t="str">
        <v>Bangalore</v>
      </c>
      <c r="E146" s="9" t="str">
        <v>NS2</v>
      </c>
      <c r="F146" s="9" t="str">
        <v>NATARAJA H</v>
      </c>
      <c r="G146" s="9">
        <v>8022195605</v>
      </c>
      <c r="H146" s="9" t="str">
        <v>natarajah@bel.co.innatarajah@bel.co.in</v>
      </c>
      <c r="I146" s="9" t="str">
        <v>140000253/001</v>
      </c>
      <c r="J146" s="9" t="str">
        <v>Contract</v>
      </c>
      <c r="K146" s="9" t="str">
        <v>No</v>
      </c>
      <c r="L146" s="9" t="str">
        <v>KXIND/S/GA/MC/250047</v>
      </c>
      <c r="M146" s="9">
        <v>45933</v>
      </c>
      <c r="N146" s="9">
        <v>61440</v>
      </c>
      <c r="O146" s="9" t="str">
        <v>October</v>
      </c>
      <c r="P146" s="9" t="str">
        <v>December</v>
      </c>
      <c r="Q146" s="9">
        <v>1</v>
      </c>
      <c r="R146" s="9">
        <v>4800091857</v>
      </c>
      <c r="S146" s="9" t="str">
        <v>17/11/2025</v>
      </c>
      <c r="T146" s="9">
        <v>61440</v>
      </c>
      <c r="U146" s="9" t="str">
        <v>November</v>
      </c>
      <c r="V146" s="9">
        <v>0</v>
      </c>
      <c r="W146" s="9">
        <v>0</v>
      </c>
      <c r="X146" s="9">
        <v>0</v>
      </c>
      <c r="Y146" s="9">
        <v>0</v>
      </c>
    </row>
    <row r="147" spans="1:25">
      <c r="A147" s="9">
        <v>0</v>
      </c>
      <c r="B147" s="9">
        <v>0</v>
      </c>
      <c r="C147" s="9" t="str">
        <v>Bharat Electronics Ltd</v>
      </c>
      <c r="D147" s="9" t="str">
        <v>Bangalore</v>
      </c>
      <c r="E147" s="9" t="str">
        <v>NS2</v>
      </c>
      <c r="F147" s="9" t="str">
        <v>NATARAJA H</v>
      </c>
      <c r="G147" s="9">
        <v>8022195605</v>
      </c>
      <c r="H147" s="9" t="str">
        <v>natarajah@bel.co.innatarajah@bel.co.in</v>
      </c>
      <c r="I147" s="9" t="str">
        <v>140007366/001</v>
      </c>
      <c r="J147" s="9" t="str">
        <v>Contract</v>
      </c>
      <c r="K147" s="9" t="str">
        <v>No</v>
      </c>
      <c r="L147" s="9" t="str">
        <v>KXIND/S/GA/MC/250047</v>
      </c>
      <c r="M147" s="9">
        <v>45933</v>
      </c>
      <c r="N147" s="9">
        <v>61440</v>
      </c>
      <c r="O147" s="9" t="str">
        <v>October</v>
      </c>
      <c r="P147" s="9" t="str">
        <v>December</v>
      </c>
      <c r="Q147" s="9">
        <v>1</v>
      </c>
      <c r="R147" s="9">
        <v>4800091857</v>
      </c>
      <c r="S147" s="9" t="str">
        <v>17/11/2025</v>
      </c>
      <c r="T147" s="9">
        <v>61440</v>
      </c>
      <c r="U147" s="9" t="str">
        <v>November</v>
      </c>
      <c r="V147" s="9">
        <v>0</v>
      </c>
      <c r="W147" s="9">
        <v>0</v>
      </c>
      <c r="X147" s="9">
        <v>0</v>
      </c>
      <c r="Y147" s="9">
        <v>0</v>
      </c>
    </row>
    <row r="148" spans="1:25">
      <c r="A148" s="9">
        <v>0</v>
      </c>
      <c r="B148" s="9">
        <v>0</v>
      </c>
      <c r="C148" s="9" t="str">
        <v>Bharat Electronics Ltd</v>
      </c>
      <c r="D148" s="9" t="str">
        <v>Bangalore</v>
      </c>
      <c r="E148" s="9" t="str">
        <v>NS2</v>
      </c>
      <c r="F148" s="9" t="str">
        <v>NATARAJA H</v>
      </c>
      <c r="G148" s="9">
        <v>8022195605</v>
      </c>
      <c r="H148" s="9" t="str">
        <v>natarajah@bel.co.innatarajah@bel.co.in</v>
      </c>
      <c r="I148" s="9" t="str">
        <v>140007367/001</v>
      </c>
      <c r="J148" s="9" t="str">
        <v>Contract</v>
      </c>
      <c r="K148" s="9" t="str">
        <v>No</v>
      </c>
      <c r="L148" s="9" t="str">
        <v>KXIND/S/GA/MC/250047</v>
      </c>
      <c r="M148" s="9">
        <v>45933</v>
      </c>
      <c r="N148" s="9">
        <v>61440</v>
      </c>
      <c r="O148" s="9" t="str">
        <v>October</v>
      </c>
      <c r="P148" s="9" t="str">
        <v>December</v>
      </c>
      <c r="Q148" s="9">
        <v>1</v>
      </c>
      <c r="R148" s="9">
        <v>4800091857</v>
      </c>
      <c r="S148" s="9" t="str">
        <v>17/11/2025</v>
      </c>
      <c r="T148" s="9">
        <v>61440</v>
      </c>
      <c r="U148" s="9" t="str">
        <v>November</v>
      </c>
      <c r="V148" s="9">
        <v>0</v>
      </c>
      <c r="W148" s="9">
        <v>0</v>
      </c>
      <c r="X148" s="9">
        <v>0</v>
      </c>
      <c r="Y148" s="9">
        <v>0</v>
      </c>
    </row>
    <row r="149" spans="1:25">
      <c r="A149" s="9">
        <v>0</v>
      </c>
      <c r="B149" s="9">
        <v>0</v>
      </c>
      <c r="C149" s="9" t="str">
        <v>Bharat Electronics Ltd</v>
      </c>
      <c r="D149" s="9" t="str">
        <v>Bangalore</v>
      </c>
      <c r="E149" s="9" t="str">
        <v>NS2</v>
      </c>
      <c r="F149" s="9" t="str">
        <v>NATARAJA H</v>
      </c>
      <c r="G149" s="9">
        <v>8022195605</v>
      </c>
      <c r="H149" s="9" t="str">
        <v>natarajah@bel.co.innatarajah@bel.co.in</v>
      </c>
      <c r="I149" s="9" t="str">
        <v>140007368/001</v>
      </c>
      <c r="J149" s="9" t="str">
        <v>Contract</v>
      </c>
      <c r="K149" s="9" t="str">
        <v>No</v>
      </c>
      <c r="L149" s="9" t="str">
        <v>KXIND/S/GA/MC/250047</v>
      </c>
      <c r="M149" s="9">
        <v>45933</v>
      </c>
      <c r="N149" s="9">
        <v>61440</v>
      </c>
      <c r="O149" s="9" t="str">
        <v>October</v>
      </c>
      <c r="P149" s="9" t="str">
        <v>December</v>
      </c>
      <c r="Q149" s="9">
        <v>1</v>
      </c>
      <c r="R149" s="9">
        <v>4800091857</v>
      </c>
      <c r="S149" s="9" t="str">
        <v>17/11/2025</v>
      </c>
      <c r="T149" s="9">
        <v>61440</v>
      </c>
      <c r="U149" s="9" t="str">
        <v>November</v>
      </c>
      <c r="V149" s="9">
        <v>0</v>
      </c>
      <c r="W149" s="9">
        <v>0</v>
      </c>
      <c r="X149" s="9">
        <v>0</v>
      </c>
      <c r="Y149" s="9">
        <v>0</v>
      </c>
    </row>
    <row r="150" spans="1:25">
      <c r="A150" s="9">
        <v>0</v>
      </c>
      <c r="B150" s="9">
        <v>0</v>
      </c>
      <c r="C150" s="9" t="str">
        <v>Bharat Electronics Ltd</v>
      </c>
      <c r="D150" s="9" t="str">
        <v>Bangalore</v>
      </c>
      <c r="E150" s="9" t="str">
        <v>NS2</v>
      </c>
      <c r="F150" s="9" t="str">
        <v>NATARAJA H</v>
      </c>
      <c r="G150" s="9">
        <v>8022195605</v>
      </c>
      <c r="H150" s="9" t="str">
        <v>natarajah@bel.co.innatarajah@bel.co.in</v>
      </c>
      <c r="I150" s="9" t="str">
        <v>140007369/001</v>
      </c>
      <c r="J150" s="9" t="str">
        <v>Contract</v>
      </c>
      <c r="K150" s="9" t="str">
        <v>No</v>
      </c>
      <c r="L150" s="9" t="str">
        <v>KXIND/S/GA/MC/250047</v>
      </c>
      <c r="M150" s="9">
        <v>45933</v>
      </c>
      <c r="N150" s="9">
        <v>61440</v>
      </c>
      <c r="O150" s="9" t="str">
        <v>October</v>
      </c>
      <c r="P150" s="9" t="str">
        <v>December</v>
      </c>
      <c r="Q150" s="9">
        <v>1</v>
      </c>
      <c r="R150" s="9">
        <v>4800091857</v>
      </c>
      <c r="S150" s="9" t="str">
        <v>17/11/2025</v>
      </c>
      <c r="T150" s="9">
        <v>61440</v>
      </c>
      <c r="U150" s="9" t="str">
        <v>November</v>
      </c>
      <c r="V150" s="9">
        <v>0</v>
      </c>
      <c r="W150" s="9">
        <v>0</v>
      </c>
      <c r="X150" s="9">
        <v>0</v>
      </c>
      <c r="Y150" s="9">
        <v>0</v>
      </c>
    </row>
    <row r="151" spans="1:25">
      <c r="A151" s="9">
        <v>0</v>
      </c>
      <c r="B151" s="9">
        <v>0</v>
      </c>
      <c r="C151" s="9" t="str">
        <v>Bharat Electronics Ltd</v>
      </c>
      <c r="D151" s="9" t="str">
        <v>Bangalore</v>
      </c>
      <c r="E151" s="9" t="str">
        <v>NS2</v>
      </c>
      <c r="F151" s="9" t="str">
        <v>NATARAJA H</v>
      </c>
      <c r="G151" s="9">
        <v>8022195605</v>
      </c>
      <c r="H151" s="9" t="str">
        <v>natarajah@bel.co.innatarajah@bel.co.in</v>
      </c>
      <c r="I151" s="9" t="str">
        <v>140007364/001</v>
      </c>
      <c r="J151" s="9" t="str">
        <v>Contract</v>
      </c>
      <c r="K151" s="9" t="str">
        <v>No</v>
      </c>
      <c r="L151" s="9" t="str">
        <v>KXIND/S/GA/MC/250047</v>
      </c>
      <c r="M151" s="9">
        <v>45933</v>
      </c>
      <c r="N151" s="9">
        <v>61440</v>
      </c>
      <c r="O151" s="9" t="str">
        <v>October</v>
      </c>
      <c r="P151" s="9" t="str">
        <v>December</v>
      </c>
      <c r="Q151" s="9">
        <v>1</v>
      </c>
      <c r="R151" s="9">
        <v>4800091857</v>
      </c>
      <c r="S151" s="9" t="str">
        <v>17/11/2025</v>
      </c>
      <c r="T151" s="9">
        <v>61440</v>
      </c>
      <c r="U151" s="9" t="str">
        <v>November</v>
      </c>
      <c r="V151" s="9">
        <v>0</v>
      </c>
      <c r="W151" s="9">
        <v>0</v>
      </c>
      <c r="X151" s="9">
        <v>0</v>
      </c>
      <c r="Y151" s="9">
        <v>0</v>
      </c>
    </row>
    <row r="152" spans="1:25">
      <c r="A152" s="9">
        <v>0</v>
      </c>
      <c r="B152" s="9">
        <v>0</v>
      </c>
      <c r="C152" s="9" t="str">
        <v>Bharat Electronics Ltd</v>
      </c>
      <c r="D152" s="9" t="str">
        <v>Bangalore</v>
      </c>
      <c r="E152" s="9" t="str">
        <v>NS2</v>
      </c>
      <c r="F152" s="9" t="str">
        <v>NATARAJA H</v>
      </c>
      <c r="G152" s="9">
        <v>8022195605</v>
      </c>
      <c r="H152" s="9" t="str">
        <v>natarajah@bel.co.innatarajah@bel.co.in</v>
      </c>
      <c r="I152" s="9" t="str">
        <v>140007365/001</v>
      </c>
      <c r="J152" s="9" t="str">
        <v>Contract</v>
      </c>
      <c r="K152" s="9" t="str">
        <v>No</v>
      </c>
      <c r="L152" s="9" t="str">
        <v>KXIND/S/GA/MC/250047</v>
      </c>
      <c r="M152" s="9">
        <v>45933</v>
      </c>
      <c r="N152" s="9">
        <v>61440</v>
      </c>
      <c r="O152" s="9" t="str">
        <v>October</v>
      </c>
      <c r="P152" s="9" t="str">
        <v>December</v>
      </c>
      <c r="Q152" s="9">
        <v>1</v>
      </c>
      <c r="R152" s="9">
        <v>4800091857</v>
      </c>
      <c r="S152" s="9" t="str">
        <v>17/11/2025</v>
      </c>
      <c r="T152" s="9">
        <v>61440</v>
      </c>
      <c r="U152" s="9" t="str">
        <v>November</v>
      </c>
      <c r="V152" s="9">
        <v>0</v>
      </c>
      <c r="W152" s="9">
        <v>0</v>
      </c>
      <c r="X152" s="9">
        <v>0</v>
      </c>
      <c r="Y152" s="9">
        <v>0</v>
      </c>
    </row>
    <row r="153" spans="1:25">
      <c r="A153" s="9">
        <v>0</v>
      </c>
      <c r="B153" s="9">
        <v>0</v>
      </c>
      <c r="C153" s="9" t="str">
        <v>Bharat Electronics Ltd</v>
      </c>
      <c r="D153" s="9" t="str">
        <v>Bangalore</v>
      </c>
      <c r="E153" s="9" t="str">
        <v>NS2</v>
      </c>
      <c r="F153" s="9" t="str">
        <v>NATARAJA H</v>
      </c>
      <c r="G153" s="9">
        <v>8022195605</v>
      </c>
      <c r="H153" s="9" t="str">
        <v>natarajah@bel.co.innatarajah@bel.co.in</v>
      </c>
      <c r="I153" s="9" t="str">
        <v>16007651/001</v>
      </c>
      <c r="J153" s="9" t="str">
        <v>Contract</v>
      </c>
      <c r="K153" s="9" t="str">
        <v>No</v>
      </c>
      <c r="L153" s="9" t="str">
        <v>KXIND/S/GA/MC/250047</v>
      </c>
      <c r="M153" s="9">
        <v>45933</v>
      </c>
      <c r="N153" s="9">
        <v>61440</v>
      </c>
      <c r="O153" s="9" t="str">
        <v>October</v>
      </c>
      <c r="P153" s="9" t="str">
        <v>December</v>
      </c>
      <c r="Q153" s="9">
        <v>1</v>
      </c>
      <c r="R153" s="9">
        <v>4800091857</v>
      </c>
      <c r="S153" s="9" t="str">
        <v>17/11/2025</v>
      </c>
      <c r="T153" s="9">
        <v>61440</v>
      </c>
      <c r="U153" s="9" t="str">
        <v>November</v>
      </c>
      <c r="V153" s="9">
        <v>0</v>
      </c>
      <c r="W153" s="9">
        <v>0</v>
      </c>
      <c r="X153" s="9">
        <v>0</v>
      </c>
      <c r="Y153" s="9">
        <v>0</v>
      </c>
    </row>
    <row r="154" spans="1:25">
      <c r="A154" s="9">
        <v>0</v>
      </c>
      <c r="B154" s="9">
        <v>0</v>
      </c>
      <c r="C154" s="9" t="str">
        <v>Bharat Electronics Ltd</v>
      </c>
      <c r="D154" s="9" t="str">
        <v>Bangalore</v>
      </c>
      <c r="E154" s="9" t="str">
        <v>NS2</v>
      </c>
      <c r="F154" s="9" t="str">
        <v>NATARAJA H</v>
      </c>
      <c r="G154" s="9">
        <v>8022195605</v>
      </c>
      <c r="H154" s="9" t="str">
        <v>natarajah@bel.co.innatarajah@bel.co.in</v>
      </c>
      <c r="I154" s="9" t="str">
        <v>16007651/002</v>
      </c>
      <c r="J154" s="9" t="str">
        <v>Contract</v>
      </c>
      <c r="K154" s="9" t="str">
        <v>No</v>
      </c>
      <c r="L154" s="9" t="str">
        <v>KXIND/S/GA/MC/250047</v>
      </c>
      <c r="M154" s="9">
        <v>45933</v>
      </c>
      <c r="N154" s="9">
        <v>61440</v>
      </c>
      <c r="O154" s="9" t="str">
        <v>October</v>
      </c>
      <c r="P154" s="9" t="str">
        <v>December</v>
      </c>
      <c r="Q154" s="9">
        <v>1</v>
      </c>
      <c r="R154" s="9">
        <v>4800091857</v>
      </c>
      <c r="S154" s="9" t="str">
        <v>17/11/2025</v>
      </c>
      <c r="T154" s="9">
        <v>61440</v>
      </c>
      <c r="U154" s="9" t="str">
        <v>November</v>
      </c>
      <c r="V154" s="9">
        <v>0</v>
      </c>
      <c r="W154" s="9">
        <v>0</v>
      </c>
      <c r="X154" s="9">
        <v>0</v>
      </c>
      <c r="Y154" s="9">
        <v>0</v>
      </c>
    </row>
    <row r="155" spans="1:25">
      <c r="A155" s="9">
        <v>0</v>
      </c>
      <c r="B155" s="9">
        <v>0</v>
      </c>
      <c r="C155" s="9" t="str">
        <v>Bharat Electronics Ltd</v>
      </c>
      <c r="D155" s="9" t="str">
        <v>Bangalore</v>
      </c>
      <c r="E155" s="9" t="str">
        <v>NS2</v>
      </c>
      <c r="F155" s="9" t="str">
        <v>NATARAJA H</v>
      </c>
      <c r="G155" s="9">
        <v>8022195605</v>
      </c>
      <c r="H155" s="9" t="str">
        <v>natarajah@bel.co.innatarajah@bel.co.in</v>
      </c>
      <c r="I155" s="9" t="str">
        <v>16007651/003</v>
      </c>
      <c r="J155" s="9" t="str">
        <v>Contract</v>
      </c>
      <c r="K155" s="9" t="str">
        <v>No</v>
      </c>
      <c r="L155" s="9" t="str">
        <v>KXIND/S/GA/MC/250047</v>
      </c>
      <c r="M155" s="9">
        <v>45933</v>
      </c>
      <c r="N155" s="9">
        <v>61440</v>
      </c>
      <c r="O155" s="9" t="str">
        <v>October</v>
      </c>
      <c r="P155" s="9" t="str">
        <v>December</v>
      </c>
      <c r="Q155" s="9">
        <v>1</v>
      </c>
      <c r="R155" s="9">
        <v>4800091857</v>
      </c>
      <c r="S155" s="9" t="str">
        <v>17/11/2025</v>
      </c>
      <c r="T155" s="9">
        <v>61440</v>
      </c>
      <c r="U155" s="9" t="str">
        <v>November</v>
      </c>
      <c r="V155" s="9">
        <v>0</v>
      </c>
      <c r="W155" s="9">
        <v>0</v>
      </c>
      <c r="X155" s="9">
        <v>0</v>
      </c>
      <c r="Y155" s="9">
        <v>0</v>
      </c>
    </row>
    <row r="156" spans="1:25">
      <c r="A156" s="9">
        <v>0</v>
      </c>
      <c r="B156" s="9">
        <v>0</v>
      </c>
      <c r="C156" s="9" t="str">
        <v>Bharat Electronics Ltd</v>
      </c>
      <c r="D156" s="9" t="str">
        <v>Bangalore</v>
      </c>
      <c r="E156" s="9" t="str">
        <v>NS2</v>
      </c>
      <c r="F156" s="9" t="str">
        <v>NATARAJA H</v>
      </c>
      <c r="G156" s="9">
        <v>8022195605</v>
      </c>
      <c r="H156" s="9" t="str">
        <v>natarajah@bel.co.innatarajah@bel.co.in</v>
      </c>
      <c r="I156" s="9" t="str">
        <v>18002817/001</v>
      </c>
      <c r="J156" s="9" t="str">
        <v>Contract</v>
      </c>
      <c r="K156" s="9" t="str">
        <v>No</v>
      </c>
      <c r="L156" s="9" t="str">
        <v>KXIND/S/GA/MC/250047</v>
      </c>
      <c r="M156" s="9">
        <v>45933</v>
      </c>
      <c r="N156" s="9">
        <v>61440</v>
      </c>
      <c r="O156" s="9" t="str">
        <v>October</v>
      </c>
      <c r="P156" s="9" t="str">
        <v>December</v>
      </c>
      <c r="Q156" s="9">
        <v>1</v>
      </c>
      <c r="R156" s="9">
        <v>4800091857</v>
      </c>
      <c r="S156" s="9" t="str">
        <v>17/11/2025</v>
      </c>
      <c r="T156" s="9">
        <v>61440</v>
      </c>
      <c r="U156" s="9" t="str">
        <v>November</v>
      </c>
      <c r="V156" s="9">
        <v>0</v>
      </c>
      <c r="W156" s="9">
        <v>0</v>
      </c>
      <c r="X156" s="9">
        <v>0</v>
      </c>
      <c r="Y156" s="9">
        <v>0</v>
      </c>
    </row>
    <row r="157" spans="1:25">
      <c r="A157" s="9">
        <v>0</v>
      </c>
      <c r="B157" s="9">
        <v>0</v>
      </c>
      <c r="C157" s="9" t="str">
        <v>Bharat Electronics Ltd</v>
      </c>
      <c r="D157" s="9" t="str">
        <v>Bangalore</v>
      </c>
      <c r="E157" s="9" t="str">
        <v>NS2</v>
      </c>
      <c r="F157" s="9" t="str">
        <v>NATARAJA H</v>
      </c>
      <c r="G157" s="9">
        <v>8022195605</v>
      </c>
      <c r="H157" s="9" t="str">
        <v>natarajah@bel.co.innatarajah@bel.co.in</v>
      </c>
      <c r="I157" s="9" t="str">
        <v>18002817/002</v>
      </c>
      <c r="J157" s="9" t="str">
        <v>Contract</v>
      </c>
      <c r="K157" s="9" t="str">
        <v>No</v>
      </c>
      <c r="L157" s="9" t="str">
        <v>KXIND/S/GA/MC/250047</v>
      </c>
      <c r="M157" s="9">
        <v>45933</v>
      </c>
      <c r="N157" s="9">
        <v>61440</v>
      </c>
      <c r="O157" s="9" t="str">
        <v>October</v>
      </c>
      <c r="P157" s="9" t="str">
        <v>December</v>
      </c>
      <c r="Q157" s="9">
        <v>1</v>
      </c>
      <c r="R157" s="9">
        <v>4800091857</v>
      </c>
      <c r="S157" s="9" t="str">
        <v>17/11/2025</v>
      </c>
      <c r="T157" s="9">
        <v>61440</v>
      </c>
      <c r="U157" s="9" t="str">
        <v>November</v>
      </c>
      <c r="V157" s="9">
        <v>0</v>
      </c>
      <c r="W157" s="9">
        <v>0</v>
      </c>
      <c r="X157" s="9">
        <v>0</v>
      </c>
      <c r="Y157" s="9">
        <v>0</v>
      </c>
    </row>
    <row r="158" spans="1:25">
      <c r="A158" s="9">
        <v>0</v>
      </c>
      <c r="B158" s="9">
        <v>0</v>
      </c>
      <c r="C158" s="9" t="str">
        <v>Bharat Electronics Ltd</v>
      </c>
      <c r="D158" s="9" t="str">
        <v>Bangalore</v>
      </c>
      <c r="E158" s="9" t="str">
        <v>NS2</v>
      </c>
      <c r="F158" s="9" t="str">
        <v>NATARAJA H</v>
      </c>
      <c r="G158" s="9">
        <v>8022195605</v>
      </c>
      <c r="H158" s="9" t="str">
        <v>natarajah@bel.co.innatarajah@bel.co.in</v>
      </c>
      <c r="I158" s="9" t="str">
        <v>08009604/001</v>
      </c>
      <c r="J158" s="9" t="str">
        <v>Contract</v>
      </c>
      <c r="K158" s="9" t="str">
        <v>No</v>
      </c>
      <c r="L158" s="9" t="str">
        <v>KXIND/S/GA/MC/250047</v>
      </c>
      <c r="M158" s="9">
        <v>45933</v>
      </c>
      <c r="N158" s="9">
        <v>61440</v>
      </c>
      <c r="O158" s="9" t="str">
        <v>October</v>
      </c>
      <c r="P158" s="9" t="str">
        <v>December</v>
      </c>
      <c r="Q158" s="9">
        <v>1</v>
      </c>
      <c r="R158" s="9">
        <v>4800091857</v>
      </c>
      <c r="S158" s="9" t="str">
        <v>17/11/2025</v>
      </c>
      <c r="T158" s="9">
        <v>61440</v>
      </c>
      <c r="U158" s="9" t="str">
        <v>November</v>
      </c>
      <c r="V158" s="9">
        <v>0</v>
      </c>
      <c r="W158" s="9">
        <v>0</v>
      </c>
      <c r="X158" s="9">
        <v>0</v>
      </c>
      <c r="Y158" s="9">
        <v>0</v>
      </c>
    </row>
    <row r="159" spans="1:25">
      <c r="A159" s="9">
        <v>0</v>
      </c>
      <c r="B159" s="9">
        <v>0</v>
      </c>
      <c r="C159" s="9" t="str">
        <v>Bharat Electronics Ltd</v>
      </c>
      <c r="D159" s="9" t="str">
        <v>Bangalore</v>
      </c>
      <c r="E159" s="9" t="str">
        <v>NS2</v>
      </c>
      <c r="F159" s="9" t="str">
        <v>NATARAJA H</v>
      </c>
      <c r="G159" s="9">
        <v>8022195605</v>
      </c>
      <c r="H159" s="9" t="str">
        <v>natarajah@bel.co.innatarajah@bel.co.in</v>
      </c>
      <c r="I159" s="9" t="str">
        <v>10002279/001</v>
      </c>
      <c r="J159" s="9" t="str">
        <v>Contract</v>
      </c>
      <c r="K159" s="9" t="str">
        <v>No</v>
      </c>
      <c r="L159" s="9" t="str">
        <v>KXIND/S/GA/MC/250047</v>
      </c>
      <c r="M159" s="9">
        <v>45933</v>
      </c>
      <c r="N159" s="9">
        <v>61440</v>
      </c>
      <c r="O159" s="9" t="str">
        <v>October</v>
      </c>
      <c r="P159" s="9" t="str">
        <v>December</v>
      </c>
      <c r="Q159" s="9">
        <v>1</v>
      </c>
      <c r="R159" s="9">
        <v>4800091857</v>
      </c>
      <c r="S159" s="9" t="str">
        <v>17/11/2025</v>
      </c>
      <c r="T159" s="9">
        <v>61440</v>
      </c>
      <c r="U159" s="9" t="str">
        <v>November</v>
      </c>
      <c r="V159" s="9">
        <v>0</v>
      </c>
      <c r="W159" s="9">
        <v>0</v>
      </c>
      <c r="X159" s="9">
        <v>0</v>
      </c>
      <c r="Y159" s="9">
        <v>0</v>
      </c>
    </row>
    <row r="160" spans="1:25">
      <c r="A160" s="9">
        <v>0</v>
      </c>
      <c r="B160" s="9">
        <v>0</v>
      </c>
      <c r="C160" s="9" t="str">
        <v>Bharat Electronics Ltd</v>
      </c>
      <c r="D160" s="9" t="str">
        <v>Bangalore</v>
      </c>
      <c r="E160" s="9" t="str">
        <v>NS2</v>
      </c>
      <c r="F160" s="9" t="str">
        <v>NATARAJA H</v>
      </c>
      <c r="G160" s="9">
        <v>8022195605</v>
      </c>
      <c r="H160" s="9" t="str">
        <v>natarajah@bel.co.innatarajah@bel.co.in</v>
      </c>
      <c r="I160" s="9" t="str">
        <v>12009114/001</v>
      </c>
      <c r="J160" s="9" t="str">
        <v>Contract</v>
      </c>
      <c r="K160" s="9" t="str">
        <v>No</v>
      </c>
      <c r="L160" s="9" t="str">
        <v>KXIND/S/GA/MC/250047</v>
      </c>
      <c r="M160" s="9">
        <v>45933</v>
      </c>
      <c r="N160" s="9">
        <v>61440</v>
      </c>
      <c r="O160" s="9" t="str">
        <v>October</v>
      </c>
      <c r="P160" s="9" t="str">
        <v>December</v>
      </c>
      <c r="Q160" s="9">
        <v>1</v>
      </c>
      <c r="R160" s="9">
        <v>4800091857</v>
      </c>
      <c r="S160" s="9" t="str">
        <v>17/11/2025</v>
      </c>
      <c r="T160" s="9">
        <v>61440</v>
      </c>
      <c r="U160" s="9" t="str">
        <v>November</v>
      </c>
      <c r="V160" s="9">
        <v>0</v>
      </c>
      <c r="W160" s="9">
        <v>0</v>
      </c>
      <c r="X160" s="9">
        <v>0</v>
      </c>
      <c r="Y160" s="9">
        <v>0</v>
      </c>
    </row>
    <row r="161" spans="1:25">
      <c r="A161" s="9">
        <v>0</v>
      </c>
      <c r="B161" s="9">
        <v>0</v>
      </c>
      <c r="C161" s="9" t="str">
        <v>Bharat Electronics Ltd</v>
      </c>
      <c r="D161" s="9" t="str">
        <v>Bangalore</v>
      </c>
      <c r="E161" s="9" t="str">
        <v>NS2</v>
      </c>
      <c r="F161" s="9" t="str">
        <v>NATARAJA H</v>
      </c>
      <c r="G161" s="9">
        <v>8022195605</v>
      </c>
      <c r="H161" s="9" t="str">
        <v>natarajah@bel.co.innatarajah@bel.co.in</v>
      </c>
      <c r="I161" s="9" t="str">
        <v>16000208/001</v>
      </c>
      <c r="J161" s="9" t="str">
        <v>Contract</v>
      </c>
      <c r="K161" s="9" t="str">
        <v>No</v>
      </c>
      <c r="L161" s="9" t="str">
        <v>KXIND/S/GA/MC/250047</v>
      </c>
      <c r="M161" s="9">
        <v>45933</v>
      </c>
      <c r="N161" s="9">
        <v>61440</v>
      </c>
      <c r="O161" s="9" t="str">
        <v>October</v>
      </c>
      <c r="P161" s="9" t="str">
        <v>December</v>
      </c>
      <c r="Q161" s="9">
        <v>1</v>
      </c>
      <c r="R161" s="9">
        <v>4800091857</v>
      </c>
      <c r="S161" s="9" t="str">
        <v>17/11/2025</v>
      </c>
      <c r="T161" s="9">
        <v>61440</v>
      </c>
      <c r="U161" s="9" t="str">
        <v>November</v>
      </c>
      <c r="V161" s="9">
        <v>0</v>
      </c>
      <c r="W161" s="9">
        <v>0</v>
      </c>
      <c r="X161" s="9">
        <v>0</v>
      </c>
      <c r="Y161" s="9">
        <v>0</v>
      </c>
    </row>
    <row r="162" spans="1:25">
      <c r="A162" s="9">
        <v>0</v>
      </c>
      <c r="B162" s="9">
        <v>0</v>
      </c>
      <c r="C162" s="9" t="str">
        <v>Bharat Electronics Ltd</v>
      </c>
      <c r="D162" s="9" t="str">
        <v>Bangalore</v>
      </c>
      <c r="E162" s="9" t="str">
        <v>CMC</v>
      </c>
      <c r="F162" s="9" t="str">
        <v>Shivanandaraju R</v>
      </c>
      <c r="G162" s="9">
        <v>8022195885</v>
      </c>
      <c r="H162" s="9" t="str">
        <v>shivanandarajur@bel.co.in</v>
      </c>
      <c r="I162" s="9" t="str">
        <v>98000417/002</v>
      </c>
      <c r="J162" s="9" t="str">
        <v>Contract</v>
      </c>
      <c r="K162" s="9" t="str">
        <v>No</v>
      </c>
      <c r="L162" s="9" t="str">
        <v>KXIND/S/GA/MC/250018</v>
      </c>
      <c r="M162" s="9">
        <v>45819</v>
      </c>
      <c r="N162" s="9">
        <v>64190</v>
      </c>
      <c r="O162" s="9" t="str">
        <v>July</v>
      </c>
      <c r="P162" s="9" t="str">
        <v>July</v>
      </c>
      <c r="Q162" s="9">
        <v>1</v>
      </c>
      <c r="R162" s="9">
        <v>4800089417</v>
      </c>
      <c r="S162" s="9">
        <v>45864</v>
      </c>
      <c r="T162" s="9">
        <v>64190</v>
      </c>
      <c r="U162" s="9" t="str">
        <v>November</v>
      </c>
      <c r="V162" s="9">
        <v>0</v>
      </c>
      <c r="W162" s="9">
        <v>0</v>
      </c>
      <c r="X162" s="9">
        <v>0</v>
      </c>
      <c r="Y162" s="9">
        <v>0</v>
      </c>
    </row>
    <row r="163" spans="1:25">
      <c r="A163" s="9">
        <v>0</v>
      </c>
      <c r="B163" s="9">
        <v>0</v>
      </c>
      <c r="C163" s="9" t="str">
        <v>Bharat Electronics Ltd</v>
      </c>
      <c r="D163" s="9" t="str">
        <v>Bangalore</v>
      </c>
      <c r="E163" s="9" t="str">
        <v>CMC</v>
      </c>
      <c r="F163" s="9" t="str">
        <v>Shivanandaraju R</v>
      </c>
      <c r="G163" s="9">
        <v>8022195885</v>
      </c>
      <c r="H163" s="9" t="str">
        <v>shivanandarajur@bel.co.in</v>
      </c>
      <c r="I163" s="9" t="str">
        <v>02003255/001</v>
      </c>
      <c r="J163" s="9" t="str">
        <v>Contract</v>
      </c>
      <c r="K163" s="9" t="str">
        <v>No</v>
      </c>
      <c r="L163" s="9" t="str">
        <v>KXIND/S/GA/MC/250018</v>
      </c>
      <c r="M163" s="9">
        <v>45819</v>
      </c>
      <c r="N163" s="9">
        <v>64190</v>
      </c>
      <c r="O163" s="9" t="str">
        <v>July</v>
      </c>
      <c r="P163" s="9" t="str">
        <v>July</v>
      </c>
      <c r="Q163" s="9">
        <v>1</v>
      </c>
      <c r="R163" s="9">
        <v>4800089417</v>
      </c>
      <c r="S163" s="9">
        <v>45864</v>
      </c>
      <c r="T163" s="9">
        <v>64190</v>
      </c>
      <c r="U163" s="9" t="str">
        <v>November</v>
      </c>
      <c r="V163" s="9">
        <v>0</v>
      </c>
      <c r="W163" s="9">
        <v>0</v>
      </c>
      <c r="X163" s="9">
        <v>0</v>
      </c>
      <c r="Y163" s="9">
        <v>0</v>
      </c>
    </row>
    <row r="164" spans="1:25">
      <c r="A164" s="9">
        <v>0</v>
      </c>
      <c r="B164" s="9">
        <v>0</v>
      </c>
      <c r="C164" s="9" t="str">
        <v>Bharat Electronics Ltd</v>
      </c>
      <c r="D164" s="9" t="str">
        <v>Bangalore</v>
      </c>
      <c r="E164" s="9" t="str">
        <v>CMC</v>
      </c>
      <c r="F164" s="9" t="str">
        <v>Shivanandaraju R</v>
      </c>
      <c r="G164" s="9">
        <v>8022195885</v>
      </c>
      <c r="H164" s="9" t="str">
        <v>shivanandarajur@bel.co.in</v>
      </c>
      <c r="I164" s="9" t="str">
        <v>02003255/002</v>
      </c>
      <c r="J164" s="9" t="str">
        <v>Contract</v>
      </c>
      <c r="K164" s="9" t="str">
        <v>No</v>
      </c>
      <c r="L164" s="9" t="str">
        <v>KXIND/S/GA/MC/250018</v>
      </c>
      <c r="M164" s="9">
        <v>45819</v>
      </c>
      <c r="N164" s="9">
        <v>64190</v>
      </c>
      <c r="O164" s="9" t="str">
        <v>July</v>
      </c>
      <c r="P164" s="9" t="str">
        <v>July</v>
      </c>
      <c r="Q164" s="9">
        <v>1</v>
      </c>
      <c r="R164" s="9">
        <v>4800089417</v>
      </c>
      <c r="S164" s="9">
        <v>45864</v>
      </c>
      <c r="T164" s="9">
        <v>64190</v>
      </c>
      <c r="U164" s="9" t="str">
        <v>November</v>
      </c>
      <c r="V164" s="9">
        <v>0</v>
      </c>
      <c r="W164" s="9">
        <v>0</v>
      </c>
      <c r="X164" s="9">
        <v>0</v>
      </c>
      <c r="Y164" s="9">
        <v>0</v>
      </c>
    </row>
    <row r="165" spans="1:25">
      <c r="A165" s="9">
        <v>0</v>
      </c>
      <c r="B165" s="9">
        <v>0</v>
      </c>
      <c r="C165" s="9" t="str">
        <v>Bharat Electronics Ltd</v>
      </c>
      <c r="D165" s="9" t="str">
        <v>Bangalore</v>
      </c>
      <c r="E165" s="9" t="str">
        <v>CMC</v>
      </c>
      <c r="F165" s="9" t="str">
        <v>Shivanandaraju R</v>
      </c>
      <c r="G165" s="9">
        <v>8022195885</v>
      </c>
      <c r="H165" s="9" t="str">
        <v>shivanandarajur@bel.co.in</v>
      </c>
      <c r="I165" s="9" t="str">
        <v>03000252/001</v>
      </c>
      <c r="J165" s="9" t="str">
        <v>Contract</v>
      </c>
      <c r="K165" s="9" t="str">
        <v>No</v>
      </c>
      <c r="L165" s="9" t="str">
        <v>KXIND/S/GA/MC/250018</v>
      </c>
      <c r="M165" s="9">
        <v>45819</v>
      </c>
      <c r="N165" s="9">
        <v>64190</v>
      </c>
      <c r="O165" s="9" t="str">
        <v>July</v>
      </c>
      <c r="P165" s="9" t="str">
        <v>July</v>
      </c>
      <c r="Q165" s="9">
        <v>1</v>
      </c>
      <c r="R165" s="9">
        <v>4800089417</v>
      </c>
      <c r="S165" s="9">
        <v>45864</v>
      </c>
      <c r="T165" s="9">
        <v>64190</v>
      </c>
      <c r="U165" s="9" t="str">
        <v>November</v>
      </c>
      <c r="V165" s="9">
        <v>0</v>
      </c>
      <c r="W165" s="9">
        <v>0</v>
      </c>
      <c r="X165" s="9">
        <v>0</v>
      </c>
      <c r="Y165" s="9">
        <v>0</v>
      </c>
    </row>
    <row r="166" spans="1:25">
      <c r="A166" s="9">
        <v>0</v>
      </c>
      <c r="B166" s="9">
        <v>0</v>
      </c>
      <c r="C166" s="9" t="str">
        <v>Bharat Electronics Ltd</v>
      </c>
      <c r="D166" s="9" t="str">
        <v>Bangalore</v>
      </c>
      <c r="E166" s="9" t="str">
        <v>CMC</v>
      </c>
      <c r="F166" s="9" t="str">
        <v>Shivanandaraju R</v>
      </c>
      <c r="G166" s="9">
        <v>8022195885</v>
      </c>
      <c r="H166" s="9" t="str">
        <v>shivanandarajur@bel.co.in</v>
      </c>
      <c r="I166" s="9" t="str">
        <v>03000252/002</v>
      </c>
      <c r="J166" s="9" t="str">
        <v>Contract</v>
      </c>
      <c r="K166" s="9" t="str">
        <v>No</v>
      </c>
      <c r="L166" s="9" t="str">
        <v>KXIND/S/GA/MC/250018</v>
      </c>
      <c r="M166" s="9">
        <v>45819</v>
      </c>
      <c r="N166" s="9">
        <v>64190</v>
      </c>
      <c r="O166" s="9" t="str">
        <v>July</v>
      </c>
      <c r="P166" s="9" t="str">
        <v>July</v>
      </c>
      <c r="Q166" s="9">
        <v>1</v>
      </c>
      <c r="R166" s="9">
        <v>4800089417</v>
      </c>
      <c r="S166" s="9">
        <v>45864</v>
      </c>
      <c r="T166" s="9">
        <v>64190</v>
      </c>
      <c r="U166" s="9" t="str">
        <v>November</v>
      </c>
      <c r="V166" s="9">
        <v>0</v>
      </c>
      <c r="W166" s="9">
        <v>0</v>
      </c>
      <c r="X166" s="9">
        <v>0</v>
      </c>
      <c r="Y166" s="9">
        <v>0</v>
      </c>
    </row>
    <row r="167" spans="1:25">
      <c r="A167" s="9">
        <v>0</v>
      </c>
      <c r="B167" s="9">
        <v>0</v>
      </c>
      <c r="C167" s="9" t="str">
        <v>Bharat Electronics Ltd</v>
      </c>
      <c r="D167" s="9" t="str">
        <v>Bangalore</v>
      </c>
      <c r="E167" s="9" t="str">
        <v>CMC</v>
      </c>
      <c r="F167" s="9" t="str">
        <v>Shivanandaraju R</v>
      </c>
      <c r="G167" s="9">
        <v>8022195885</v>
      </c>
      <c r="H167" s="9" t="str">
        <v>shivanandarajur@bel.co.in</v>
      </c>
      <c r="I167" s="9" t="str">
        <v>03004771/001</v>
      </c>
      <c r="J167" s="9" t="str">
        <v>Contract</v>
      </c>
      <c r="K167" s="9" t="str">
        <v>No</v>
      </c>
      <c r="L167" s="9" t="str">
        <v>KXIND/S/GA/MC/250018</v>
      </c>
      <c r="M167" s="9">
        <v>45819</v>
      </c>
      <c r="N167" s="9">
        <v>64190</v>
      </c>
      <c r="O167" s="9" t="str">
        <v>July</v>
      </c>
      <c r="P167" s="9" t="str">
        <v>July</v>
      </c>
      <c r="Q167" s="9">
        <v>1</v>
      </c>
      <c r="R167" s="9">
        <v>4800089417</v>
      </c>
      <c r="S167" s="9">
        <v>45864</v>
      </c>
      <c r="T167" s="9">
        <v>64190</v>
      </c>
      <c r="U167" s="9" t="str">
        <v>November</v>
      </c>
      <c r="V167" s="9">
        <v>0</v>
      </c>
      <c r="W167" s="9">
        <v>0</v>
      </c>
      <c r="X167" s="9">
        <v>0</v>
      </c>
      <c r="Y167" s="9">
        <v>0</v>
      </c>
    </row>
    <row r="168" spans="1:25">
      <c r="A168" s="9">
        <v>0</v>
      </c>
      <c r="B168" s="9">
        <v>0</v>
      </c>
      <c r="C168" s="9" t="str">
        <v>Bharat Electronics Ltd</v>
      </c>
      <c r="D168" s="9" t="str">
        <v>Bangalore</v>
      </c>
      <c r="E168" s="9" t="str">
        <v>CMC</v>
      </c>
      <c r="F168" s="9" t="str">
        <v>Shivanandaraju R</v>
      </c>
      <c r="G168" s="9">
        <v>8022195885</v>
      </c>
      <c r="H168" s="9" t="str">
        <v>shivanandarajur@bel.co.in</v>
      </c>
      <c r="I168" s="9" t="str">
        <v>12002062/001</v>
      </c>
      <c r="J168" s="9" t="str">
        <v>Contract</v>
      </c>
      <c r="K168" s="9" t="str">
        <v>No</v>
      </c>
      <c r="L168" s="9" t="str">
        <v>KXIND/S/GA/MC/250018</v>
      </c>
      <c r="M168" s="9">
        <v>45819</v>
      </c>
      <c r="N168" s="9">
        <v>64190</v>
      </c>
      <c r="O168" s="9" t="str">
        <v>July</v>
      </c>
      <c r="P168" s="9" t="str">
        <v>July</v>
      </c>
      <c r="Q168" s="9">
        <v>1</v>
      </c>
      <c r="R168" s="9">
        <v>4800089417</v>
      </c>
      <c r="S168" s="9">
        <v>45864</v>
      </c>
      <c r="T168" s="9">
        <v>64190</v>
      </c>
      <c r="U168" s="9" t="str">
        <v>November</v>
      </c>
      <c r="V168" s="9">
        <v>0</v>
      </c>
      <c r="W168" s="9">
        <v>0</v>
      </c>
      <c r="X168" s="9">
        <v>0</v>
      </c>
      <c r="Y168" s="9">
        <v>0</v>
      </c>
    </row>
    <row r="169" spans="1:25">
      <c r="A169" s="9">
        <v>0</v>
      </c>
      <c r="B169" s="9">
        <v>0</v>
      </c>
      <c r="C169" s="9" t="str">
        <v>Bharat Electronics Ltd</v>
      </c>
      <c r="D169" s="9" t="str">
        <v>Bangalore</v>
      </c>
      <c r="E169" s="9" t="str">
        <v>MCE &amp; NCS</v>
      </c>
      <c r="F169" s="9" t="str">
        <v>Prakas V</v>
      </c>
      <c r="G169" s="9">
        <v>9343174460</v>
      </c>
      <c r="H169" s="9" t="str">
        <v>prakashv@bel.co.in</v>
      </c>
      <c r="I169" s="9" t="str">
        <v>08009824/001</v>
      </c>
      <c r="J169" s="9" t="str">
        <v>Contract</v>
      </c>
      <c r="K169" s="9" t="str">
        <v>No</v>
      </c>
      <c r="L169" s="9" t="str">
        <v>KXIND/S/GA/MC/250017A</v>
      </c>
      <c r="M169" s="9">
        <v>45907</v>
      </c>
      <c r="N169" s="9">
        <v>65500</v>
      </c>
      <c r="O169" s="9" t="str">
        <v>September</v>
      </c>
      <c r="P169" s="9" t="str">
        <v>December</v>
      </c>
      <c r="Q169" s="9">
        <v>0.8</v>
      </c>
      <c r="R169" s="9">
        <v>0</v>
      </c>
      <c r="S169" s="9">
        <v>0</v>
      </c>
      <c r="T169" s="9">
        <v>0</v>
      </c>
      <c r="U169" s="9" t="str">
        <v>November</v>
      </c>
      <c r="V169" s="9">
        <v>65500</v>
      </c>
      <c r="W169" s="9">
        <v>0</v>
      </c>
      <c r="X169" s="9">
        <v>0</v>
      </c>
      <c r="Y169" s="9">
        <v>0</v>
      </c>
    </row>
    <row r="170" spans="1:25">
      <c r="A170" s="9">
        <v>0</v>
      </c>
      <c r="B170" s="9">
        <v>0</v>
      </c>
      <c r="C170" s="9" t="str">
        <v>Bharat Electronics Ltd</v>
      </c>
      <c r="D170" s="9" t="str">
        <v>Bangalore</v>
      </c>
      <c r="E170" s="9" t="str">
        <v>MCE &amp; NCS</v>
      </c>
      <c r="F170" s="9" t="str">
        <v>Prakas V</v>
      </c>
      <c r="G170" s="9">
        <v>9343174460</v>
      </c>
      <c r="H170" s="9" t="str">
        <v>prakashv@bel.co.in</v>
      </c>
      <c r="I170" s="9" t="str">
        <v>08009824/002</v>
      </c>
      <c r="J170" s="9" t="str">
        <v>Contract</v>
      </c>
      <c r="K170" s="9" t="str">
        <v>No</v>
      </c>
      <c r="L170" s="9" t="str">
        <v>KXIND/S/GA/MC/250017A</v>
      </c>
      <c r="M170" s="9">
        <v>45907</v>
      </c>
      <c r="N170" s="9">
        <v>65500</v>
      </c>
      <c r="O170" s="9" t="str">
        <v>September</v>
      </c>
      <c r="P170" s="9" t="str">
        <v>December</v>
      </c>
      <c r="Q170" s="9">
        <v>0.8</v>
      </c>
      <c r="R170" s="9">
        <v>0</v>
      </c>
      <c r="S170" s="9">
        <v>0</v>
      </c>
      <c r="T170" s="9">
        <v>0</v>
      </c>
      <c r="U170" s="9" t="str">
        <v>November</v>
      </c>
      <c r="V170" s="9">
        <v>65500</v>
      </c>
      <c r="W170" s="9">
        <v>0</v>
      </c>
      <c r="X170" s="9">
        <v>0</v>
      </c>
      <c r="Y170" s="9">
        <v>0</v>
      </c>
    </row>
    <row r="171" spans="1:25">
      <c r="A171" s="9">
        <v>0</v>
      </c>
      <c r="B171" s="9">
        <v>0</v>
      </c>
      <c r="C171" s="9" t="str">
        <v>Bharat Electronics Ltd</v>
      </c>
      <c r="D171" s="9" t="str">
        <v>Bangalore</v>
      </c>
      <c r="E171" s="9" t="str">
        <v>MCE &amp; NCS</v>
      </c>
      <c r="F171" s="9" t="str">
        <v>Prakas V</v>
      </c>
      <c r="G171" s="9">
        <v>9343174460</v>
      </c>
      <c r="H171" s="9" t="str">
        <v>prakashv@bel.co.in</v>
      </c>
      <c r="I171" s="9" t="str">
        <v>09007583/001</v>
      </c>
      <c r="J171" s="9" t="str">
        <v>Contract</v>
      </c>
      <c r="K171" s="9" t="str">
        <v>No</v>
      </c>
      <c r="L171" s="9" t="str">
        <v>KXIND/S/GA/MC/250017A</v>
      </c>
      <c r="M171" s="9">
        <v>45907</v>
      </c>
      <c r="N171" s="9">
        <v>65500</v>
      </c>
      <c r="O171" s="9" t="str">
        <v>September</v>
      </c>
      <c r="P171" s="9" t="str">
        <v>December</v>
      </c>
      <c r="Q171" s="9">
        <v>0.8</v>
      </c>
      <c r="R171" s="9">
        <v>0</v>
      </c>
      <c r="S171" s="9">
        <v>0</v>
      </c>
      <c r="T171" s="9">
        <v>0</v>
      </c>
      <c r="U171" s="9" t="str">
        <v>November</v>
      </c>
      <c r="V171" s="9">
        <v>65500</v>
      </c>
      <c r="W171" s="9">
        <v>0</v>
      </c>
      <c r="X171" s="9">
        <v>0</v>
      </c>
      <c r="Y171" s="9">
        <v>0</v>
      </c>
    </row>
    <row r="172" spans="1:25">
      <c r="A172" s="9">
        <v>0</v>
      </c>
      <c r="B172" s="9">
        <v>0</v>
      </c>
      <c r="C172" s="9" t="str">
        <v>Bharat Electronics Ltd</v>
      </c>
      <c r="D172" s="9" t="str">
        <v>Bangalore</v>
      </c>
      <c r="E172" s="9" t="str">
        <v>MCE &amp; NCS</v>
      </c>
      <c r="F172" s="9" t="str">
        <v>Prakas V</v>
      </c>
      <c r="G172" s="9">
        <v>9343174460</v>
      </c>
      <c r="H172" s="9" t="str">
        <v>prakashv@bel.co.in</v>
      </c>
      <c r="I172" s="9" t="str">
        <v>09007583/002</v>
      </c>
      <c r="J172" s="9" t="str">
        <v>Contract</v>
      </c>
      <c r="K172" s="9" t="str">
        <v>No</v>
      </c>
      <c r="L172" s="9" t="str">
        <v>KXIND/S/GA/MC/250017A</v>
      </c>
      <c r="M172" s="9">
        <v>45907</v>
      </c>
      <c r="N172" s="9">
        <v>65500</v>
      </c>
      <c r="O172" s="9" t="str">
        <v>September</v>
      </c>
      <c r="P172" s="9" t="str">
        <v>December</v>
      </c>
      <c r="Q172" s="9">
        <v>0.8</v>
      </c>
      <c r="R172" s="9">
        <v>0</v>
      </c>
      <c r="S172" s="9">
        <v>0</v>
      </c>
      <c r="T172" s="9">
        <v>0</v>
      </c>
      <c r="U172" s="9" t="str">
        <v>November</v>
      </c>
      <c r="V172" s="9">
        <v>65500</v>
      </c>
      <c r="W172" s="9">
        <v>0</v>
      </c>
      <c r="X172" s="9">
        <v>0</v>
      </c>
      <c r="Y172" s="9">
        <v>0</v>
      </c>
    </row>
    <row r="173" spans="1:25">
      <c r="A173" s="9">
        <v>0</v>
      </c>
      <c r="B173" s="9">
        <v>0</v>
      </c>
      <c r="C173" s="9" t="str">
        <v>Bharat Electronics Ltd</v>
      </c>
      <c r="D173" s="9" t="str">
        <v>Bangalore</v>
      </c>
      <c r="E173" s="9" t="str">
        <v>MCE &amp; NCS</v>
      </c>
      <c r="F173" s="9" t="str">
        <v>Prakas V</v>
      </c>
      <c r="G173" s="9">
        <v>9343174460</v>
      </c>
      <c r="H173" s="9" t="str">
        <v>prakashv@bel.co.in</v>
      </c>
      <c r="I173" s="9" t="str">
        <v>10009150/001</v>
      </c>
      <c r="J173" s="9" t="str">
        <v>Contract</v>
      </c>
      <c r="K173" s="9" t="str">
        <v>No</v>
      </c>
      <c r="L173" s="9" t="str">
        <v>KXIND/S/GA/MC/250017A</v>
      </c>
      <c r="M173" s="9">
        <v>45907</v>
      </c>
      <c r="N173" s="9">
        <v>65500</v>
      </c>
      <c r="O173" s="9" t="str">
        <v>September</v>
      </c>
      <c r="P173" s="9" t="str">
        <v>December</v>
      </c>
      <c r="Q173" s="9">
        <v>0.8</v>
      </c>
      <c r="R173" s="9">
        <v>0</v>
      </c>
      <c r="S173" s="9">
        <v>0</v>
      </c>
      <c r="T173" s="9">
        <v>0</v>
      </c>
      <c r="U173" s="9" t="str">
        <v>November</v>
      </c>
      <c r="V173" s="9">
        <v>65500</v>
      </c>
      <c r="W173" s="9">
        <v>0</v>
      </c>
      <c r="X173" s="9">
        <v>0</v>
      </c>
      <c r="Y173" s="9">
        <v>0</v>
      </c>
    </row>
    <row r="174" spans="1:25">
      <c r="A174" s="9">
        <v>0</v>
      </c>
      <c r="B174" s="9">
        <v>0</v>
      </c>
      <c r="C174" s="9" t="str">
        <v>Bharat Electronics Ltd</v>
      </c>
      <c r="D174" s="9" t="str">
        <v>Bangalore</v>
      </c>
      <c r="E174" s="9" t="str">
        <v>MCE &amp; NCS</v>
      </c>
      <c r="F174" s="9" t="str">
        <v>Prakas V</v>
      </c>
      <c r="G174" s="9">
        <v>9343174460</v>
      </c>
      <c r="H174" s="9" t="str">
        <v>prakashv@bel.co.in</v>
      </c>
      <c r="I174" s="9" t="str">
        <v>10009149/001</v>
      </c>
      <c r="J174" s="9" t="str">
        <v>Contract</v>
      </c>
      <c r="K174" s="9" t="str">
        <v>No</v>
      </c>
      <c r="L174" s="9" t="str">
        <v>KXIND/S/GA/MC/250017A</v>
      </c>
      <c r="M174" s="9">
        <v>45907</v>
      </c>
      <c r="N174" s="9">
        <v>65500</v>
      </c>
      <c r="O174" s="9" t="str">
        <v>September</v>
      </c>
      <c r="P174" s="9" t="str">
        <v>December</v>
      </c>
      <c r="Q174" s="9">
        <v>0.8</v>
      </c>
      <c r="R174" s="9">
        <v>0</v>
      </c>
      <c r="S174" s="9">
        <v>0</v>
      </c>
      <c r="T174" s="9">
        <v>0</v>
      </c>
      <c r="U174" s="9" t="str">
        <v>November</v>
      </c>
      <c r="V174" s="9">
        <v>65500</v>
      </c>
      <c r="W174" s="9">
        <v>0</v>
      </c>
      <c r="X174" s="9">
        <v>0</v>
      </c>
      <c r="Y174" s="9">
        <v>0</v>
      </c>
    </row>
    <row r="175" spans="1:25">
      <c r="A175" s="9">
        <v>0</v>
      </c>
      <c r="B175" s="9">
        <v>0</v>
      </c>
      <c r="C175" s="9" t="str">
        <v>Bharat Electronics Ltd</v>
      </c>
      <c r="D175" s="9" t="str">
        <v>Bangalore</v>
      </c>
      <c r="E175" s="9" t="str">
        <v>MCE &amp; NCS</v>
      </c>
      <c r="F175" s="9" t="str">
        <v>Prakas V</v>
      </c>
      <c r="G175" s="9">
        <v>9343174460</v>
      </c>
      <c r="H175" s="9" t="str">
        <v>prakashv@bel.co.in</v>
      </c>
      <c r="I175" s="9" t="str">
        <v>08001086/001</v>
      </c>
      <c r="J175" s="9" t="str">
        <v>Contract</v>
      </c>
      <c r="K175" s="9" t="str">
        <v>No</v>
      </c>
      <c r="L175" s="9" t="str">
        <v>KXIND/S/GA/MC/250017A</v>
      </c>
      <c r="M175" s="9">
        <v>45907</v>
      </c>
      <c r="N175" s="9">
        <v>65500</v>
      </c>
      <c r="O175" s="9" t="str">
        <v>September</v>
      </c>
      <c r="P175" s="9" t="str">
        <v>December</v>
      </c>
      <c r="Q175" s="9">
        <v>0.8</v>
      </c>
      <c r="R175" s="9">
        <v>0</v>
      </c>
      <c r="S175" s="9">
        <v>0</v>
      </c>
      <c r="T175" s="9">
        <v>0</v>
      </c>
      <c r="U175" s="9" t="str">
        <v>November</v>
      </c>
      <c r="V175" s="9">
        <v>65500</v>
      </c>
      <c r="W175" s="9">
        <v>0</v>
      </c>
      <c r="X175" s="9">
        <v>0</v>
      </c>
      <c r="Y175" s="9">
        <v>0</v>
      </c>
    </row>
    <row r="176" spans="1:25">
      <c r="A176" s="9">
        <v>0</v>
      </c>
      <c r="B176" s="9">
        <v>0</v>
      </c>
      <c r="C176" s="9" t="str">
        <v>Bharat Electronics Ltd</v>
      </c>
      <c r="D176" s="9" t="str">
        <v>Bangalore</v>
      </c>
      <c r="E176" s="9" t="str">
        <v>MCE &amp; NCS</v>
      </c>
      <c r="F176" s="9" t="str">
        <v>Prakas V</v>
      </c>
      <c r="G176" s="9">
        <v>9343174460</v>
      </c>
      <c r="H176" s="9" t="str">
        <v>prakashv@bel.co.in</v>
      </c>
      <c r="I176" s="9" t="str">
        <v>08001086/002</v>
      </c>
      <c r="J176" s="9" t="str">
        <v>Contract</v>
      </c>
      <c r="K176" s="9" t="str">
        <v>No</v>
      </c>
      <c r="L176" s="9" t="str">
        <v>KXIND/S/GA/MC/250017A</v>
      </c>
      <c r="M176" s="9">
        <v>45907</v>
      </c>
      <c r="N176" s="9">
        <v>65500</v>
      </c>
      <c r="O176" s="9" t="str">
        <v>September</v>
      </c>
      <c r="P176" s="9" t="str">
        <v>December</v>
      </c>
      <c r="Q176" s="9">
        <v>0.8</v>
      </c>
      <c r="R176" s="9">
        <v>0</v>
      </c>
      <c r="S176" s="9">
        <v>0</v>
      </c>
      <c r="T176" s="9">
        <v>0</v>
      </c>
      <c r="U176" s="9" t="str">
        <v>November</v>
      </c>
      <c r="V176" s="9">
        <v>65500</v>
      </c>
      <c r="W176" s="9">
        <v>0</v>
      </c>
      <c r="X176" s="9">
        <v>0</v>
      </c>
      <c r="Y176" s="9">
        <v>0</v>
      </c>
    </row>
    <row r="177" spans="1:25">
      <c r="A177" s="9">
        <v>0</v>
      </c>
      <c r="B177" s="9">
        <v>0</v>
      </c>
      <c r="C177" s="9" t="str">
        <v>Bharat Electronics Ltd</v>
      </c>
      <c r="D177" s="9" t="str">
        <v>Bangalore</v>
      </c>
      <c r="E177" s="9" t="str">
        <v>MCE &amp; NCS</v>
      </c>
      <c r="F177" s="9" t="str">
        <v>Prakas V</v>
      </c>
      <c r="G177" s="9">
        <v>9343174460</v>
      </c>
      <c r="H177" s="9" t="str">
        <v>prakashv@bel.co.in</v>
      </c>
      <c r="I177" s="9" t="str">
        <v>09005253/001</v>
      </c>
      <c r="J177" s="9" t="str">
        <v>Contract</v>
      </c>
      <c r="K177" s="9" t="str">
        <v>No</v>
      </c>
      <c r="L177" s="9" t="str">
        <v>KXIND/S/GA/MC/250017A</v>
      </c>
      <c r="M177" s="9">
        <v>45907</v>
      </c>
      <c r="N177" s="9">
        <v>65500</v>
      </c>
      <c r="O177" s="9" t="str">
        <v>September</v>
      </c>
      <c r="P177" s="9" t="str">
        <v>December</v>
      </c>
      <c r="Q177" s="9">
        <v>0.8</v>
      </c>
      <c r="R177" s="9">
        <v>0</v>
      </c>
      <c r="S177" s="9">
        <v>0</v>
      </c>
      <c r="T177" s="9">
        <v>0</v>
      </c>
      <c r="U177" s="9" t="str">
        <v>November</v>
      </c>
      <c r="V177" s="9">
        <v>65500</v>
      </c>
      <c r="W177" s="9">
        <v>0</v>
      </c>
      <c r="X177" s="9">
        <v>0</v>
      </c>
      <c r="Y177" s="9">
        <v>0</v>
      </c>
    </row>
    <row r="178" spans="1:25">
      <c r="A178" s="9">
        <v>0</v>
      </c>
      <c r="B178" s="9">
        <v>0</v>
      </c>
      <c r="C178" s="9" t="str">
        <v>Bharat Electronics Ltd</v>
      </c>
      <c r="D178" s="9" t="str">
        <v>Bangalore</v>
      </c>
      <c r="E178" s="9" t="str">
        <v>MCE &amp; NCS</v>
      </c>
      <c r="F178" s="9" t="str">
        <v>Prakas V</v>
      </c>
      <c r="G178" s="9">
        <v>9343174460</v>
      </c>
      <c r="H178" s="9" t="str">
        <v>prakashv@bel.co.in</v>
      </c>
      <c r="I178" s="9" t="str">
        <v>10002334/001</v>
      </c>
      <c r="J178" s="9" t="str">
        <v>Contract</v>
      </c>
      <c r="K178" s="9" t="str">
        <v>No</v>
      </c>
      <c r="L178" s="9" t="str">
        <v>KXIND/S/GA/MC/250017A</v>
      </c>
      <c r="M178" s="9">
        <v>45907</v>
      </c>
      <c r="N178" s="9">
        <v>65500</v>
      </c>
      <c r="O178" s="9" t="str">
        <v>September</v>
      </c>
      <c r="P178" s="9" t="str">
        <v>December</v>
      </c>
      <c r="Q178" s="9">
        <v>0.8</v>
      </c>
      <c r="R178" s="9">
        <v>0</v>
      </c>
      <c r="S178" s="9">
        <v>0</v>
      </c>
      <c r="T178" s="9">
        <v>0</v>
      </c>
      <c r="U178" s="9" t="str">
        <v>November</v>
      </c>
      <c r="V178" s="9">
        <v>65500</v>
      </c>
      <c r="W178" s="9">
        <v>0</v>
      </c>
      <c r="X178" s="9">
        <v>0</v>
      </c>
      <c r="Y178" s="9">
        <v>0</v>
      </c>
    </row>
    <row r="179" spans="1:25">
      <c r="A179" s="9">
        <v>0</v>
      </c>
      <c r="B179" s="9">
        <v>0</v>
      </c>
      <c r="C179" s="9" t="str">
        <v>AUTOMOTIVE AXEL PVT LTD</v>
      </c>
      <c r="D179" s="9" t="str">
        <v>MYSORE</v>
      </c>
      <c r="E179" s="9" t="str">
        <v>Maint</v>
      </c>
      <c r="F179" s="9" t="str">
        <v>Kiran Kumar</v>
      </c>
      <c r="G179" s="9" t="str">
        <v>99801 91140</v>
      </c>
      <c r="H179" s="9" t="str">
        <v>kirankumar@autoaxle.com</v>
      </c>
      <c r="I179" s="9" t="str">
        <v>06000270/002</v>
      </c>
      <c r="J179" s="9" t="str">
        <v>Contract</v>
      </c>
      <c r="K179" s="9" t="str">
        <v>No</v>
      </c>
      <c r="L179" s="9" t="str">
        <v>KXIND/S/GA/MC/24047</v>
      </c>
      <c r="M179" s="9" t="str">
        <v>26-12-2024</v>
      </c>
      <c r="N179" s="9">
        <v>66080</v>
      </c>
      <c r="O179" s="9" t="str">
        <v>January</v>
      </c>
      <c r="P179" s="9" t="str">
        <v>April</v>
      </c>
      <c r="Q179" s="9">
        <v>0.9</v>
      </c>
      <c r="R179" s="9">
        <v>3400014785</v>
      </c>
      <c r="S179" s="9" t="str">
        <v>19/03/2025</v>
      </c>
      <c r="T179" s="9">
        <v>66080</v>
      </c>
      <c r="U179" s="9" t="str">
        <v>April</v>
      </c>
      <c r="V179" s="9">
        <v>0</v>
      </c>
      <c r="W179" s="9" t="str">
        <v>December, bought forward back log from 2024</v>
      </c>
      <c r="X179" s="9">
        <v>0</v>
      </c>
      <c r="Y179" s="9">
        <v>0</v>
      </c>
    </row>
    <row r="180" spans="1:25">
      <c r="A180" s="9">
        <v>0</v>
      </c>
      <c r="B180" s="9">
        <v>0</v>
      </c>
      <c r="C180" s="9" t="str">
        <v>AUTOMOTIVE AXEL PVT LTD</v>
      </c>
      <c r="D180" s="9" t="str">
        <v>MYSORE</v>
      </c>
      <c r="E180" s="9" t="str">
        <v>Maint</v>
      </c>
      <c r="F180" s="9" t="str">
        <v>Kiran Kumar</v>
      </c>
      <c r="G180" s="9" t="str">
        <v>99801 91140</v>
      </c>
      <c r="H180" s="9" t="str">
        <v>kirankumar@autoaxle.com</v>
      </c>
      <c r="I180" s="9" t="str">
        <v>06000270/ 003</v>
      </c>
      <c r="J180" s="9" t="str">
        <v>Contract</v>
      </c>
      <c r="K180" s="9" t="str">
        <v>No</v>
      </c>
      <c r="L180" s="9" t="str">
        <v>KXIND/S/GA/MC/24047</v>
      </c>
      <c r="M180" s="9" t="str">
        <v>26-12-2024</v>
      </c>
      <c r="N180" s="9">
        <v>66080</v>
      </c>
      <c r="O180" s="9" t="str">
        <v>January</v>
      </c>
      <c r="P180" s="9" t="str">
        <v>April</v>
      </c>
      <c r="Q180" s="9">
        <v>0.9</v>
      </c>
      <c r="R180" s="9">
        <v>3400014785</v>
      </c>
      <c r="S180" s="9" t="str">
        <v>19/03/2025</v>
      </c>
      <c r="T180" s="9">
        <v>66080</v>
      </c>
      <c r="U180" s="9" t="str">
        <v>April</v>
      </c>
      <c r="V180" s="9">
        <v>0</v>
      </c>
      <c r="W180" s="9" t="str">
        <v>December, bought forward back log from 2024</v>
      </c>
      <c r="X180" s="9">
        <v>0</v>
      </c>
      <c r="Y180" s="9">
        <v>0</v>
      </c>
    </row>
    <row r="181" spans="1:25">
      <c r="A181" s="9">
        <v>0</v>
      </c>
      <c r="B181" s="9">
        <v>0</v>
      </c>
      <c r="C181" s="9" t="str">
        <v>AUTOMOTIVE AXEL PVT LTD</v>
      </c>
      <c r="D181" s="9" t="str">
        <v>MYSORE</v>
      </c>
      <c r="E181" s="9" t="str">
        <v>Maint</v>
      </c>
      <c r="F181" s="9" t="str">
        <v>Kiran Kumar</v>
      </c>
      <c r="G181" s="9" t="str">
        <v>99801 91140</v>
      </c>
      <c r="H181" s="9" t="str">
        <v>kirankumar@autoaxle.com</v>
      </c>
      <c r="I181" s="9" t="str">
        <v>06000270/ 004</v>
      </c>
      <c r="J181" s="9" t="str">
        <v>Contract</v>
      </c>
      <c r="K181" s="9" t="str">
        <v>No</v>
      </c>
      <c r="L181" s="9" t="str">
        <v>KXIND/S/GA/MC/24047</v>
      </c>
      <c r="M181" s="9" t="str">
        <v>26-12-2024</v>
      </c>
      <c r="N181" s="9">
        <v>66080</v>
      </c>
      <c r="O181" s="9" t="str">
        <v>January</v>
      </c>
      <c r="P181" s="9" t="str">
        <v>April</v>
      </c>
      <c r="Q181" s="9">
        <v>0.9</v>
      </c>
      <c r="R181" s="9">
        <v>3400014785</v>
      </c>
      <c r="S181" s="9" t="str">
        <v>19/03/2025</v>
      </c>
      <c r="T181" s="9">
        <v>66080</v>
      </c>
      <c r="U181" s="9" t="str">
        <v>April</v>
      </c>
      <c r="V181" s="9">
        <v>0</v>
      </c>
      <c r="W181" s="9" t="str">
        <v>December, bought forward back log from 2024</v>
      </c>
      <c r="X181" s="9">
        <v>0</v>
      </c>
      <c r="Y181" s="9">
        <v>0</v>
      </c>
    </row>
    <row r="182" spans="1:25">
      <c r="A182" s="9">
        <v>0</v>
      </c>
      <c r="B182" s="9">
        <v>0</v>
      </c>
      <c r="C182" s="9" t="str">
        <v>AUTOMOTIVE AXEL PVT LTD</v>
      </c>
      <c r="D182" s="9" t="str">
        <v>MYSORE</v>
      </c>
      <c r="E182" s="9" t="str">
        <v>Maint</v>
      </c>
      <c r="F182" s="9" t="str">
        <v>Kiran Kumar</v>
      </c>
      <c r="G182" s="9" t="str">
        <v>99801 91140</v>
      </c>
      <c r="H182" s="9" t="str">
        <v>kirankumar@autoaxle.com</v>
      </c>
      <c r="I182" s="9" t="str">
        <v>06000270/ 005</v>
      </c>
      <c r="J182" s="9" t="str">
        <v>Contract</v>
      </c>
      <c r="K182" s="9" t="str">
        <v>No</v>
      </c>
      <c r="L182" s="9" t="str">
        <v>KXIND/S/GA/MC/24047</v>
      </c>
      <c r="M182" s="9" t="str">
        <v>26-12-2024</v>
      </c>
      <c r="N182" s="9">
        <v>66080</v>
      </c>
      <c r="O182" s="9" t="str">
        <v>January</v>
      </c>
      <c r="P182" s="9" t="str">
        <v>April</v>
      </c>
      <c r="Q182" s="9">
        <v>0.9</v>
      </c>
      <c r="R182" s="9">
        <v>3400014785</v>
      </c>
      <c r="S182" s="9" t="str">
        <v>19/03/2025</v>
      </c>
      <c r="T182" s="9">
        <v>66080</v>
      </c>
      <c r="U182" s="9" t="str">
        <v>April</v>
      </c>
      <c r="V182" s="9">
        <v>0</v>
      </c>
      <c r="W182" s="9" t="str">
        <v>December, bought forward back log from 2024</v>
      </c>
      <c r="X182" s="9">
        <v>0</v>
      </c>
      <c r="Y182" s="9">
        <v>0</v>
      </c>
    </row>
    <row r="183" spans="1:25">
      <c r="A183" s="9">
        <v>0</v>
      </c>
      <c r="B183" s="9">
        <v>0</v>
      </c>
      <c r="C183" s="9" t="str">
        <v>AUTOMOTIVE AXEL PVT LTD</v>
      </c>
      <c r="D183" s="9" t="str">
        <v>MYSORE</v>
      </c>
      <c r="E183" s="9" t="str">
        <v>Maint</v>
      </c>
      <c r="F183" s="9" t="str">
        <v>Kiran Kumar</v>
      </c>
      <c r="G183" s="9" t="str">
        <v>99801 91140</v>
      </c>
      <c r="H183" s="9" t="str">
        <v>kirankumar@autoaxle.com</v>
      </c>
      <c r="I183" s="9" t="str">
        <v>06000270/ 006</v>
      </c>
      <c r="J183" s="9" t="str">
        <v>Contract</v>
      </c>
      <c r="K183" s="9" t="str">
        <v>No</v>
      </c>
      <c r="L183" s="9" t="str">
        <v>KXIND/S/GA/MC/24047</v>
      </c>
      <c r="M183" s="9" t="str">
        <v>26-12-2024</v>
      </c>
      <c r="N183" s="9">
        <v>66080</v>
      </c>
      <c r="O183" s="9" t="str">
        <v>January</v>
      </c>
      <c r="P183" s="9" t="str">
        <v>April</v>
      </c>
      <c r="Q183" s="9">
        <v>0.9</v>
      </c>
      <c r="R183" s="9">
        <v>3400014785</v>
      </c>
      <c r="S183" s="9" t="str">
        <v>19/03/2025</v>
      </c>
      <c r="T183" s="9">
        <v>66080</v>
      </c>
      <c r="U183" s="9" t="str">
        <v>April</v>
      </c>
      <c r="V183" s="9">
        <v>0</v>
      </c>
      <c r="W183" s="9" t="str">
        <v>December, bought forward back log from 2024</v>
      </c>
      <c r="X183" s="9">
        <v>0</v>
      </c>
      <c r="Y183" s="9">
        <v>0</v>
      </c>
    </row>
    <row r="184" spans="1:25">
      <c r="A184" s="9">
        <v>0</v>
      </c>
      <c r="B184" s="9">
        <v>0</v>
      </c>
      <c r="C184" s="9" t="str">
        <v>AUTOMOTIVE AXEL PVT LTD</v>
      </c>
      <c r="D184" s="9" t="str">
        <v>MYSORE</v>
      </c>
      <c r="E184" s="9" t="str">
        <v>Maint</v>
      </c>
      <c r="F184" s="9" t="str">
        <v>Kiran Kumar</v>
      </c>
      <c r="G184" s="9" t="str">
        <v>99801 91140</v>
      </c>
      <c r="H184" s="9" t="str">
        <v>kirankumar@autoaxle.com</v>
      </c>
      <c r="I184" s="9" t="str">
        <v>07007112/ 001</v>
      </c>
      <c r="J184" s="9" t="str">
        <v>Contract</v>
      </c>
      <c r="K184" s="9" t="str">
        <v>No</v>
      </c>
      <c r="L184" s="9" t="str">
        <v>KXIND/S/GA/MC/24047</v>
      </c>
      <c r="M184" s="9" t="str">
        <v>26-12-2024</v>
      </c>
      <c r="N184" s="9">
        <v>66080</v>
      </c>
      <c r="O184" s="9" t="str">
        <v>January</v>
      </c>
      <c r="P184" s="9" t="str">
        <v>April</v>
      </c>
      <c r="Q184" s="9">
        <v>0.9</v>
      </c>
      <c r="R184" s="9">
        <v>3400014785</v>
      </c>
      <c r="S184" s="9" t="str">
        <v>19/03/2025</v>
      </c>
      <c r="T184" s="9">
        <v>66080</v>
      </c>
      <c r="U184" s="9" t="str">
        <v>April</v>
      </c>
      <c r="V184" s="9">
        <v>0</v>
      </c>
      <c r="W184" s="9" t="str">
        <v>December, bought forward back log from 2024</v>
      </c>
      <c r="X184" s="9">
        <v>0</v>
      </c>
      <c r="Y184" s="9">
        <v>0</v>
      </c>
    </row>
    <row r="185" spans="1:25">
      <c r="A185" s="9">
        <v>0</v>
      </c>
      <c r="B185" s="9">
        <v>0</v>
      </c>
      <c r="C185" s="9" t="str">
        <v>AUTOMOTIVE AXEL PVT LTD</v>
      </c>
      <c r="D185" s="9" t="str">
        <v>MYSORE</v>
      </c>
      <c r="E185" s="9" t="str">
        <v>Maint</v>
      </c>
      <c r="F185" s="9" t="str">
        <v>Kiran Kumar</v>
      </c>
      <c r="G185" s="9" t="str">
        <v>99801 91140</v>
      </c>
      <c r="H185" s="9" t="str">
        <v>kirankumar@autoaxle.com</v>
      </c>
      <c r="I185" s="9" t="str">
        <v>07007112/ 002</v>
      </c>
      <c r="J185" s="9" t="str">
        <v>Contract</v>
      </c>
      <c r="K185" s="9" t="str">
        <v>No</v>
      </c>
      <c r="L185" s="9" t="str">
        <v>KXIND/S/GA/MC/24047</v>
      </c>
      <c r="M185" s="9" t="str">
        <v>26-12-2024</v>
      </c>
      <c r="N185" s="9">
        <v>66080</v>
      </c>
      <c r="O185" s="9" t="str">
        <v>January</v>
      </c>
      <c r="P185" s="9" t="str">
        <v>April</v>
      </c>
      <c r="Q185" s="9">
        <v>0.9</v>
      </c>
      <c r="R185" s="9">
        <v>3400014785</v>
      </c>
      <c r="S185" s="9" t="str">
        <v>19/03/2025</v>
      </c>
      <c r="T185" s="9">
        <v>66080</v>
      </c>
      <c r="U185" s="9" t="str">
        <v>April</v>
      </c>
      <c r="V185" s="9">
        <v>0</v>
      </c>
      <c r="W185" s="9" t="str">
        <v>December, bought forward back log from 2024</v>
      </c>
      <c r="X185" s="9">
        <v>0</v>
      </c>
      <c r="Y185" s="9">
        <v>0</v>
      </c>
    </row>
    <row r="186" spans="1:25">
      <c r="A186" s="9">
        <v>0</v>
      </c>
      <c r="B186" s="9">
        <v>0</v>
      </c>
      <c r="C186" s="9" t="str">
        <v>AUTOMOTIVE AXEL PVT LTD</v>
      </c>
      <c r="D186" s="9" t="str">
        <v>MYSORE</v>
      </c>
      <c r="E186" s="9" t="str">
        <v>Maint</v>
      </c>
      <c r="F186" s="9" t="str">
        <v>Kiran Kumar</v>
      </c>
      <c r="G186" s="9" t="str">
        <v>99801 91140</v>
      </c>
      <c r="H186" s="9" t="str">
        <v>kirankumar@autoaxle.com</v>
      </c>
      <c r="I186" s="9" t="str">
        <v>07007110/ 001</v>
      </c>
      <c r="J186" s="9" t="str">
        <v>Contract</v>
      </c>
      <c r="K186" s="9" t="str">
        <v>No</v>
      </c>
      <c r="L186" s="9" t="str">
        <v>KXIND/S/GA/MC/24047</v>
      </c>
      <c r="M186" s="9" t="str">
        <v>26-12-2024</v>
      </c>
      <c r="N186" s="9">
        <v>66080</v>
      </c>
      <c r="O186" s="9" t="str">
        <v>January</v>
      </c>
      <c r="P186" s="9" t="str">
        <v>April</v>
      </c>
      <c r="Q186" s="9">
        <v>0.9</v>
      </c>
      <c r="R186" s="9">
        <v>3400014785</v>
      </c>
      <c r="S186" s="9" t="str">
        <v>19/03/2025</v>
      </c>
      <c r="T186" s="9">
        <v>66080</v>
      </c>
      <c r="U186" s="9" t="str">
        <v>April</v>
      </c>
      <c r="V186" s="9">
        <v>0</v>
      </c>
      <c r="W186" s="9" t="str">
        <v>December, bought forward back log from 2024</v>
      </c>
      <c r="X186" s="9">
        <v>0</v>
      </c>
      <c r="Y186" s="9">
        <v>0</v>
      </c>
    </row>
    <row r="187" spans="1:25">
      <c r="A187" s="9">
        <v>0</v>
      </c>
      <c r="B187" s="9">
        <v>0</v>
      </c>
      <c r="C187" s="9" t="str">
        <v>AUTOMOTIVE AXEL PVT LTD</v>
      </c>
      <c r="D187" s="9" t="str">
        <v>MYSORE</v>
      </c>
      <c r="E187" s="9" t="str">
        <v>Maint</v>
      </c>
      <c r="F187" s="9" t="str">
        <v>Kiran Kumar</v>
      </c>
      <c r="G187" s="9" t="str">
        <v>99801 91140</v>
      </c>
      <c r="H187" s="9" t="str">
        <v>kirankumar@autoaxle.com</v>
      </c>
      <c r="I187" s="9" t="str">
        <v>07007110/ 002</v>
      </c>
      <c r="J187" s="9" t="str">
        <v>Contract</v>
      </c>
      <c r="K187" s="9" t="str">
        <v>No</v>
      </c>
      <c r="L187" s="9" t="str">
        <v>KXIND/S/GA/MC/24047</v>
      </c>
      <c r="M187" s="9" t="str">
        <v>26-12-2024</v>
      </c>
      <c r="N187" s="9">
        <v>66080</v>
      </c>
      <c r="O187" s="9" t="str">
        <v>January</v>
      </c>
      <c r="P187" s="9" t="str">
        <v>April</v>
      </c>
      <c r="Q187" s="9">
        <v>0.9</v>
      </c>
      <c r="R187" s="9">
        <v>3400014785</v>
      </c>
      <c r="S187" s="9" t="str">
        <v>19/03/2025</v>
      </c>
      <c r="T187" s="9">
        <v>66080</v>
      </c>
      <c r="U187" s="9" t="str">
        <v>April</v>
      </c>
      <c r="V187" s="9">
        <v>0</v>
      </c>
      <c r="W187" s="9" t="str">
        <v>December, bought forward back log from 2024</v>
      </c>
      <c r="X187" s="9">
        <v>0</v>
      </c>
      <c r="Y187" s="9">
        <v>0</v>
      </c>
    </row>
    <row r="188" spans="1:25">
      <c r="A188" s="9">
        <v>0</v>
      </c>
      <c r="B188" s="9">
        <v>0</v>
      </c>
      <c r="C188" s="9" t="str">
        <v xml:space="preserve">Hindustan Aeronautics LTD </v>
      </c>
      <c r="D188" s="9" t="str">
        <v>Bangalore</v>
      </c>
      <c r="E188" s="9" t="str">
        <v>AD</v>
      </c>
      <c r="F188" s="9" t="str">
        <v>Jeyaselvan</v>
      </c>
      <c r="G188" s="9">
        <v>9481273435</v>
      </c>
      <c r="H188" s="9" t="str">
        <v>purchase_ac@hal-india.co.in</v>
      </c>
      <c r="I188" s="9" t="str">
        <v>10000546/001</v>
      </c>
      <c r="J188" s="9" t="str">
        <v>Contract</v>
      </c>
      <c r="K188" s="9" t="str">
        <v>No</v>
      </c>
      <c r="L188" s="9" t="str">
        <v>Online submission</v>
      </c>
      <c r="M188" s="9">
        <v>45629</v>
      </c>
      <c r="N188" s="9">
        <v>68898</v>
      </c>
      <c r="O188" s="9" t="str">
        <v>January</v>
      </c>
      <c r="P188" s="9" t="str">
        <v>July</v>
      </c>
      <c r="Q188" s="9">
        <v>1</v>
      </c>
      <c r="R188" s="9" t="str">
        <v>MI044-313</v>
      </c>
      <c r="S188" s="9" t="str">
        <v>24/06/2024</v>
      </c>
      <c r="T188" s="9">
        <v>68898</v>
      </c>
      <c r="U188" s="9" t="str">
        <v>June</v>
      </c>
      <c r="V188" s="9">
        <v>0</v>
      </c>
      <c r="W188" s="9">
        <v>0</v>
      </c>
      <c r="X188" s="9">
        <v>0</v>
      </c>
      <c r="Y188" s="9">
        <v>0</v>
      </c>
    </row>
    <row r="189" spans="1:25">
      <c r="A189" s="9">
        <v>0</v>
      </c>
      <c r="B189" s="9">
        <v>0</v>
      </c>
      <c r="C189" s="9" t="str">
        <v xml:space="preserve">Hindustan Aeronautics LTD </v>
      </c>
      <c r="D189" s="9" t="str">
        <v>Bangalore</v>
      </c>
      <c r="E189" s="9" t="str">
        <v>AD</v>
      </c>
      <c r="F189" s="9" t="str">
        <v>Jeyaselvan</v>
      </c>
      <c r="G189" s="9">
        <v>9481273435</v>
      </c>
      <c r="H189" s="9" t="str">
        <v>purchase_ac@hal-india.co.in</v>
      </c>
      <c r="I189" s="9" t="str">
        <v>10000547/001</v>
      </c>
      <c r="J189" s="9" t="str">
        <v>Contract</v>
      </c>
      <c r="K189" s="9" t="str">
        <v>No</v>
      </c>
      <c r="L189" s="9" t="str">
        <v>Online submission</v>
      </c>
      <c r="M189" s="9">
        <v>45629</v>
      </c>
      <c r="N189" s="9">
        <v>68898</v>
      </c>
      <c r="O189" s="9" t="str">
        <v>January</v>
      </c>
      <c r="P189" s="9" t="str">
        <v>July</v>
      </c>
      <c r="Q189" s="9">
        <v>1</v>
      </c>
      <c r="R189" s="9" t="str">
        <v>MI044-313</v>
      </c>
      <c r="S189" s="9" t="str">
        <v>24/06/2024</v>
      </c>
      <c r="T189" s="9">
        <v>68898</v>
      </c>
      <c r="U189" s="9" t="str">
        <v>June</v>
      </c>
      <c r="V189" s="9">
        <v>0</v>
      </c>
      <c r="W189" s="9">
        <v>0</v>
      </c>
      <c r="X189" s="9">
        <v>0</v>
      </c>
      <c r="Y189" s="9">
        <v>0</v>
      </c>
    </row>
    <row r="190" spans="1:25">
      <c r="A190" s="9">
        <v>0</v>
      </c>
      <c r="B190" s="9">
        <v>0</v>
      </c>
      <c r="C190" s="9" t="str">
        <v xml:space="preserve">Hindustan Aeronautics LTD </v>
      </c>
      <c r="D190" s="9" t="str">
        <v>Bangalore</v>
      </c>
      <c r="E190" s="9" t="str">
        <v>AD</v>
      </c>
      <c r="F190" s="9" t="str">
        <v>Jeyaselvan</v>
      </c>
      <c r="G190" s="9">
        <v>9481273435</v>
      </c>
      <c r="H190" s="9" t="str">
        <v>purchase_ac@hal-india.co.in</v>
      </c>
      <c r="I190" s="9" t="str">
        <v>10000550/001</v>
      </c>
      <c r="J190" s="9" t="str">
        <v>Contract</v>
      </c>
      <c r="K190" s="9" t="str">
        <v>No</v>
      </c>
      <c r="L190" s="9" t="str">
        <v>Online submission</v>
      </c>
      <c r="M190" s="9">
        <v>45629</v>
      </c>
      <c r="N190" s="9">
        <v>68898</v>
      </c>
      <c r="O190" s="9" t="str">
        <v>January</v>
      </c>
      <c r="P190" s="9" t="str">
        <v>July</v>
      </c>
      <c r="Q190" s="9">
        <v>1</v>
      </c>
      <c r="R190" s="9" t="str">
        <v>MI044-313</v>
      </c>
      <c r="S190" s="9" t="str">
        <v>24/06/2024</v>
      </c>
      <c r="T190" s="9">
        <v>68898</v>
      </c>
      <c r="U190" s="9" t="str">
        <v>June</v>
      </c>
      <c r="V190" s="9">
        <v>0</v>
      </c>
      <c r="W190" s="9">
        <v>0</v>
      </c>
      <c r="X190" s="9">
        <v>0</v>
      </c>
      <c r="Y190" s="9">
        <v>0</v>
      </c>
    </row>
    <row r="191" spans="1:25">
      <c r="A191" s="9">
        <v>0</v>
      </c>
      <c r="B191" s="9">
        <v>0</v>
      </c>
      <c r="C191" s="9" t="str">
        <v xml:space="preserve">Hindustan Aeronautics LTD </v>
      </c>
      <c r="D191" s="9" t="str">
        <v>Bangalore</v>
      </c>
      <c r="E191" s="9" t="str">
        <v>AD</v>
      </c>
      <c r="F191" s="9" t="str">
        <v>Jeyaselvan</v>
      </c>
      <c r="G191" s="9">
        <v>9481273435</v>
      </c>
      <c r="H191" s="9" t="str">
        <v>purchase_ac@hal-india.co.in</v>
      </c>
      <c r="I191" s="9" t="str">
        <v>11003767/001</v>
      </c>
      <c r="J191" s="9" t="str">
        <v>Contract</v>
      </c>
      <c r="K191" s="9" t="str">
        <v>No</v>
      </c>
      <c r="L191" s="9" t="str">
        <v>Online submission</v>
      </c>
      <c r="M191" s="9">
        <v>45629</v>
      </c>
      <c r="N191" s="9">
        <v>68898</v>
      </c>
      <c r="O191" s="9" t="str">
        <v>January</v>
      </c>
      <c r="P191" s="9" t="str">
        <v>July</v>
      </c>
      <c r="Q191" s="9">
        <v>1</v>
      </c>
      <c r="R191" s="9" t="str">
        <v>MI044-313</v>
      </c>
      <c r="S191" s="9" t="str">
        <v>24/06/2024</v>
      </c>
      <c r="T191" s="9">
        <v>68898</v>
      </c>
      <c r="U191" s="9" t="str">
        <v>June</v>
      </c>
      <c r="V191" s="9">
        <v>0</v>
      </c>
      <c r="W191" s="9">
        <v>0</v>
      </c>
      <c r="X191" s="9">
        <v>0</v>
      </c>
      <c r="Y191" s="9">
        <v>0</v>
      </c>
    </row>
    <row r="192" spans="1:25">
      <c r="A192" s="9">
        <v>0</v>
      </c>
      <c r="B192" s="9">
        <v>0</v>
      </c>
      <c r="C192" s="9" t="str">
        <v xml:space="preserve">Hindustan Aeronautics LTD </v>
      </c>
      <c r="D192" s="9" t="str">
        <v>Bangalore</v>
      </c>
      <c r="E192" s="9" t="str">
        <v>AD</v>
      </c>
      <c r="F192" s="9" t="str">
        <v>Jeyaselvan</v>
      </c>
      <c r="G192" s="9">
        <v>9481273435</v>
      </c>
      <c r="H192" s="9" t="str">
        <v>purchase_ac@hal-india.co.in</v>
      </c>
      <c r="I192" s="9" t="str">
        <v>11003758/001</v>
      </c>
      <c r="J192" s="9" t="str">
        <v>Contract</v>
      </c>
      <c r="K192" s="9" t="str">
        <v>No</v>
      </c>
      <c r="L192" s="9" t="str">
        <v>Online submission</v>
      </c>
      <c r="M192" s="9">
        <v>45629</v>
      </c>
      <c r="N192" s="9">
        <v>68898</v>
      </c>
      <c r="O192" s="9" t="str">
        <v>January</v>
      </c>
      <c r="P192" s="9" t="str">
        <v>July</v>
      </c>
      <c r="Q192" s="9">
        <v>1</v>
      </c>
      <c r="R192" s="9" t="str">
        <v>MI044-313</v>
      </c>
      <c r="S192" s="9" t="str">
        <v>24/06/2024</v>
      </c>
      <c r="T192" s="9">
        <v>68898</v>
      </c>
      <c r="U192" s="9" t="str">
        <v>June</v>
      </c>
      <c r="V192" s="9">
        <v>0</v>
      </c>
      <c r="W192" s="9">
        <v>0</v>
      </c>
      <c r="X192" s="9">
        <v>0</v>
      </c>
      <c r="Y192" s="9">
        <v>0</v>
      </c>
    </row>
    <row r="193" spans="1:25">
      <c r="A193" s="9">
        <v>0</v>
      </c>
      <c r="B193" s="9">
        <v>0</v>
      </c>
      <c r="C193" s="9" t="str">
        <v xml:space="preserve">Hindustan Aeronautics LTD </v>
      </c>
      <c r="D193" s="9" t="str">
        <v>Bangalore</v>
      </c>
      <c r="E193" s="9" t="str">
        <v>AD</v>
      </c>
      <c r="F193" s="9" t="str">
        <v>Jeyaselvan</v>
      </c>
      <c r="G193" s="9">
        <v>9481273435</v>
      </c>
      <c r="H193" s="9" t="str">
        <v>purchase_ac@hal-india.co.in</v>
      </c>
      <c r="I193" s="9" t="str">
        <v>11003766/001</v>
      </c>
      <c r="J193" s="9" t="str">
        <v>Contract</v>
      </c>
      <c r="K193" s="9" t="str">
        <v>No</v>
      </c>
      <c r="L193" s="9" t="str">
        <v>Online submission</v>
      </c>
      <c r="M193" s="9">
        <v>45629</v>
      </c>
      <c r="N193" s="9">
        <v>68898</v>
      </c>
      <c r="O193" s="9" t="str">
        <v>January</v>
      </c>
      <c r="P193" s="9" t="str">
        <v>July</v>
      </c>
      <c r="Q193" s="9">
        <v>1</v>
      </c>
      <c r="R193" s="9" t="str">
        <v>MI044-313</v>
      </c>
      <c r="S193" s="9" t="str">
        <v>24/06/2024</v>
      </c>
      <c r="T193" s="9">
        <v>68898</v>
      </c>
      <c r="U193" s="9" t="str">
        <v>June</v>
      </c>
      <c r="V193" s="9">
        <v>0</v>
      </c>
      <c r="W193" s="9">
        <v>0</v>
      </c>
      <c r="X193" s="9">
        <v>0</v>
      </c>
      <c r="Y193" s="9">
        <v>0</v>
      </c>
    </row>
    <row r="194" spans="1:25">
      <c r="A194" s="9">
        <v>0</v>
      </c>
      <c r="B194" s="9">
        <v>0</v>
      </c>
      <c r="C194" s="9" t="str">
        <v xml:space="preserve">Hindustan Aeronautics LTD </v>
      </c>
      <c r="D194" s="9" t="str">
        <v>Bangalore</v>
      </c>
      <c r="E194" s="9" t="str">
        <v>AD</v>
      </c>
      <c r="F194" s="9" t="str">
        <v>Jeyaselvan</v>
      </c>
      <c r="G194" s="9">
        <v>9481273435</v>
      </c>
      <c r="H194" s="9" t="str">
        <v>purchase_ac@hal-india.co.in</v>
      </c>
      <c r="I194" s="9" t="str">
        <v>13000980/001</v>
      </c>
      <c r="J194" s="9" t="str">
        <v>Contract</v>
      </c>
      <c r="K194" s="9" t="str">
        <v>No</v>
      </c>
      <c r="L194" s="9" t="str">
        <v>Online submission</v>
      </c>
      <c r="M194" s="9">
        <v>45629</v>
      </c>
      <c r="N194" s="9">
        <v>68898</v>
      </c>
      <c r="O194" s="9" t="str">
        <v>January</v>
      </c>
      <c r="P194" s="9" t="str">
        <v>July</v>
      </c>
      <c r="Q194" s="9">
        <v>1</v>
      </c>
      <c r="R194" s="9" t="str">
        <v>MI044-313</v>
      </c>
      <c r="S194" s="9" t="str">
        <v>24/06/2024</v>
      </c>
      <c r="T194" s="9">
        <v>68898</v>
      </c>
      <c r="U194" s="9" t="str">
        <v>June</v>
      </c>
      <c r="V194" s="9">
        <v>0</v>
      </c>
      <c r="W194" s="9">
        <v>0</v>
      </c>
      <c r="X194" s="9">
        <v>0</v>
      </c>
      <c r="Y194" s="9">
        <v>0</v>
      </c>
    </row>
    <row r="195" spans="1:25">
      <c r="A195" s="9">
        <v>0</v>
      </c>
      <c r="B195" s="9">
        <v>0</v>
      </c>
      <c r="C195" s="9" t="str">
        <v xml:space="preserve">Hindustan Aeronautics LTD </v>
      </c>
      <c r="D195" s="9" t="str">
        <v>Bangalore</v>
      </c>
      <c r="E195" s="9" t="str">
        <v>AD</v>
      </c>
      <c r="F195" s="9" t="str">
        <v>Jeyaselvan</v>
      </c>
      <c r="G195" s="9">
        <v>9481273435</v>
      </c>
      <c r="H195" s="9" t="str">
        <v>purchase_ac@hal-india.co.in</v>
      </c>
      <c r="I195" s="9" t="str">
        <v>13000984/001</v>
      </c>
      <c r="J195" s="9" t="str">
        <v>Contract</v>
      </c>
      <c r="K195" s="9" t="str">
        <v>No</v>
      </c>
      <c r="L195" s="9" t="str">
        <v>Online submission</v>
      </c>
      <c r="M195" s="9">
        <v>45629</v>
      </c>
      <c r="N195" s="9">
        <v>68898</v>
      </c>
      <c r="O195" s="9" t="str">
        <v>January</v>
      </c>
      <c r="P195" s="9" t="str">
        <v>July</v>
      </c>
      <c r="Q195" s="9">
        <v>1</v>
      </c>
      <c r="R195" s="9" t="str">
        <v>MI044-313</v>
      </c>
      <c r="S195" s="9" t="str">
        <v>24/06/2024</v>
      </c>
      <c r="T195" s="9">
        <v>68898</v>
      </c>
      <c r="U195" s="9" t="str">
        <v>June</v>
      </c>
      <c r="V195" s="9">
        <v>0</v>
      </c>
      <c r="W195" s="9">
        <v>0</v>
      </c>
      <c r="X195" s="9">
        <v>0</v>
      </c>
      <c r="Y195" s="9">
        <v>0</v>
      </c>
    </row>
    <row r="196" spans="1:25">
      <c r="A196" s="9">
        <v>0</v>
      </c>
      <c r="B196" s="9">
        <v>0</v>
      </c>
      <c r="C196" s="9" t="str">
        <v xml:space="preserve">Hindustan Aeronautics LTD </v>
      </c>
      <c r="D196" s="9" t="str">
        <v>Bangalore</v>
      </c>
      <c r="E196" s="9" t="str">
        <v>AD</v>
      </c>
      <c r="F196" s="9" t="str">
        <v>Jeyaselvan</v>
      </c>
      <c r="G196" s="9">
        <v>9481273435</v>
      </c>
      <c r="H196" s="9" t="str">
        <v>purchase_ac@hal-india.co.in</v>
      </c>
      <c r="I196" s="9" t="str">
        <v>13002567/001</v>
      </c>
      <c r="J196" s="9" t="str">
        <v>Contract</v>
      </c>
      <c r="K196" s="9" t="str">
        <v>No</v>
      </c>
      <c r="L196" s="9" t="str">
        <v>Online submission</v>
      </c>
      <c r="M196" s="9">
        <v>45629</v>
      </c>
      <c r="N196" s="9">
        <v>68898</v>
      </c>
      <c r="O196" s="9" t="str">
        <v>January</v>
      </c>
      <c r="P196" s="9" t="str">
        <v>July</v>
      </c>
      <c r="Q196" s="9">
        <v>1</v>
      </c>
      <c r="R196" s="9" t="str">
        <v>MI044-313</v>
      </c>
      <c r="S196" s="9" t="str">
        <v>24/06/2024</v>
      </c>
      <c r="T196" s="9">
        <v>68898</v>
      </c>
      <c r="U196" s="9" t="str">
        <v>June</v>
      </c>
      <c r="V196" s="9">
        <v>0</v>
      </c>
      <c r="W196" s="9">
        <v>0</v>
      </c>
      <c r="X196" s="9">
        <v>0</v>
      </c>
      <c r="Y196" s="9">
        <v>0</v>
      </c>
    </row>
    <row r="197" spans="1:25">
      <c r="A197" s="9">
        <v>0</v>
      </c>
      <c r="B197" s="9">
        <v>0</v>
      </c>
      <c r="C197" s="9" t="str">
        <v xml:space="preserve">Hindustan Aeronautics LTD </v>
      </c>
      <c r="D197" s="9" t="str">
        <v>Bangalore</v>
      </c>
      <c r="E197" s="9" t="str">
        <v>AD</v>
      </c>
      <c r="F197" s="9" t="str">
        <v>Jeyaselvan</v>
      </c>
      <c r="G197" s="9">
        <v>9481273435</v>
      </c>
      <c r="H197" s="9" t="str">
        <v>purchase_ac@hal-india.co.in</v>
      </c>
      <c r="I197" s="9" t="str">
        <v>14003243/001</v>
      </c>
      <c r="J197" s="9" t="str">
        <v>Contract</v>
      </c>
      <c r="K197" s="9" t="str">
        <v>No</v>
      </c>
      <c r="L197" s="9" t="str">
        <v>Online submission</v>
      </c>
      <c r="M197" s="9">
        <v>45629</v>
      </c>
      <c r="N197" s="9">
        <v>68898</v>
      </c>
      <c r="O197" s="9" t="str">
        <v>January</v>
      </c>
      <c r="P197" s="9" t="str">
        <v>July</v>
      </c>
      <c r="Q197" s="9">
        <v>1</v>
      </c>
      <c r="R197" s="9" t="str">
        <v>MI044-313</v>
      </c>
      <c r="S197" s="9" t="str">
        <v>24/06/2024</v>
      </c>
      <c r="T197" s="9">
        <v>68898</v>
      </c>
      <c r="U197" s="9" t="str">
        <v>June</v>
      </c>
      <c r="V197" s="9">
        <v>0</v>
      </c>
      <c r="W197" s="9">
        <v>0</v>
      </c>
      <c r="X197" s="9">
        <v>0</v>
      </c>
      <c r="Y197" s="9">
        <v>0</v>
      </c>
    </row>
    <row r="198" spans="1:25">
      <c r="A198" s="9">
        <v>0</v>
      </c>
      <c r="B198" s="9">
        <v>0</v>
      </c>
      <c r="C198" s="9" t="str">
        <v xml:space="preserve">Hindustan Aeronautics LTD </v>
      </c>
      <c r="D198" s="9" t="str">
        <v>Bangalore</v>
      </c>
      <c r="E198" s="9" t="str">
        <v>AD</v>
      </c>
      <c r="F198" s="9" t="str">
        <v>Jeyaselvan</v>
      </c>
      <c r="G198" s="9">
        <v>9481273435</v>
      </c>
      <c r="H198" s="9" t="str">
        <v>purchase_ac@hal-india.co.in</v>
      </c>
      <c r="I198" s="9" t="str">
        <v>14003304/001</v>
      </c>
      <c r="J198" s="9" t="str">
        <v>Contract</v>
      </c>
      <c r="K198" s="9" t="str">
        <v>No</v>
      </c>
      <c r="L198" s="9" t="str">
        <v>Online submission</v>
      </c>
      <c r="M198" s="9">
        <v>45629</v>
      </c>
      <c r="N198" s="9">
        <v>68898</v>
      </c>
      <c r="O198" s="9" t="str">
        <v>January</v>
      </c>
      <c r="P198" s="9" t="str">
        <v>July</v>
      </c>
      <c r="Q198" s="9">
        <v>1</v>
      </c>
      <c r="R198" s="9" t="str">
        <v>MI044-313</v>
      </c>
      <c r="S198" s="9" t="str">
        <v>24/06/2024</v>
      </c>
      <c r="T198" s="9">
        <v>68898</v>
      </c>
      <c r="U198" s="9" t="str">
        <v>June</v>
      </c>
      <c r="V198" s="9">
        <v>0</v>
      </c>
      <c r="W198" s="9">
        <v>0</v>
      </c>
      <c r="X198" s="9">
        <v>0</v>
      </c>
      <c r="Y198" s="9">
        <v>0</v>
      </c>
    </row>
    <row r="199" spans="1:25">
      <c r="A199" s="9">
        <v>0</v>
      </c>
      <c r="B199" s="9">
        <v>0</v>
      </c>
      <c r="C199" s="9" t="str">
        <v xml:space="preserve">Hindustan Aeronautics LTD </v>
      </c>
      <c r="D199" s="9" t="str">
        <v>Bangalore</v>
      </c>
      <c r="E199" s="9" t="str">
        <v>AD</v>
      </c>
      <c r="F199" s="9" t="str">
        <v>Jeyaselvan</v>
      </c>
      <c r="G199" s="9">
        <v>9481273435</v>
      </c>
      <c r="H199" s="9" t="str">
        <v>purchase_ac@hal-india.co.in</v>
      </c>
      <c r="I199" s="9" t="str">
        <v>14003334/001</v>
      </c>
      <c r="J199" s="9" t="str">
        <v>Contract</v>
      </c>
      <c r="K199" s="9" t="str">
        <v>No</v>
      </c>
      <c r="L199" s="9" t="str">
        <v>Online submission</v>
      </c>
      <c r="M199" s="9">
        <v>45629</v>
      </c>
      <c r="N199" s="9">
        <v>68898</v>
      </c>
      <c r="O199" s="9" t="str">
        <v>January</v>
      </c>
      <c r="P199" s="9" t="str">
        <v>July</v>
      </c>
      <c r="Q199" s="9">
        <v>1</v>
      </c>
      <c r="R199" s="9" t="str">
        <v>MI044-313</v>
      </c>
      <c r="S199" s="9" t="str">
        <v>24/06/2024</v>
      </c>
      <c r="T199" s="9">
        <v>68898</v>
      </c>
      <c r="U199" s="9" t="str">
        <v>June</v>
      </c>
      <c r="V199" s="9">
        <v>0</v>
      </c>
      <c r="W199" s="9">
        <v>0</v>
      </c>
      <c r="X199" s="9">
        <v>0</v>
      </c>
      <c r="Y199" s="9">
        <v>0</v>
      </c>
    </row>
    <row r="200" spans="1:25">
      <c r="A200" s="9">
        <v>0</v>
      </c>
      <c r="B200" s="9">
        <v>0</v>
      </c>
      <c r="C200" s="9" t="str">
        <v xml:space="preserve">Hindustan Aeronautics LTD </v>
      </c>
      <c r="D200" s="9" t="str">
        <v>Bangalore</v>
      </c>
      <c r="E200" s="9" t="str">
        <v>AD</v>
      </c>
      <c r="F200" s="9" t="str">
        <v>Jeyaselvan</v>
      </c>
      <c r="G200" s="9">
        <v>9481273435</v>
      </c>
      <c r="H200" s="9" t="str">
        <v>purchase_ac@hal-india.co.in</v>
      </c>
      <c r="I200" s="9" t="str">
        <v>14003256/001</v>
      </c>
      <c r="J200" s="9" t="str">
        <v>Contract</v>
      </c>
      <c r="K200" s="9" t="str">
        <v>No</v>
      </c>
      <c r="L200" s="9" t="str">
        <v>Online submission</v>
      </c>
      <c r="M200" s="9">
        <v>45629</v>
      </c>
      <c r="N200" s="9">
        <v>68898</v>
      </c>
      <c r="O200" s="9" t="str">
        <v>January</v>
      </c>
      <c r="P200" s="9" t="str">
        <v>July</v>
      </c>
      <c r="Q200" s="9">
        <v>1</v>
      </c>
      <c r="R200" s="9" t="str">
        <v>MI044-313</v>
      </c>
      <c r="S200" s="9" t="str">
        <v>24/06/2024</v>
      </c>
      <c r="T200" s="9">
        <v>68898</v>
      </c>
      <c r="U200" s="9" t="str">
        <v>June</v>
      </c>
      <c r="V200" s="9">
        <v>0</v>
      </c>
      <c r="W200" s="9">
        <v>0</v>
      </c>
      <c r="X200" s="9">
        <v>0</v>
      </c>
      <c r="Y200" s="9">
        <v>0</v>
      </c>
    </row>
    <row r="201" spans="1:25">
      <c r="A201" s="9">
        <v>0</v>
      </c>
      <c r="B201" s="9">
        <v>0</v>
      </c>
      <c r="C201" s="9" t="str">
        <v xml:space="preserve">Hindustan Aeronautics LTD </v>
      </c>
      <c r="D201" s="9" t="str">
        <v>Bangalore</v>
      </c>
      <c r="E201" s="9" t="str">
        <v>AD</v>
      </c>
      <c r="F201" s="9" t="str">
        <v>Jeyaselvan</v>
      </c>
      <c r="G201" s="9">
        <v>9481273435</v>
      </c>
      <c r="H201" s="9" t="str">
        <v>purchase_ac@hal-india.co.in</v>
      </c>
      <c r="I201" s="9" t="str">
        <v>14003329/001</v>
      </c>
      <c r="J201" s="9" t="str">
        <v>Contract</v>
      </c>
      <c r="K201" s="9" t="str">
        <v>No</v>
      </c>
      <c r="L201" s="9" t="str">
        <v>Online submission</v>
      </c>
      <c r="M201" s="9">
        <v>45629</v>
      </c>
      <c r="N201" s="9">
        <v>68898</v>
      </c>
      <c r="O201" s="9" t="str">
        <v>January</v>
      </c>
      <c r="P201" s="9" t="str">
        <v>July</v>
      </c>
      <c r="Q201" s="9">
        <v>1</v>
      </c>
      <c r="R201" s="9" t="str">
        <v>MI044-313</v>
      </c>
      <c r="S201" s="9" t="str">
        <v>24/06/2024</v>
      </c>
      <c r="T201" s="9">
        <v>68898</v>
      </c>
      <c r="U201" s="9" t="str">
        <v>June</v>
      </c>
      <c r="V201" s="9">
        <v>0</v>
      </c>
      <c r="W201" s="9">
        <v>0</v>
      </c>
      <c r="X201" s="9">
        <v>0</v>
      </c>
      <c r="Y201" s="9">
        <v>0</v>
      </c>
    </row>
    <row r="202" spans="1:25">
      <c r="A202" s="9">
        <v>0</v>
      </c>
      <c r="B202" s="9">
        <v>0</v>
      </c>
      <c r="C202" s="9" t="str">
        <v xml:space="preserve">Hindustan Aeronautics LTD </v>
      </c>
      <c r="D202" s="9" t="str">
        <v>Bangalore</v>
      </c>
      <c r="E202" s="9" t="str">
        <v>AD</v>
      </c>
      <c r="F202" s="9" t="str">
        <v>Jeyaselvan</v>
      </c>
      <c r="G202" s="9">
        <v>9481273435</v>
      </c>
      <c r="H202" s="9" t="str">
        <v>purchase_ac@hal-india.co.in</v>
      </c>
      <c r="I202" s="9" t="str">
        <v>14003244/001</v>
      </c>
      <c r="J202" s="9" t="str">
        <v>Contract</v>
      </c>
      <c r="K202" s="9" t="str">
        <v>No</v>
      </c>
      <c r="L202" s="9" t="str">
        <v>Online submission</v>
      </c>
      <c r="M202" s="9">
        <v>45629</v>
      </c>
      <c r="N202" s="9">
        <v>68898</v>
      </c>
      <c r="O202" s="9" t="str">
        <v>January</v>
      </c>
      <c r="P202" s="9" t="str">
        <v>July</v>
      </c>
      <c r="Q202" s="9">
        <v>1</v>
      </c>
      <c r="R202" s="9" t="str">
        <v>MI044-313</v>
      </c>
      <c r="S202" s="9" t="str">
        <v>24/06/2024</v>
      </c>
      <c r="T202" s="9">
        <v>68898</v>
      </c>
      <c r="U202" s="9" t="str">
        <v>June</v>
      </c>
      <c r="V202" s="9">
        <v>0</v>
      </c>
      <c r="W202" s="9">
        <v>0</v>
      </c>
      <c r="X202" s="9">
        <v>0</v>
      </c>
      <c r="Y202" s="9">
        <v>0</v>
      </c>
    </row>
    <row r="203" spans="1:25">
      <c r="A203" s="9">
        <v>0</v>
      </c>
      <c r="B203" s="9">
        <v>0</v>
      </c>
      <c r="C203" s="9" t="str">
        <v xml:space="preserve">Hindustan Aeronautics LTD </v>
      </c>
      <c r="D203" s="9" t="str">
        <v>Bangalore</v>
      </c>
      <c r="E203" s="9" t="str">
        <v>AD</v>
      </c>
      <c r="F203" s="9" t="str">
        <v>Jeyaselvan</v>
      </c>
      <c r="G203" s="9">
        <v>9481273435</v>
      </c>
      <c r="H203" s="9" t="str">
        <v>purchase_ac@hal-india.co.in</v>
      </c>
      <c r="I203" s="9" t="str">
        <v>14003375/001</v>
      </c>
      <c r="J203" s="9" t="str">
        <v>Contract</v>
      </c>
      <c r="K203" s="9" t="str">
        <v>No</v>
      </c>
      <c r="L203" s="9" t="str">
        <v>Online submission</v>
      </c>
      <c r="M203" s="9">
        <v>45629</v>
      </c>
      <c r="N203" s="9">
        <v>68898</v>
      </c>
      <c r="O203" s="9" t="str">
        <v>January</v>
      </c>
      <c r="P203" s="9" t="str">
        <v>July</v>
      </c>
      <c r="Q203" s="9">
        <v>1</v>
      </c>
      <c r="R203" s="9" t="str">
        <v>MI044-313</v>
      </c>
      <c r="S203" s="9" t="str">
        <v>24/06/2024</v>
      </c>
      <c r="T203" s="9">
        <v>68898</v>
      </c>
      <c r="U203" s="9" t="str">
        <v>June</v>
      </c>
      <c r="V203" s="9">
        <v>0</v>
      </c>
      <c r="W203" s="9">
        <v>0</v>
      </c>
      <c r="X203" s="9">
        <v>0</v>
      </c>
      <c r="Y203" s="9">
        <v>0</v>
      </c>
    </row>
    <row r="204" spans="1:25">
      <c r="A204" s="9">
        <v>0</v>
      </c>
      <c r="B204" s="9">
        <v>0</v>
      </c>
      <c r="C204" s="9" t="str">
        <v xml:space="preserve">Hindustan Aeronautics LTD </v>
      </c>
      <c r="D204" s="9" t="str">
        <v>Bangalore</v>
      </c>
      <c r="E204" s="9" t="str">
        <v>AD</v>
      </c>
      <c r="F204" s="9" t="str">
        <v>Jeyaselvan</v>
      </c>
      <c r="G204" s="9">
        <v>9481273435</v>
      </c>
      <c r="H204" s="9" t="str">
        <v>purchase_ac@hal-india.co.in</v>
      </c>
      <c r="I204" s="9" t="str">
        <v>14003432/001</v>
      </c>
      <c r="J204" s="9" t="str">
        <v>Contract</v>
      </c>
      <c r="K204" s="9" t="str">
        <v>No</v>
      </c>
      <c r="L204" s="9" t="str">
        <v>Online submission</v>
      </c>
      <c r="M204" s="9">
        <v>45629</v>
      </c>
      <c r="N204" s="9">
        <v>68898</v>
      </c>
      <c r="O204" s="9" t="str">
        <v>January</v>
      </c>
      <c r="P204" s="9" t="str">
        <v>July</v>
      </c>
      <c r="Q204" s="9">
        <v>1</v>
      </c>
      <c r="R204" s="9" t="str">
        <v>MI044-313</v>
      </c>
      <c r="S204" s="9" t="str">
        <v>24/06/2024</v>
      </c>
      <c r="T204" s="9">
        <v>68898</v>
      </c>
      <c r="U204" s="9" t="str">
        <v>June</v>
      </c>
      <c r="V204" s="9">
        <v>0</v>
      </c>
      <c r="W204" s="9">
        <v>0</v>
      </c>
      <c r="X204" s="9">
        <v>0</v>
      </c>
      <c r="Y204" s="9">
        <v>0</v>
      </c>
    </row>
    <row r="205" spans="1:25">
      <c r="A205" s="9">
        <v>0</v>
      </c>
      <c r="B205" s="9">
        <v>0</v>
      </c>
      <c r="C205" s="9" t="str">
        <v xml:space="preserve">Hindustan Aeronautics LTD </v>
      </c>
      <c r="D205" s="9" t="str">
        <v>Bangalore</v>
      </c>
      <c r="E205" s="9" t="str">
        <v>AD</v>
      </c>
      <c r="F205" s="9" t="str">
        <v>Jeyaselvan</v>
      </c>
      <c r="G205" s="9">
        <v>9481273435</v>
      </c>
      <c r="H205" s="9" t="str">
        <v>purchase_ac@hal-india.co.in</v>
      </c>
      <c r="I205" s="9" t="str">
        <v>14003338/001</v>
      </c>
      <c r="J205" s="9" t="str">
        <v>Contract</v>
      </c>
      <c r="K205" s="9" t="str">
        <v>No</v>
      </c>
      <c r="L205" s="9" t="str">
        <v>Online submission</v>
      </c>
      <c r="M205" s="9">
        <v>45629</v>
      </c>
      <c r="N205" s="9">
        <v>68898</v>
      </c>
      <c r="O205" s="9" t="str">
        <v>January</v>
      </c>
      <c r="P205" s="9" t="str">
        <v>July</v>
      </c>
      <c r="Q205" s="9">
        <v>1</v>
      </c>
      <c r="R205" s="9" t="str">
        <v>MI044-313</v>
      </c>
      <c r="S205" s="9" t="str">
        <v>24/06/2024</v>
      </c>
      <c r="T205" s="9">
        <v>68898</v>
      </c>
      <c r="U205" s="9" t="str">
        <v>June</v>
      </c>
      <c r="V205" s="9">
        <v>0</v>
      </c>
      <c r="W205" s="9">
        <v>0</v>
      </c>
      <c r="X205" s="9">
        <v>0</v>
      </c>
      <c r="Y205" s="9">
        <v>0</v>
      </c>
    </row>
    <row r="206" spans="1:25">
      <c r="A206" s="9">
        <v>0</v>
      </c>
      <c r="B206" s="9">
        <v>0</v>
      </c>
      <c r="C206" s="9" t="str">
        <v xml:space="preserve">Hindustan Aeronautics LTD </v>
      </c>
      <c r="D206" s="9" t="str">
        <v>Bangalore</v>
      </c>
      <c r="E206" s="9" t="str">
        <v>AD</v>
      </c>
      <c r="F206" s="9" t="str">
        <v>Jeyaselvan</v>
      </c>
      <c r="G206" s="9">
        <v>9481273435</v>
      </c>
      <c r="H206" s="9" t="str">
        <v>purchase_ac@hal-india.co.in</v>
      </c>
      <c r="I206" s="9" t="str">
        <v>14003360/001</v>
      </c>
      <c r="J206" s="9" t="str">
        <v>Contract</v>
      </c>
      <c r="K206" s="9" t="str">
        <v>No</v>
      </c>
      <c r="L206" s="9" t="str">
        <v>Online submission</v>
      </c>
      <c r="M206" s="9">
        <v>45629</v>
      </c>
      <c r="N206" s="9">
        <v>68898</v>
      </c>
      <c r="O206" s="9" t="str">
        <v>January</v>
      </c>
      <c r="P206" s="9" t="str">
        <v>July</v>
      </c>
      <c r="Q206" s="9">
        <v>1</v>
      </c>
      <c r="R206" s="9" t="str">
        <v>MI044-313</v>
      </c>
      <c r="S206" s="9" t="str">
        <v>24/06/2024</v>
      </c>
      <c r="T206" s="9">
        <v>68898</v>
      </c>
      <c r="U206" s="9" t="str">
        <v>June</v>
      </c>
      <c r="V206" s="9">
        <v>0</v>
      </c>
      <c r="W206" s="9">
        <v>0</v>
      </c>
      <c r="X206" s="9">
        <v>0</v>
      </c>
      <c r="Y206" s="9">
        <v>0</v>
      </c>
    </row>
    <row r="207" spans="1:25">
      <c r="A207" s="9">
        <v>0</v>
      </c>
      <c r="B207" s="9">
        <v>0</v>
      </c>
      <c r="C207" s="9" t="str">
        <v xml:space="preserve">Hindustan Aeronautics LTD </v>
      </c>
      <c r="D207" s="9" t="str">
        <v>Bangalore</v>
      </c>
      <c r="E207" s="9" t="str">
        <v>AD</v>
      </c>
      <c r="F207" s="9" t="str">
        <v>Jeyaselvan</v>
      </c>
      <c r="G207" s="9">
        <v>9481273435</v>
      </c>
      <c r="H207" s="9" t="str">
        <v>purchase_ac@hal-india.co.in</v>
      </c>
      <c r="I207" s="9" t="str">
        <v>14003361/001</v>
      </c>
      <c r="J207" s="9" t="str">
        <v>Contract</v>
      </c>
      <c r="K207" s="9" t="str">
        <v>No</v>
      </c>
      <c r="L207" s="9" t="str">
        <v>Online submission</v>
      </c>
      <c r="M207" s="9">
        <v>45629</v>
      </c>
      <c r="N207" s="9">
        <v>68898</v>
      </c>
      <c r="O207" s="9" t="str">
        <v>January</v>
      </c>
      <c r="P207" s="9" t="str">
        <v>July</v>
      </c>
      <c r="Q207" s="9">
        <v>1</v>
      </c>
      <c r="R207" s="9" t="str">
        <v>MI044-313</v>
      </c>
      <c r="S207" s="9" t="str">
        <v>24/06/2024</v>
      </c>
      <c r="T207" s="9">
        <v>68898</v>
      </c>
      <c r="U207" s="9" t="str">
        <v>June</v>
      </c>
      <c r="V207" s="9">
        <v>0</v>
      </c>
      <c r="W207" s="9">
        <v>0</v>
      </c>
      <c r="X207" s="9">
        <v>0</v>
      </c>
      <c r="Y207" s="9">
        <v>0</v>
      </c>
    </row>
    <row r="208" spans="1:25">
      <c r="A208" s="9">
        <v>0</v>
      </c>
      <c r="B208" s="9">
        <v>0</v>
      </c>
      <c r="C208" s="9" t="str">
        <v xml:space="preserve">Hindustan Aeronautics LTD </v>
      </c>
      <c r="D208" s="9" t="str">
        <v>Bangalore</v>
      </c>
      <c r="E208" s="9" t="str">
        <v>AD</v>
      </c>
      <c r="F208" s="9" t="str">
        <v>Jeyaselvan</v>
      </c>
      <c r="G208" s="9">
        <v>9481273435</v>
      </c>
      <c r="H208" s="9" t="str">
        <v>purchase_ac@hal-india.co.in</v>
      </c>
      <c r="I208" s="9" t="str">
        <v>14003305/001</v>
      </c>
      <c r="J208" s="9" t="str">
        <v>Contract</v>
      </c>
      <c r="K208" s="9" t="str">
        <v>No</v>
      </c>
      <c r="L208" s="9" t="str">
        <v>Online submission</v>
      </c>
      <c r="M208" s="9">
        <v>45629</v>
      </c>
      <c r="N208" s="9">
        <v>68898</v>
      </c>
      <c r="O208" s="9" t="str">
        <v>January</v>
      </c>
      <c r="P208" s="9" t="str">
        <v>July</v>
      </c>
      <c r="Q208" s="9">
        <v>1</v>
      </c>
      <c r="R208" s="9" t="str">
        <v>MI044-313</v>
      </c>
      <c r="S208" s="9" t="str">
        <v>24/06/2024</v>
      </c>
      <c r="T208" s="9">
        <v>68898</v>
      </c>
      <c r="U208" s="9" t="str">
        <v>June</v>
      </c>
      <c r="V208" s="9">
        <v>0</v>
      </c>
      <c r="W208" s="9">
        <v>0</v>
      </c>
      <c r="X208" s="9">
        <v>0</v>
      </c>
      <c r="Y208" s="9">
        <v>0</v>
      </c>
    </row>
    <row r="209" spans="1:25">
      <c r="A209" s="9">
        <v>0</v>
      </c>
      <c r="B209" s="9">
        <v>0</v>
      </c>
      <c r="C209" s="9" t="str">
        <v xml:space="preserve">Hindustan Aeronautics LTD </v>
      </c>
      <c r="D209" s="9" t="str">
        <v>Bangalore</v>
      </c>
      <c r="E209" s="9" t="str">
        <v>AD</v>
      </c>
      <c r="F209" s="9" t="str">
        <v>Jeyaselvan</v>
      </c>
      <c r="G209" s="9">
        <v>9481273435</v>
      </c>
      <c r="H209" s="9" t="str">
        <v>purchase_ac@hal-india.co.in</v>
      </c>
      <c r="I209" s="9" t="str">
        <v>14003335/001</v>
      </c>
      <c r="J209" s="9" t="str">
        <v>Contract</v>
      </c>
      <c r="K209" s="9" t="str">
        <v>No</v>
      </c>
      <c r="L209" s="9" t="str">
        <v>Online submission</v>
      </c>
      <c r="M209" s="9">
        <v>45629</v>
      </c>
      <c r="N209" s="9">
        <v>68898</v>
      </c>
      <c r="O209" s="9" t="str">
        <v>January</v>
      </c>
      <c r="P209" s="9" t="str">
        <v>July</v>
      </c>
      <c r="Q209" s="9">
        <v>1</v>
      </c>
      <c r="R209" s="9" t="str">
        <v>MI044-313</v>
      </c>
      <c r="S209" s="9" t="str">
        <v>24/06/2024</v>
      </c>
      <c r="T209" s="9">
        <v>68898</v>
      </c>
      <c r="U209" s="9" t="str">
        <v>June</v>
      </c>
      <c r="V209" s="9">
        <v>0</v>
      </c>
      <c r="W209" s="9">
        <v>0</v>
      </c>
      <c r="X209" s="9">
        <v>0</v>
      </c>
      <c r="Y209" s="9">
        <v>0</v>
      </c>
    </row>
    <row r="210" spans="1:25">
      <c r="A210" s="9">
        <v>0</v>
      </c>
      <c r="B210" s="9">
        <v>0</v>
      </c>
      <c r="C210" s="9" t="str">
        <v xml:space="preserve">Hindustan Aeronautics LTD </v>
      </c>
      <c r="D210" s="9" t="str">
        <v>Bangalore</v>
      </c>
      <c r="E210" s="9" t="str">
        <v>AD</v>
      </c>
      <c r="F210" s="9" t="str">
        <v>Jeyaselvan</v>
      </c>
      <c r="G210" s="9">
        <v>9481273435</v>
      </c>
      <c r="H210" s="9" t="str">
        <v>purchase_ac@hal-india.co.in</v>
      </c>
      <c r="I210" s="9" t="str">
        <v>14003332/001</v>
      </c>
      <c r="J210" s="9" t="str">
        <v>Contract</v>
      </c>
      <c r="K210" s="9" t="str">
        <v>No</v>
      </c>
      <c r="L210" s="9" t="str">
        <v>Online submission</v>
      </c>
      <c r="M210" s="9">
        <v>45629</v>
      </c>
      <c r="N210" s="9">
        <v>68898</v>
      </c>
      <c r="O210" s="9" t="str">
        <v>January</v>
      </c>
      <c r="P210" s="9" t="str">
        <v>July</v>
      </c>
      <c r="Q210" s="9">
        <v>1</v>
      </c>
      <c r="R210" s="9" t="str">
        <v>MI044-313</v>
      </c>
      <c r="S210" s="9" t="str">
        <v>24/06/2024</v>
      </c>
      <c r="T210" s="9">
        <v>68898</v>
      </c>
      <c r="U210" s="9" t="str">
        <v>June</v>
      </c>
      <c r="V210" s="9">
        <v>0</v>
      </c>
      <c r="W210" s="9">
        <v>0</v>
      </c>
      <c r="X210" s="9">
        <v>0</v>
      </c>
      <c r="Y210" s="9">
        <v>0</v>
      </c>
    </row>
    <row r="211" spans="1:25">
      <c r="A211" s="9">
        <v>0</v>
      </c>
      <c r="B211" s="9">
        <v>0</v>
      </c>
      <c r="C211" s="9" t="str">
        <v xml:space="preserve">Hindustan Aeronautics LTD </v>
      </c>
      <c r="D211" s="9" t="str">
        <v>Bangalore</v>
      </c>
      <c r="E211" s="9" t="str">
        <v>AD</v>
      </c>
      <c r="F211" s="9" t="str">
        <v>Jeyaselvan</v>
      </c>
      <c r="G211" s="9">
        <v>9481273435</v>
      </c>
      <c r="H211" s="9" t="str">
        <v>purchase_ac@hal-india.co.in</v>
      </c>
      <c r="I211" s="9" t="str">
        <v>14003333/001</v>
      </c>
      <c r="J211" s="9" t="str">
        <v>Contract</v>
      </c>
      <c r="K211" s="9" t="str">
        <v>No</v>
      </c>
      <c r="L211" s="9" t="str">
        <v>Online submission</v>
      </c>
      <c r="M211" s="9">
        <v>45629</v>
      </c>
      <c r="N211" s="9">
        <v>68898</v>
      </c>
      <c r="O211" s="9" t="str">
        <v>January</v>
      </c>
      <c r="P211" s="9" t="str">
        <v>July</v>
      </c>
      <c r="Q211" s="9">
        <v>1</v>
      </c>
      <c r="R211" s="9" t="str">
        <v>MI044-313</v>
      </c>
      <c r="S211" s="9" t="str">
        <v>24/06/2024</v>
      </c>
      <c r="T211" s="9">
        <v>68898</v>
      </c>
      <c r="U211" s="9" t="str">
        <v>June</v>
      </c>
      <c r="V211" s="9">
        <v>0</v>
      </c>
      <c r="W211" s="9">
        <v>0</v>
      </c>
      <c r="X211" s="9">
        <v>0</v>
      </c>
      <c r="Y211" s="9">
        <v>0</v>
      </c>
    </row>
    <row r="212" spans="1:25">
      <c r="A212" s="9">
        <v>0</v>
      </c>
      <c r="B212" s="9">
        <v>0</v>
      </c>
      <c r="C212" s="9" t="str">
        <v xml:space="preserve">Hindustan Aeronautics LTD </v>
      </c>
      <c r="D212" s="9" t="str">
        <v>Bangalore</v>
      </c>
      <c r="E212" s="9" t="str">
        <v>AD</v>
      </c>
      <c r="F212" s="9" t="str">
        <v>Jeyaselvan</v>
      </c>
      <c r="G212" s="9">
        <v>9481273435</v>
      </c>
      <c r="H212" s="9" t="str">
        <v>purchase_ac@hal-india.co.in</v>
      </c>
      <c r="I212" s="9" t="str">
        <v>14003337/001</v>
      </c>
      <c r="J212" s="9" t="str">
        <v>Contract</v>
      </c>
      <c r="K212" s="9" t="str">
        <v>No</v>
      </c>
      <c r="L212" s="9" t="str">
        <v>Online submission</v>
      </c>
      <c r="M212" s="9">
        <v>45629</v>
      </c>
      <c r="N212" s="9">
        <v>68898</v>
      </c>
      <c r="O212" s="9" t="str">
        <v>January</v>
      </c>
      <c r="P212" s="9" t="str">
        <v>July</v>
      </c>
      <c r="Q212" s="9">
        <v>1</v>
      </c>
      <c r="R212" s="9" t="str">
        <v>MI044-313</v>
      </c>
      <c r="S212" s="9" t="str">
        <v>24/06/2024</v>
      </c>
      <c r="T212" s="9">
        <v>68898</v>
      </c>
      <c r="U212" s="9" t="str">
        <v>June</v>
      </c>
      <c r="V212" s="9">
        <v>0</v>
      </c>
      <c r="W212" s="9">
        <v>0</v>
      </c>
      <c r="X212" s="9">
        <v>0</v>
      </c>
      <c r="Y212" s="9">
        <v>0</v>
      </c>
    </row>
    <row r="213" spans="1:25">
      <c r="A213" s="9">
        <v>0</v>
      </c>
      <c r="B213" s="9">
        <v>0</v>
      </c>
      <c r="C213" s="9" t="str">
        <v>Taegutec India Pvt Ltd</v>
      </c>
      <c r="D213" s="9" t="str">
        <v xml:space="preserve">Bangalore </v>
      </c>
      <c r="E213" s="9" t="str">
        <v>store</v>
      </c>
      <c r="F213" s="9" t="str">
        <v>Suresha N</v>
      </c>
      <c r="G213" s="9">
        <v>9590027444</v>
      </c>
      <c r="H213" s="9" t="str">
        <v>suresha.n@taegutec-india.com</v>
      </c>
      <c r="I213" s="9" t="str">
        <v>18004076/001</v>
      </c>
      <c r="J213" s="9" t="str">
        <v>Contract</v>
      </c>
      <c r="K213" s="9" t="str">
        <v>No</v>
      </c>
      <c r="L213" s="9" t="str">
        <v>KXIND/S/AMC/GR23-062</v>
      </c>
      <c r="M213" s="9" t="str">
        <v>15/10/2023</v>
      </c>
      <c r="N213" s="9">
        <v>72000</v>
      </c>
      <c r="O213" s="9" t="str">
        <v>January</v>
      </c>
      <c r="P213" s="9" t="str">
        <v>January</v>
      </c>
      <c r="Q213" s="9">
        <v>1</v>
      </c>
      <c r="R213" s="9">
        <v>115885</v>
      </c>
      <c r="S213" s="9">
        <v>0</v>
      </c>
      <c r="T213" s="9">
        <v>72000</v>
      </c>
      <c r="U213" s="9" t="str">
        <v>January</v>
      </c>
      <c r="V213" s="9">
        <v>0</v>
      </c>
      <c r="W213" s="9" t="str">
        <v>October, bought forward back log from 2024</v>
      </c>
      <c r="X213" s="9">
        <v>0</v>
      </c>
      <c r="Y213" s="9" t="str">
        <v>25/2/2025</v>
      </c>
    </row>
    <row r="214" spans="1:25">
      <c r="A214" s="9">
        <v>0</v>
      </c>
      <c r="B214" s="9">
        <v>0</v>
      </c>
      <c r="C214" s="9" t="str">
        <v>Taegutec India Pvt Ltd</v>
      </c>
      <c r="D214" s="9" t="str">
        <v>Bangalore</v>
      </c>
      <c r="E214" s="9" t="str">
        <v>maint</v>
      </c>
      <c r="F214" s="9" t="str">
        <v>Suresha N</v>
      </c>
      <c r="G214" s="9">
        <v>9590027444</v>
      </c>
      <c r="H214" s="9" t="str">
        <v>suresha.n@taegutec-india.com</v>
      </c>
      <c r="I214" s="9" t="str">
        <v>06010216/001</v>
      </c>
      <c r="J214" s="9" t="str">
        <v>Contract</v>
      </c>
      <c r="K214" s="9" t="str">
        <v>No</v>
      </c>
      <c r="L214" s="9" t="str">
        <v>KXIND/S/GA/MC/24037</v>
      </c>
      <c r="M214" s="9">
        <v>45574</v>
      </c>
      <c r="N214" s="9">
        <v>75000</v>
      </c>
      <c r="O214" s="9" t="str">
        <v>January</v>
      </c>
      <c r="P214" s="9" t="str">
        <v>February</v>
      </c>
      <c r="Q214" s="9">
        <v>1</v>
      </c>
      <c r="R214" s="9">
        <v>124919</v>
      </c>
      <c r="S214" s="9" t="str">
        <v>28/01/2025</v>
      </c>
      <c r="T214" s="9">
        <v>72000</v>
      </c>
      <c r="U214" s="9" t="str">
        <v>January</v>
      </c>
      <c r="V214" s="9">
        <v>0</v>
      </c>
      <c r="W214" s="9">
        <v>0</v>
      </c>
      <c r="X214" s="9">
        <v>0</v>
      </c>
      <c r="Y214" s="9">
        <v>45840</v>
      </c>
    </row>
    <row r="215" spans="1:25">
      <c r="A215" s="9">
        <v>0</v>
      </c>
      <c r="B215" s="9">
        <v>0</v>
      </c>
      <c r="C215" s="9" t="str">
        <v>Taegutec India Pvt Ltd</v>
      </c>
      <c r="D215" s="9" t="str">
        <v>Bangalore</v>
      </c>
      <c r="E215" s="9" t="str">
        <v>maint</v>
      </c>
      <c r="F215" s="9" t="str">
        <v>Suresha N</v>
      </c>
      <c r="G215" s="9">
        <v>9590027444</v>
      </c>
      <c r="H215" s="9" t="str">
        <v>suresha.n@taegutec-india.com</v>
      </c>
      <c r="I215" s="9" t="str">
        <v>06001430/003</v>
      </c>
      <c r="J215" s="9" t="str">
        <v>Contract</v>
      </c>
      <c r="K215" s="9" t="str">
        <v>No</v>
      </c>
      <c r="L215" s="9" t="str">
        <v>KXIND/S/GA/MC/24037</v>
      </c>
      <c r="M215" s="9">
        <v>45574</v>
      </c>
      <c r="N215" s="9">
        <v>75000</v>
      </c>
      <c r="O215" s="9" t="str">
        <v>January</v>
      </c>
      <c r="P215" s="9" t="str">
        <v>February</v>
      </c>
      <c r="Q215" s="9">
        <v>1</v>
      </c>
      <c r="R215" s="9">
        <v>124919</v>
      </c>
      <c r="S215" s="9" t="str">
        <v>28/01/2025</v>
      </c>
      <c r="T215" s="9">
        <v>72000</v>
      </c>
      <c r="U215" s="9" t="str">
        <v>January</v>
      </c>
      <c r="V215" s="9">
        <v>0</v>
      </c>
      <c r="W215" s="9">
        <v>0</v>
      </c>
      <c r="X215" s="9">
        <v>0</v>
      </c>
      <c r="Y215" s="9">
        <v>45840</v>
      </c>
    </row>
    <row r="216" spans="1:25">
      <c r="A216" s="9">
        <v>0</v>
      </c>
      <c r="B216" s="9">
        <v>0</v>
      </c>
      <c r="C216" s="9" t="str">
        <v>Taegutec India Pvt Ltd</v>
      </c>
      <c r="D216" s="9" t="str">
        <v>Bangalore</v>
      </c>
      <c r="E216" s="9" t="str">
        <v>maint</v>
      </c>
      <c r="F216" s="9" t="str">
        <v>Suresha N</v>
      </c>
      <c r="G216" s="9">
        <v>9590027444</v>
      </c>
      <c r="H216" s="9" t="str">
        <v>suresha.n@taegutec-india.com</v>
      </c>
      <c r="I216" s="9">
        <v>500003581</v>
      </c>
      <c r="J216" s="9" t="str">
        <v>Contract</v>
      </c>
      <c r="K216" s="9" t="str">
        <v>No</v>
      </c>
      <c r="L216" s="9" t="str">
        <v>KXIND/S/GA/MC/24037</v>
      </c>
      <c r="M216" s="9">
        <v>45574</v>
      </c>
      <c r="N216" s="9">
        <v>75000</v>
      </c>
      <c r="O216" s="9" t="str">
        <v>January</v>
      </c>
      <c r="P216" s="9" t="str">
        <v>February</v>
      </c>
      <c r="Q216" s="9">
        <v>1</v>
      </c>
      <c r="R216" s="9">
        <v>124919</v>
      </c>
      <c r="S216" s="9" t="str">
        <v>28/01/2025</v>
      </c>
      <c r="T216" s="9">
        <v>72000</v>
      </c>
      <c r="U216" s="9" t="str">
        <v>January</v>
      </c>
      <c r="V216" s="9">
        <v>0</v>
      </c>
      <c r="W216" s="9">
        <v>0</v>
      </c>
      <c r="X216" s="9">
        <v>0</v>
      </c>
      <c r="Y216" s="9">
        <v>45840</v>
      </c>
    </row>
    <row r="217" spans="1:25">
      <c r="A217" s="9">
        <v>0</v>
      </c>
      <c r="B217" s="9">
        <v>0</v>
      </c>
      <c r="C217" s="9" t="str">
        <v>Taegutec India Pvt Ltd</v>
      </c>
      <c r="D217" s="9" t="str">
        <v>Bangalore</v>
      </c>
      <c r="E217" s="9" t="str">
        <v>Mait</v>
      </c>
      <c r="F217" s="9" t="str">
        <v>Suresha N</v>
      </c>
      <c r="G217" s="9">
        <v>9590027444</v>
      </c>
      <c r="H217" s="9" t="str">
        <v>suresha.n@taegutec-india.com</v>
      </c>
      <c r="I217" s="9" t="str">
        <v>06001430/001</v>
      </c>
      <c r="J217" s="9" t="str">
        <v>Contract</v>
      </c>
      <c r="K217" s="9" t="str">
        <v>No</v>
      </c>
      <c r="L217" s="9" t="str">
        <v>KXIND/S/GA/MC/250048</v>
      </c>
      <c r="M217" s="9">
        <v>45933</v>
      </c>
      <c r="N217" s="9">
        <v>75000</v>
      </c>
      <c r="O217" s="9" t="str">
        <v>October</v>
      </c>
      <c r="P217" s="9" t="str">
        <v>November</v>
      </c>
      <c r="Q217" s="9">
        <v>1</v>
      </c>
      <c r="R217" s="9">
        <v>132964</v>
      </c>
      <c r="S217" s="9">
        <v>45981</v>
      </c>
      <c r="T217" s="9">
        <v>75000</v>
      </c>
      <c r="U217" s="9" t="str">
        <v>December</v>
      </c>
      <c r="V217" s="9">
        <v>0</v>
      </c>
      <c r="W217" s="9">
        <v>0</v>
      </c>
      <c r="X217" s="9">
        <v>0</v>
      </c>
      <c r="Y217" s="9">
        <v>0</v>
      </c>
    </row>
    <row r="218" spans="1:25">
      <c r="A218" s="9">
        <v>0</v>
      </c>
      <c r="B218" s="9">
        <v>0</v>
      </c>
      <c r="C218" s="9" t="str">
        <v>Taegutec India Pvt Ltd</v>
      </c>
      <c r="D218" s="9" t="str">
        <v>Bangalore</v>
      </c>
      <c r="E218" s="9" t="str">
        <v>Mait</v>
      </c>
      <c r="F218" s="9" t="str">
        <v>Suresha N</v>
      </c>
      <c r="G218" s="9">
        <v>9590027444</v>
      </c>
      <c r="H218" s="9" t="str">
        <v>suresha.n@taegutec-india.com</v>
      </c>
      <c r="I218" s="9" t="str">
        <v>06010216/001</v>
      </c>
      <c r="J218" s="9" t="str">
        <v>Contract</v>
      </c>
      <c r="K218" s="9" t="str">
        <v>No</v>
      </c>
      <c r="L218" s="9" t="str">
        <v>KXIND/S/GA/MC/250048</v>
      </c>
      <c r="M218" s="9">
        <v>45933</v>
      </c>
      <c r="N218" s="9">
        <v>75000</v>
      </c>
      <c r="O218" s="9" t="str">
        <v>October</v>
      </c>
      <c r="P218" s="9" t="str">
        <v>November</v>
      </c>
      <c r="Q218" s="9">
        <v>1</v>
      </c>
      <c r="R218" s="9">
        <v>132964</v>
      </c>
      <c r="S218" s="9">
        <v>45981</v>
      </c>
      <c r="T218" s="9">
        <v>75000</v>
      </c>
      <c r="U218" s="9" t="str">
        <v>December</v>
      </c>
      <c r="V218" s="9">
        <v>0</v>
      </c>
      <c r="W218" s="9">
        <v>0</v>
      </c>
      <c r="X218" s="9">
        <v>0</v>
      </c>
      <c r="Y218" s="9">
        <v>0</v>
      </c>
    </row>
    <row r="219" spans="1:25">
      <c r="A219" s="9">
        <v>0</v>
      </c>
      <c r="B219" s="9">
        <v>0</v>
      </c>
      <c r="C219" s="9" t="str">
        <v>Taegutec India Pvt Ltd</v>
      </c>
      <c r="D219" s="9" t="str">
        <v>Bangalore</v>
      </c>
      <c r="E219" s="9" t="str">
        <v>Mait</v>
      </c>
      <c r="F219" s="9" t="str">
        <v>Suresha N</v>
      </c>
      <c r="G219" s="9">
        <v>9590027444</v>
      </c>
      <c r="H219" s="9" t="str">
        <v>suresha.n@taegutec-india.com</v>
      </c>
      <c r="I219" s="9" t="str">
        <v>16003045/001</v>
      </c>
      <c r="J219" s="9" t="str">
        <v>Contract</v>
      </c>
      <c r="K219" s="9" t="str">
        <v>No</v>
      </c>
      <c r="L219" s="9" t="str">
        <v>KXIND/S/GA/MC/250048</v>
      </c>
      <c r="M219" s="9">
        <v>45933</v>
      </c>
      <c r="N219" s="9">
        <v>75000</v>
      </c>
      <c r="O219" s="9" t="str">
        <v>October</v>
      </c>
      <c r="P219" s="9" t="str">
        <v>November</v>
      </c>
      <c r="Q219" s="9">
        <v>1</v>
      </c>
      <c r="R219" s="9">
        <v>132964</v>
      </c>
      <c r="S219" s="9">
        <v>45981</v>
      </c>
      <c r="T219" s="9">
        <v>75000</v>
      </c>
      <c r="U219" s="9" t="str">
        <v>December</v>
      </c>
      <c r="V219" s="9">
        <v>0</v>
      </c>
      <c r="W219" s="9">
        <v>0</v>
      </c>
      <c r="X219" s="9">
        <v>0</v>
      </c>
      <c r="Y219" s="9">
        <v>0</v>
      </c>
    </row>
    <row r="220" spans="1:25">
      <c r="A220" s="9">
        <v>0</v>
      </c>
      <c r="B220" s="9">
        <v>0</v>
      </c>
      <c r="C220" s="9" t="str">
        <v>Titan Engineering and Automation Limited</v>
      </c>
      <c r="D220" s="9" t="str">
        <v>Hosur</v>
      </c>
      <c r="E220" s="9" t="str">
        <v>Unit 1</v>
      </c>
      <c r="F220" s="9" t="str">
        <v>L.Thanigaivel</v>
      </c>
      <c r="G220" s="9">
        <v>9442277228</v>
      </c>
      <c r="H220" s="9" t="str">
        <v>thanigaivel@titan.co.in</v>
      </c>
      <c r="I220" s="9" t="str">
        <v>21001762/001</v>
      </c>
      <c r="J220" s="9" t="str">
        <v>Contract</v>
      </c>
      <c r="K220" s="9" t="str">
        <v>No</v>
      </c>
      <c r="L220" s="9" t="str">
        <v>KXIND/S/GA/MC/25026A</v>
      </c>
      <c r="M220" s="9" t="str">
        <v>30/07/2025</v>
      </c>
      <c r="N220" s="9">
        <v>76000</v>
      </c>
      <c r="O220" s="9" t="str">
        <v>July</v>
      </c>
      <c r="P220" s="9" t="str">
        <v>August</v>
      </c>
      <c r="Q220" s="9">
        <v>1</v>
      </c>
      <c r="R220" s="9">
        <v>401230026</v>
      </c>
      <c r="S220" s="9">
        <v>45878</v>
      </c>
      <c r="T220" s="9">
        <v>76000</v>
      </c>
      <c r="U220" s="9" t="str">
        <v>November</v>
      </c>
      <c r="V220" s="9">
        <v>0</v>
      </c>
      <c r="W220" s="9">
        <v>0</v>
      </c>
      <c r="X220" s="9">
        <v>0</v>
      </c>
      <c r="Y220" s="9">
        <v>0</v>
      </c>
    </row>
    <row r="221" spans="1:25">
      <c r="A221" s="9">
        <v>0</v>
      </c>
      <c r="B221" s="9">
        <v>0</v>
      </c>
      <c r="C221" s="9" t="str">
        <v>Titan Engineering and Automation Limited</v>
      </c>
      <c r="D221" s="9" t="str">
        <v>Hosur</v>
      </c>
      <c r="E221" s="9" t="str">
        <v>Unit 1</v>
      </c>
      <c r="F221" s="9" t="str">
        <v>L.Thanigaivel</v>
      </c>
      <c r="G221" s="9">
        <v>9442277228</v>
      </c>
      <c r="H221" s="9" t="str">
        <v>thanigaivel@titan.co.in</v>
      </c>
      <c r="I221" s="9" t="str">
        <v>21008642/001</v>
      </c>
      <c r="J221" s="9" t="str">
        <v>Contract</v>
      </c>
      <c r="K221" s="9" t="str">
        <v>No</v>
      </c>
      <c r="L221" s="9" t="str">
        <v>KXIND/S/GA/MC/25026A</v>
      </c>
      <c r="M221" s="9" t="str">
        <v>30/07/2025</v>
      </c>
      <c r="N221" s="9">
        <v>76000</v>
      </c>
      <c r="O221" s="9" t="str">
        <v>July</v>
      </c>
      <c r="P221" s="9" t="str">
        <v>August</v>
      </c>
      <c r="Q221" s="9">
        <v>1</v>
      </c>
      <c r="R221" s="9">
        <v>401230026</v>
      </c>
      <c r="S221" s="9">
        <v>45878</v>
      </c>
      <c r="T221" s="9">
        <v>76000</v>
      </c>
      <c r="U221" s="9" t="str">
        <v>November</v>
      </c>
      <c r="V221" s="9">
        <v>0</v>
      </c>
      <c r="W221" s="9">
        <v>0</v>
      </c>
      <c r="X221" s="9">
        <v>0</v>
      </c>
      <c r="Y221" s="9">
        <v>0</v>
      </c>
    </row>
    <row r="222" spans="1:25">
      <c r="A222" s="9">
        <v>0</v>
      </c>
      <c r="B222" s="9">
        <v>0</v>
      </c>
      <c r="C222" s="9" t="str">
        <v>Titan Engineering and Automation Limited</v>
      </c>
      <c r="D222" s="9" t="str">
        <v>Hosur</v>
      </c>
      <c r="E222" s="9" t="str">
        <v>Unit 1</v>
      </c>
      <c r="F222" s="9" t="str">
        <v>L.Thanigaivel</v>
      </c>
      <c r="G222" s="9">
        <v>9442277228</v>
      </c>
      <c r="H222" s="9" t="str">
        <v>thanigaivel@titan.co.in</v>
      </c>
      <c r="I222" s="9" t="str">
        <v>21008643/001</v>
      </c>
      <c r="J222" s="9" t="str">
        <v>Contract</v>
      </c>
      <c r="K222" s="9" t="str">
        <v>No</v>
      </c>
      <c r="L222" s="9" t="str">
        <v>KXIND/S/GA/MC/25026A</v>
      </c>
      <c r="M222" s="9" t="str">
        <v>30/07/2025</v>
      </c>
      <c r="N222" s="9">
        <v>76000</v>
      </c>
      <c r="O222" s="9" t="str">
        <v>July</v>
      </c>
      <c r="P222" s="9" t="str">
        <v>August</v>
      </c>
      <c r="Q222" s="9">
        <v>1</v>
      </c>
      <c r="R222" s="9">
        <v>401230026</v>
      </c>
      <c r="S222" s="9">
        <v>45878</v>
      </c>
      <c r="T222" s="9">
        <v>76000</v>
      </c>
      <c r="U222" s="9" t="str">
        <v>November</v>
      </c>
      <c r="V222" s="9">
        <v>0</v>
      </c>
      <c r="W222" s="9">
        <v>0</v>
      </c>
      <c r="X222" s="9">
        <v>0</v>
      </c>
      <c r="Y222" s="9">
        <v>0</v>
      </c>
    </row>
    <row r="223" spans="1:25">
      <c r="A223" s="9">
        <v>0</v>
      </c>
      <c r="B223" s="9">
        <v>0</v>
      </c>
      <c r="C223" s="9" t="str">
        <v>Titan Engineering and Automation Limited</v>
      </c>
      <c r="D223" s="9" t="str">
        <v>Hosur</v>
      </c>
      <c r="E223" s="9" t="str">
        <v>Unit 1</v>
      </c>
      <c r="F223" s="9" t="str">
        <v>L.Thanigaivel</v>
      </c>
      <c r="G223" s="9">
        <v>9442277228</v>
      </c>
      <c r="H223" s="9" t="str">
        <v>thanigaivel@titan.co.in</v>
      </c>
      <c r="I223" s="9" t="str">
        <v>23001937/001</v>
      </c>
      <c r="J223" s="9" t="str">
        <v>Contract</v>
      </c>
      <c r="K223" s="9" t="str">
        <v>Yes</v>
      </c>
      <c r="L223" s="9" t="str">
        <v>KXIND/S/GA/MC/25026A</v>
      </c>
      <c r="M223" s="9" t="str">
        <v>30/07/2025</v>
      </c>
      <c r="N223" s="9">
        <v>76000</v>
      </c>
      <c r="O223" s="9" t="str">
        <v>July</v>
      </c>
      <c r="P223" s="9" t="str">
        <v>August</v>
      </c>
      <c r="Q223" s="9">
        <v>1</v>
      </c>
      <c r="R223" s="9">
        <v>401230026</v>
      </c>
      <c r="S223" s="9">
        <v>45878</v>
      </c>
      <c r="T223" s="9">
        <v>76000</v>
      </c>
      <c r="U223" s="9" t="str">
        <v>November</v>
      </c>
      <c r="V223" s="9">
        <v>0</v>
      </c>
      <c r="W223" s="9">
        <v>0</v>
      </c>
      <c r="X223" s="9">
        <v>0</v>
      </c>
      <c r="Y223" s="9">
        <v>0</v>
      </c>
    </row>
    <row r="224" spans="1:25">
      <c r="A224" s="9">
        <v>0</v>
      </c>
      <c r="B224" s="9">
        <v>0</v>
      </c>
      <c r="C224" s="9" t="str">
        <v>Titan Company Limited Watch Division</v>
      </c>
      <c r="D224" s="9" t="str">
        <v>HOSUR</v>
      </c>
      <c r="E224" s="9" t="str">
        <v xml:space="preserve">Maintenance </v>
      </c>
      <c r="F224" s="9" t="str">
        <v>S.Balasubramanian,</v>
      </c>
      <c r="G224" s="9" t="str">
        <v>04344 - 664368</v>
      </c>
      <c r="H224" s="9" t="str">
        <v>BALASUBRAMANIAN1.S@TITAN.CO.IN</v>
      </c>
      <c r="I224" s="9" t="str">
        <v>16007990/002</v>
      </c>
      <c r="J224" s="9" t="str">
        <v>Contract</v>
      </c>
      <c r="K224" s="9" t="str">
        <v>No</v>
      </c>
      <c r="L224" s="9" t="str">
        <v>KXIND/S/GA/MC/25009</v>
      </c>
      <c r="M224" s="9" t="str">
        <v>28/02/2025</v>
      </c>
      <c r="N224" s="9">
        <v>82400</v>
      </c>
      <c r="O224" s="9" t="str">
        <v>February</v>
      </c>
      <c r="P224" s="9" t="str">
        <v>April</v>
      </c>
      <c r="Q224" s="9">
        <v>0.8</v>
      </c>
      <c r="R224" s="9">
        <v>101265544</v>
      </c>
      <c r="S224" s="9">
        <v>45744</v>
      </c>
      <c r="T224" s="9">
        <v>82400</v>
      </c>
      <c r="U224" s="9" t="str">
        <v>April</v>
      </c>
      <c r="V224" s="9">
        <v>0</v>
      </c>
      <c r="W224" s="9">
        <v>0</v>
      </c>
      <c r="X224" s="9">
        <v>0</v>
      </c>
      <c r="Y224" s="9">
        <v>0</v>
      </c>
    </row>
    <row r="225" spans="1:25">
      <c r="A225" s="9">
        <v>0</v>
      </c>
      <c r="B225" s="9">
        <v>0</v>
      </c>
      <c r="C225" s="9" t="str">
        <v>Titan Company Limited Watch Division</v>
      </c>
      <c r="D225" s="9" t="str">
        <v>HOSUR</v>
      </c>
      <c r="E225" s="9" t="str">
        <v xml:space="preserve">Maintenance </v>
      </c>
      <c r="F225" s="9" t="str">
        <v>S.Balasubramanian,</v>
      </c>
      <c r="G225" s="9" t="str">
        <v>04344 - 664368</v>
      </c>
      <c r="H225" s="9" t="str">
        <v>BALASUBRAMANIAN1.S@TITAN.CO.IN</v>
      </c>
      <c r="I225" s="9" t="str">
        <v>18002513/001</v>
      </c>
      <c r="J225" s="9" t="str">
        <v>Contract</v>
      </c>
      <c r="K225" s="9" t="str">
        <v>No</v>
      </c>
      <c r="L225" s="9" t="str">
        <v>KXIND/S/GA/MC/25009</v>
      </c>
      <c r="M225" s="9" t="str">
        <v>28/02/2025</v>
      </c>
      <c r="N225" s="9">
        <v>82400</v>
      </c>
      <c r="O225" s="9" t="str">
        <v>February</v>
      </c>
      <c r="P225" s="9" t="str">
        <v>April</v>
      </c>
      <c r="Q225" s="9">
        <v>0.8</v>
      </c>
      <c r="R225" s="9">
        <v>101265544</v>
      </c>
      <c r="S225" s="9">
        <v>45744</v>
      </c>
      <c r="T225" s="9">
        <v>82400</v>
      </c>
      <c r="U225" s="9" t="str">
        <v>April</v>
      </c>
      <c r="V225" s="9">
        <v>0</v>
      </c>
      <c r="W225" s="9">
        <v>0</v>
      </c>
      <c r="X225" s="9">
        <v>0</v>
      </c>
      <c r="Y225" s="9">
        <v>0</v>
      </c>
    </row>
    <row r="226" spans="1:25">
      <c r="A226" s="9">
        <v>0</v>
      </c>
      <c r="B226" s="9">
        <v>0</v>
      </c>
      <c r="C226" s="9" t="str">
        <v>Titan Company Limited Watch Division</v>
      </c>
      <c r="D226" s="9" t="str">
        <v>HOSUR</v>
      </c>
      <c r="E226" s="9" t="str">
        <v xml:space="preserve">Maintenance </v>
      </c>
      <c r="F226" s="9" t="str">
        <v>S.Balasubramanian,</v>
      </c>
      <c r="G226" s="9" t="str">
        <v>04344 - 664368</v>
      </c>
      <c r="H226" s="9" t="str">
        <v>BALASUBRAMANIAN1.S@TITAN.CO.IN</v>
      </c>
      <c r="I226" s="9" t="str">
        <v>18005532/001</v>
      </c>
      <c r="J226" s="9" t="str">
        <v>Contract</v>
      </c>
      <c r="K226" s="9" t="str">
        <v>Yes</v>
      </c>
      <c r="L226" s="9" t="str">
        <v>KXIND/S/GA/MC/25009</v>
      </c>
      <c r="M226" s="9" t="str">
        <v>28/02/2025</v>
      </c>
      <c r="N226" s="9">
        <v>82400</v>
      </c>
      <c r="O226" s="9" t="str">
        <v>February</v>
      </c>
      <c r="P226" s="9" t="str">
        <v>April</v>
      </c>
      <c r="Q226" s="9">
        <v>0.8</v>
      </c>
      <c r="R226" s="9">
        <v>101265544</v>
      </c>
      <c r="S226" s="9">
        <v>45744</v>
      </c>
      <c r="T226" s="9">
        <v>82400</v>
      </c>
      <c r="U226" s="9" t="str">
        <v>April</v>
      </c>
      <c r="V226" s="9">
        <v>0</v>
      </c>
      <c r="W226" s="9">
        <v>0</v>
      </c>
      <c r="X226" s="9">
        <v>0</v>
      </c>
      <c r="Y226" s="9">
        <v>0</v>
      </c>
    </row>
    <row r="227" spans="1:25">
      <c r="A227" s="9">
        <v>0</v>
      </c>
      <c r="B227" s="9">
        <v>0</v>
      </c>
      <c r="C227" s="9" t="str">
        <v>Tata Hitachi Construction Machinery Company Private Limited</v>
      </c>
      <c r="D227" s="9" t="str">
        <v>Dharawad</v>
      </c>
      <c r="E227" s="9" t="str">
        <v>Maint</v>
      </c>
      <c r="F227" s="9" t="str">
        <v>Sanju</v>
      </c>
      <c r="G227" s="9" t="str">
        <v>99723 07796</v>
      </c>
      <c r="H227" s="9" t="str">
        <v>sanju.lamani@tatahitachi.co.in</v>
      </c>
      <c r="I227" s="9" t="str">
        <v>08007007/001</v>
      </c>
      <c r="J227" s="9" t="str">
        <v>Contract</v>
      </c>
      <c r="K227" s="9" t="str">
        <v>No</v>
      </c>
      <c r="L227" s="9" t="str">
        <v>KXIND/S/GA/MC/24028</v>
      </c>
      <c r="M227" s="9">
        <v>45475</v>
      </c>
      <c r="N227" s="9">
        <v>83200</v>
      </c>
      <c r="O227" s="9" t="str">
        <v>January</v>
      </c>
      <c r="P227" s="9" t="str">
        <v>January</v>
      </c>
      <c r="Q227" s="9">
        <v>1</v>
      </c>
      <c r="R227" s="9">
        <v>2800087085</v>
      </c>
      <c r="S227" s="9">
        <v>45506</v>
      </c>
      <c r="T227" s="9">
        <v>83200</v>
      </c>
      <c r="U227" s="9" t="str">
        <v>January</v>
      </c>
      <c r="V227" s="9">
        <v>0</v>
      </c>
      <c r="W227" s="9">
        <v>0</v>
      </c>
      <c r="X227" s="9">
        <v>0</v>
      </c>
      <c r="Y227" s="9" t="str">
        <v>27/1/2025</v>
      </c>
    </row>
    <row r="228" spans="1:25">
      <c r="A228" s="9">
        <v>0</v>
      </c>
      <c r="B228" s="9">
        <v>0</v>
      </c>
      <c r="C228" s="9" t="str">
        <v xml:space="preserve">Hindustan Aeronautics LTD </v>
      </c>
      <c r="D228" s="9" t="str">
        <v>Bangalore</v>
      </c>
      <c r="E228" s="9" t="str">
        <v>ED</v>
      </c>
      <c r="F228" s="9" t="str">
        <v>Ravi Madha</v>
      </c>
      <c r="G228" s="9">
        <v>9972356437</v>
      </c>
      <c r="H228" s="9" t="str">
        <v>ravi.madhav@hal-india.com</v>
      </c>
      <c r="I228" s="9" t="str">
        <v>16000085/002</v>
      </c>
      <c r="J228" s="9" t="str">
        <v>Contract</v>
      </c>
      <c r="K228" s="9" t="str">
        <v>No</v>
      </c>
      <c r="L228" s="9" t="str">
        <v>KXIND/GA/MC122020</v>
      </c>
      <c r="M228" s="9" t="str">
        <v>28-07-2022</v>
      </c>
      <c r="N228" s="9">
        <v>85000</v>
      </c>
      <c r="O228" s="9" t="str">
        <v>January</v>
      </c>
      <c r="P228" s="9" t="str">
        <v>January</v>
      </c>
      <c r="Q228" s="9">
        <v>1</v>
      </c>
      <c r="R228" s="9">
        <v>16882358</v>
      </c>
      <c r="S228" s="9" t="str">
        <v>31-10-2022</v>
      </c>
      <c r="T228" s="9">
        <v>85000</v>
      </c>
      <c r="U228" s="9" t="str">
        <v>January</v>
      </c>
      <c r="V228" s="9">
        <v>0</v>
      </c>
      <c r="W228" s="9">
        <v>0</v>
      </c>
      <c r="X228" s="9">
        <v>0</v>
      </c>
      <c r="Y228" s="9" t="str">
        <v>31/1/2025</v>
      </c>
    </row>
    <row r="229" spans="1:25">
      <c r="A229" s="9">
        <v>0</v>
      </c>
      <c r="B229" s="9">
        <v>0</v>
      </c>
      <c r="C229" s="9" t="str">
        <v xml:space="preserve">Hindustan Aeronautics LTD </v>
      </c>
      <c r="D229" s="9" t="str">
        <v>Bangalore</v>
      </c>
      <c r="E229" s="9" t="str">
        <v>ED</v>
      </c>
      <c r="F229" s="9" t="str">
        <v>Ravi Madha</v>
      </c>
      <c r="G229" s="9">
        <v>9972356437</v>
      </c>
      <c r="H229" s="9" t="str">
        <v>ravi.madhav@hal-india.com</v>
      </c>
      <c r="I229" s="9" t="str">
        <v>16000085/005</v>
      </c>
      <c r="J229" s="9" t="str">
        <v>Contract</v>
      </c>
      <c r="K229" s="9" t="str">
        <v>No</v>
      </c>
      <c r="L229" s="9" t="str">
        <v>KXIND/GA/MC122020</v>
      </c>
      <c r="M229" s="9" t="str">
        <v>28-07-2022</v>
      </c>
      <c r="N229" s="9">
        <v>85000</v>
      </c>
      <c r="O229" s="9" t="str">
        <v>January</v>
      </c>
      <c r="P229" s="9" t="str">
        <v>January</v>
      </c>
      <c r="Q229" s="9">
        <v>1</v>
      </c>
      <c r="R229" s="9">
        <v>16882358</v>
      </c>
      <c r="S229" s="9" t="str">
        <v>31-10-2022</v>
      </c>
      <c r="T229" s="9">
        <v>85000</v>
      </c>
      <c r="U229" s="9" t="str">
        <v>January</v>
      </c>
      <c r="V229" s="9">
        <v>0</v>
      </c>
      <c r="W229" s="9">
        <v>0</v>
      </c>
      <c r="X229" s="9">
        <v>0</v>
      </c>
      <c r="Y229" s="9" t="str">
        <v>31/1/2025</v>
      </c>
    </row>
    <row r="230" spans="1:25">
      <c r="A230" s="9">
        <v>0</v>
      </c>
      <c r="B230" s="9">
        <v>0</v>
      </c>
      <c r="C230" s="9" t="str">
        <v xml:space="preserve">Hindustan Aeronautics LTD </v>
      </c>
      <c r="D230" s="9" t="str">
        <v>Bangalore</v>
      </c>
      <c r="E230" s="9" t="str">
        <v>ED</v>
      </c>
      <c r="F230" s="9" t="str">
        <v>Ravi Madha</v>
      </c>
      <c r="G230" s="9">
        <v>9972356437</v>
      </c>
      <c r="H230" s="9" t="str">
        <v>ravi.madhav@hal-india.com</v>
      </c>
      <c r="I230" s="9" t="str">
        <v>16000085/004</v>
      </c>
      <c r="J230" s="9" t="str">
        <v>Contract</v>
      </c>
      <c r="K230" s="9" t="str">
        <v>No</v>
      </c>
      <c r="L230" s="9" t="str">
        <v>KXIND/GA/MC122020</v>
      </c>
      <c r="M230" s="9" t="str">
        <v>28-07-2022</v>
      </c>
      <c r="N230" s="9">
        <v>85000</v>
      </c>
      <c r="O230" s="9" t="str">
        <v>January</v>
      </c>
      <c r="P230" s="9" t="str">
        <v>January</v>
      </c>
      <c r="Q230" s="9">
        <v>1</v>
      </c>
      <c r="R230" s="9">
        <v>16882358</v>
      </c>
      <c r="S230" s="9" t="str">
        <v>31-10-2022</v>
      </c>
      <c r="T230" s="9">
        <v>85000</v>
      </c>
      <c r="U230" s="9" t="str">
        <v>January</v>
      </c>
      <c r="V230" s="9">
        <v>0</v>
      </c>
      <c r="W230" s="9">
        <v>0</v>
      </c>
      <c r="X230" s="9">
        <v>0</v>
      </c>
      <c r="Y230" s="9" t="str">
        <v>31/1/2025</v>
      </c>
    </row>
    <row r="231" spans="1:25">
      <c r="A231" s="9">
        <v>0</v>
      </c>
      <c r="B231" s="9">
        <v>0</v>
      </c>
      <c r="C231" s="9" t="str">
        <v xml:space="preserve">Hindustan Aeronautics LTD </v>
      </c>
      <c r="D231" s="9" t="str">
        <v>Bangalore</v>
      </c>
      <c r="E231" s="9" t="str">
        <v>ED</v>
      </c>
      <c r="F231" s="9" t="str">
        <v>Ravi Madha</v>
      </c>
      <c r="G231" s="9">
        <v>9972356437</v>
      </c>
      <c r="H231" s="9" t="str">
        <v>ravi.madhav@hal-india.com</v>
      </c>
      <c r="I231" s="9" t="str">
        <v>16000085/001</v>
      </c>
      <c r="J231" s="9" t="str">
        <v>Contract</v>
      </c>
      <c r="K231" s="9" t="str">
        <v>No</v>
      </c>
      <c r="L231" s="9" t="str">
        <v>KXIND/GA/MC122020</v>
      </c>
      <c r="M231" s="9" t="str">
        <v>28-07-2022</v>
      </c>
      <c r="N231" s="9">
        <v>85000</v>
      </c>
      <c r="O231" s="9" t="str">
        <v>January</v>
      </c>
      <c r="P231" s="9" t="str">
        <v>January</v>
      </c>
      <c r="Q231" s="9">
        <v>1</v>
      </c>
      <c r="R231" s="9">
        <v>16882358</v>
      </c>
      <c r="S231" s="9" t="str">
        <v>31-10-2022</v>
      </c>
      <c r="T231" s="9">
        <v>85000</v>
      </c>
      <c r="U231" s="9" t="str">
        <v>January</v>
      </c>
      <c r="V231" s="9">
        <v>0</v>
      </c>
      <c r="W231" s="9">
        <v>0</v>
      </c>
      <c r="X231" s="9">
        <v>0</v>
      </c>
      <c r="Y231" s="9" t="str">
        <v>31/1/2025</v>
      </c>
    </row>
    <row r="232" spans="1:25">
      <c r="A232" s="9">
        <v>0</v>
      </c>
      <c r="B232" s="9">
        <v>0</v>
      </c>
      <c r="C232" s="9" t="str">
        <v xml:space="preserve">Hindustan Aeronautics LTD </v>
      </c>
      <c r="D232" s="9" t="str">
        <v>Bangalore</v>
      </c>
      <c r="E232" s="9" t="str">
        <v>ED</v>
      </c>
      <c r="F232" s="9" t="str">
        <v>Ravi Madha</v>
      </c>
      <c r="G232" s="9">
        <v>9972356437</v>
      </c>
      <c r="H232" s="9" t="str">
        <v>ravi.madhav@hal-india.com</v>
      </c>
      <c r="I232" s="9" t="str">
        <v>16000084/001</v>
      </c>
      <c r="J232" s="9" t="str">
        <v>Contract</v>
      </c>
      <c r="K232" s="9" t="str">
        <v>No</v>
      </c>
      <c r="L232" s="9" t="str">
        <v>KXIND/GA/MC122020</v>
      </c>
      <c r="M232" s="9" t="str">
        <v>28-07-2022</v>
      </c>
      <c r="N232" s="9">
        <v>85000</v>
      </c>
      <c r="O232" s="9" t="str">
        <v>January</v>
      </c>
      <c r="P232" s="9" t="str">
        <v>January</v>
      </c>
      <c r="Q232" s="9">
        <v>1</v>
      </c>
      <c r="R232" s="9">
        <v>16882358</v>
      </c>
      <c r="S232" s="9" t="str">
        <v>31-10-2022</v>
      </c>
      <c r="T232" s="9">
        <v>85000</v>
      </c>
      <c r="U232" s="9" t="str">
        <v>January</v>
      </c>
      <c r="V232" s="9">
        <v>0</v>
      </c>
      <c r="W232" s="9">
        <v>0</v>
      </c>
      <c r="X232" s="9">
        <v>0</v>
      </c>
      <c r="Y232" s="9" t="str">
        <v>31/1/2025</v>
      </c>
    </row>
    <row r="233" spans="1:25">
      <c r="A233" s="9">
        <v>0</v>
      </c>
      <c r="B233" s="9">
        <v>0</v>
      </c>
      <c r="C233" s="9" t="str">
        <v xml:space="preserve">Hindustan Aeronautics LTD </v>
      </c>
      <c r="D233" s="9" t="str">
        <v>Bangalore</v>
      </c>
      <c r="E233" s="9" t="str">
        <v>ED</v>
      </c>
      <c r="F233" s="9" t="str">
        <v>Ravi Madha</v>
      </c>
      <c r="G233" s="9">
        <v>9972356437</v>
      </c>
      <c r="H233" s="9" t="str">
        <v>ravi.madhav@hal-india.com</v>
      </c>
      <c r="I233" s="9" t="str">
        <v>16000085/003</v>
      </c>
      <c r="J233" s="9" t="str">
        <v>Contract</v>
      </c>
      <c r="K233" s="9" t="str">
        <v>No</v>
      </c>
      <c r="L233" s="9" t="str">
        <v>KXIND/GA/MC122020</v>
      </c>
      <c r="M233" s="9" t="str">
        <v>28-07-2022</v>
      </c>
      <c r="N233" s="9">
        <v>85000</v>
      </c>
      <c r="O233" s="9" t="str">
        <v>January</v>
      </c>
      <c r="P233" s="9" t="str">
        <v>January</v>
      </c>
      <c r="Q233" s="9">
        <v>1</v>
      </c>
      <c r="R233" s="9">
        <v>16882358</v>
      </c>
      <c r="S233" s="9" t="str">
        <v>31-10-2022</v>
      </c>
      <c r="T233" s="9">
        <v>85000</v>
      </c>
      <c r="U233" s="9" t="str">
        <v>January</v>
      </c>
      <c r="V233" s="9">
        <v>0</v>
      </c>
      <c r="W233" s="9">
        <v>0</v>
      </c>
      <c r="X233" s="9">
        <v>0</v>
      </c>
      <c r="Y233" s="9" t="str">
        <v>31/1/2025</v>
      </c>
    </row>
    <row r="234" spans="1:25">
      <c r="A234" s="9">
        <v>0</v>
      </c>
      <c r="B234" s="9">
        <v>0</v>
      </c>
      <c r="C234" s="9" t="str">
        <v xml:space="preserve">Hindustan Aeronautics LTD </v>
      </c>
      <c r="D234" s="9" t="str">
        <v>Bangalore</v>
      </c>
      <c r="E234" s="9" t="str">
        <v>ED</v>
      </c>
      <c r="F234" s="9" t="str">
        <v>Ravi Madha</v>
      </c>
      <c r="G234" s="9">
        <v>9972356437</v>
      </c>
      <c r="H234" s="9" t="str">
        <v>ravi.madhav@hal-india.com</v>
      </c>
      <c r="I234" s="9" t="str">
        <v>16000086/001</v>
      </c>
      <c r="J234" s="9" t="str">
        <v>Contract</v>
      </c>
      <c r="K234" s="9" t="str">
        <v>No</v>
      </c>
      <c r="L234" s="9" t="str">
        <v>KXIND/GA/MC122020</v>
      </c>
      <c r="M234" s="9" t="str">
        <v>28-07-2022</v>
      </c>
      <c r="N234" s="9">
        <v>85000</v>
      </c>
      <c r="O234" s="9" t="str">
        <v>January</v>
      </c>
      <c r="P234" s="9" t="str">
        <v>January</v>
      </c>
      <c r="Q234" s="9">
        <v>1</v>
      </c>
      <c r="R234" s="9">
        <v>16882358</v>
      </c>
      <c r="S234" s="9" t="str">
        <v>31-10-2022</v>
      </c>
      <c r="T234" s="9">
        <v>85000</v>
      </c>
      <c r="U234" s="9" t="str">
        <v>January</v>
      </c>
      <c r="V234" s="9">
        <v>0</v>
      </c>
      <c r="W234" s="9">
        <v>0</v>
      </c>
      <c r="X234" s="9">
        <v>0</v>
      </c>
      <c r="Y234" s="9" t="str">
        <v>31/1/2025</v>
      </c>
    </row>
    <row r="235" spans="1:25">
      <c r="A235" s="9">
        <v>0</v>
      </c>
      <c r="B235" s="9">
        <v>0</v>
      </c>
      <c r="C235" s="9" t="str">
        <v>Tata Hitachi Construction Machinery Company Limited (THCM)</v>
      </c>
      <c r="D235" s="9" t="str">
        <v>DHARAWAD</v>
      </c>
      <c r="E235" s="9" t="str">
        <v>maint</v>
      </c>
      <c r="F235" s="9" t="str">
        <v>Simon.kishore</v>
      </c>
      <c r="G235" s="9">
        <v>8824185860</v>
      </c>
      <c r="H235" s="9" t="str">
        <v>Simon.kishore@tatahitachi.co.in</v>
      </c>
      <c r="I235" s="9" t="str">
        <v>08007007/001</v>
      </c>
      <c r="J235" s="9" t="str">
        <v>Contract</v>
      </c>
      <c r="K235" s="9" t="str">
        <v>No</v>
      </c>
      <c r="L235" s="9" t="str">
        <v>KXIND/S/GA/MC/25027</v>
      </c>
      <c r="M235" s="9" t="str">
        <v>28/08/2025</v>
      </c>
      <c r="N235" s="9">
        <v>88200</v>
      </c>
      <c r="O235" s="9" t="str">
        <v>August</v>
      </c>
      <c r="P235" s="9" t="str">
        <v>November</v>
      </c>
      <c r="Q235" s="9">
        <v>1</v>
      </c>
      <c r="R235" s="9">
        <v>2800095345</v>
      </c>
      <c r="S235" s="9" t="str">
        <v>17/10/2025</v>
      </c>
      <c r="T235" s="9">
        <v>86436</v>
      </c>
      <c r="U235" s="9" t="str">
        <v>November</v>
      </c>
      <c r="V235" s="9">
        <v>0</v>
      </c>
      <c r="W235" s="9">
        <v>0</v>
      </c>
      <c r="X235" s="9">
        <v>0</v>
      </c>
      <c r="Y235" s="9">
        <v>0</v>
      </c>
    </row>
    <row r="236" spans="1:25">
      <c r="A236" s="9">
        <v>0</v>
      </c>
      <c r="B236" s="9">
        <v>0</v>
      </c>
      <c r="C236" s="9" t="str">
        <v>Honda Motorcycle and Scooter India Pvt. Ltd</v>
      </c>
      <c r="D236" s="9" t="str">
        <v>Kolar</v>
      </c>
      <c r="E236" s="9" t="str">
        <v>MS</v>
      </c>
      <c r="F236" s="9" t="str">
        <v>Shashi Kumar. S</v>
      </c>
      <c r="G236" s="9">
        <v>9289053639</v>
      </c>
      <c r="H236" s="9" t="str">
        <v>shashikumar.s@honda2wheelersindia.com</v>
      </c>
      <c r="I236" s="9" t="str">
        <v>17008071/002</v>
      </c>
      <c r="J236" s="9" t="str">
        <v>Contract</v>
      </c>
      <c r="K236" s="9" t="str">
        <v>No</v>
      </c>
      <c r="L236" s="9" t="str">
        <v>KXIND/S/GA/MC/24041</v>
      </c>
      <c r="M236" s="9" t="str">
        <v>21/10/2024</v>
      </c>
      <c r="N236" s="9">
        <v>89000</v>
      </c>
      <c r="O236" s="9" t="str">
        <v>January</v>
      </c>
      <c r="P236" s="9" t="str">
        <v>May</v>
      </c>
      <c r="Q236" s="9">
        <v>1</v>
      </c>
      <c r="R236" s="9" t="str">
        <v>NSPR/6000081796</v>
      </c>
      <c r="S236" s="9" t="str">
        <v>26/04/2025</v>
      </c>
      <c r="T236" s="9">
        <v>89000</v>
      </c>
      <c r="U236" s="9" t="str">
        <v>May</v>
      </c>
      <c r="V236" s="9">
        <v>0</v>
      </c>
      <c r="W236" s="9" t="str">
        <v>October, bought forward back log from 2024</v>
      </c>
      <c r="X236" s="9">
        <v>0</v>
      </c>
      <c r="Y236" s="9">
        <v>0</v>
      </c>
    </row>
    <row r="237" spans="1:25">
      <c r="A237" s="9">
        <v>0</v>
      </c>
      <c r="B237" s="9">
        <v>0</v>
      </c>
      <c r="C237" s="9" t="str">
        <v>Honda Motorcycle and Scooter India Pvt. Ltd</v>
      </c>
      <c r="D237" s="9" t="str">
        <v>Kolar</v>
      </c>
      <c r="E237" s="9" t="str">
        <v>FB</v>
      </c>
      <c r="F237" s="9" t="str">
        <v>Rakesh M</v>
      </c>
      <c r="G237" s="9">
        <v>9108482032</v>
      </c>
      <c r="H237" s="9" t="str">
        <v>rakesh.m@honda.hmsi.in</v>
      </c>
      <c r="I237" s="9" t="str">
        <v>17005335/002</v>
      </c>
      <c r="J237" s="9" t="str">
        <v>Contract</v>
      </c>
      <c r="K237" s="9" t="str">
        <v>No</v>
      </c>
      <c r="L237" s="9" t="str">
        <v>KXIND/S/GA/MC/25_008</v>
      </c>
      <c r="M237" s="9" t="str">
        <v>20/02/2025</v>
      </c>
      <c r="N237" s="9">
        <v>89000</v>
      </c>
      <c r="O237" s="9" t="str">
        <v>February</v>
      </c>
      <c r="P237" s="9" t="str">
        <v>May</v>
      </c>
      <c r="Q237" s="9">
        <v>1</v>
      </c>
      <c r="R237" s="9" t="str">
        <v>NSPR/6000081858</v>
      </c>
      <c r="S237" s="9" t="str">
        <v>30.04.2025</v>
      </c>
      <c r="T237" s="9">
        <v>89000</v>
      </c>
      <c r="U237" s="9" t="str">
        <v>May</v>
      </c>
      <c r="V237" s="9">
        <v>0</v>
      </c>
      <c r="W237" s="9">
        <v>0</v>
      </c>
      <c r="X237" s="9">
        <v>0</v>
      </c>
      <c r="Y237" s="9">
        <v>0</v>
      </c>
    </row>
    <row r="238" spans="1:25">
      <c r="A238" s="9">
        <v>0</v>
      </c>
      <c r="B238" s="9">
        <v>0</v>
      </c>
      <c r="C238" s="9" t="str">
        <v>Honda Motorcycle and Scooter India Pvt. Ltd</v>
      </c>
      <c r="D238" s="9" t="str">
        <v>Kolar</v>
      </c>
      <c r="E238" s="9" t="str">
        <v>MS</v>
      </c>
      <c r="F238" s="9" t="str">
        <v>Shashi Kumar. S</v>
      </c>
      <c r="G238" s="9">
        <v>9289053639</v>
      </c>
      <c r="H238" s="9" t="str">
        <v>shashikumar.s@honda2wheelersindia.com</v>
      </c>
      <c r="I238" s="9" t="str">
        <v>17008071/004</v>
      </c>
      <c r="J238" s="9" t="str">
        <v>Contract</v>
      </c>
      <c r="K238" s="9" t="str">
        <v>No</v>
      </c>
      <c r="L238" s="9" t="str">
        <v>KXIND/S/GA/MC/24022</v>
      </c>
      <c r="M238" s="9">
        <v>45329</v>
      </c>
      <c r="N238" s="9">
        <v>89000</v>
      </c>
      <c r="O238" s="9" t="str">
        <v>January</v>
      </c>
      <c r="P238" s="9" t="str">
        <v>May</v>
      </c>
      <c r="Q238" s="9">
        <v>1</v>
      </c>
      <c r="R238" s="9" t="str">
        <v>NSPR/6000081949</v>
      </c>
      <c r="S238" s="9" t="str">
        <v>02.05.2025</v>
      </c>
      <c r="T238" s="9">
        <v>89000</v>
      </c>
      <c r="U238" s="9" t="str">
        <v>May</v>
      </c>
      <c r="V238" s="9">
        <v>0</v>
      </c>
      <c r="W238" s="9" t="str">
        <v>December, bought forward back log from 2024</v>
      </c>
      <c r="X238" s="9">
        <v>0</v>
      </c>
      <c r="Y238" s="9">
        <v>0</v>
      </c>
    </row>
    <row r="239" spans="1:25">
      <c r="A239" s="9">
        <v>0</v>
      </c>
      <c r="B239" s="9">
        <v>0</v>
      </c>
      <c r="C239" s="9" t="str">
        <v>Honda Motorcycle and Scooter India Pvt. Ltd</v>
      </c>
      <c r="D239" s="9" t="str">
        <v>Kolar</v>
      </c>
      <c r="E239" s="9" t="str">
        <v>Line 4</v>
      </c>
      <c r="F239" s="9" t="str">
        <v>Shivaram MV</v>
      </c>
      <c r="G239" s="9">
        <v>9902311047</v>
      </c>
      <c r="H239" s="9" t="str">
        <v>Shivaram.V@honda.hmsi.in</v>
      </c>
      <c r="I239" s="9" t="str">
        <v>17005335/01</v>
      </c>
      <c r="J239" s="9" t="str">
        <v>Contract</v>
      </c>
      <c r="K239" s="9" t="str">
        <v>No</v>
      </c>
      <c r="L239" s="9" t="str">
        <v>KXIND/S/AMC/GR24-011</v>
      </c>
      <c r="M239" s="9">
        <v>45325</v>
      </c>
      <c r="N239" s="9">
        <v>89000</v>
      </c>
      <c r="O239" s="9" t="str">
        <v>January</v>
      </c>
      <c r="P239" s="9" t="str">
        <v>June</v>
      </c>
      <c r="Q239" s="9">
        <v>0.9</v>
      </c>
      <c r="R239" s="9" t="str">
        <v>NSPR/6000082589</v>
      </c>
      <c r="S239" s="9" t="str">
        <v>29.05.2025</v>
      </c>
      <c r="T239" s="9">
        <v>89000</v>
      </c>
      <c r="U239" s="9" t="str">
        <v>November</v>
      </c>
      <c r="V239" s="9">
        <v>0</v>
      </c>
      <c r="W239" s="9" t="str">
        <v>December, bought forward back log from 2024</v>
      </c>
      <c r="X239" s="9">
        <v>0</v>
      </c>
      <c r="Y239" s="9">
        <v>0</v>
      </c>
    </row>
    <row r="240" spans="1:25">
      <c r="A240" s="9">
        <v>0</v>
      </c>
      <c r="B240" s="9">
        <v>0</v>
      </c>
      <c r="C240" s="9" t="str">
        <v>Honda Motorcycle and Scooter India Pvt. Ltd</v>
      </c>
      <c r="D240" s="9" t="str">
        <v>Kolar</v>
      </c>
      <c r="E240" s="9" t="str">
        <v>Line 4</v>
      </c>
      <c r="F240" s="9" t="str">
        <v>Shivaram MV</v>
      </c>
      <c r="G240" s="9">
        <v>9902311047</v>
      </c>
      <c r="H240" s="9" t="str">
        <v>Shivaram.V@honda.hmsi.in</v>
      </c>
      <c r="I240" s="9" t="str">
        <v>17002414/002</v>
      </c>
      <c r="J240" s="9" t="str">
        <v>Contract</v>
      </c>
      <c r="K240" s="9" t="str">
        <v>No</v>
      </c>
      <c r="L240" s="9" t="str">
        <v>Repet Order</v>
      </c>
      <c r="M240" s="9">
        <v>0</v>
      </c>
      <c r="N240" s="9">
        <v>89000</v>
      </c>
      <c r="O240" s="9" t="str">
        <v>August</v>
      </c>
      <c r="P240" s="9" t="str">
        <v>August</v>
      </c>
      <c r="Q240" s="9">
        <v>1</v>
      </c>
      <c r="R240" s="9" t="str">
        <v>NSPR/6000083834</v>
      </c>
      <c r="S240" s="9">
        <v>45873</v>
      </c>
      <c r="T240" s="9">
        <v>89000</v>
      </c>
      <c r="U240" s="9" t="str">
        <v>November</v>
      </c>
      <c r="V240" s="9">
        <v>0</v>
      </c>
      <c r="W240" s="9">
        <v>0</v>
      </c>
      <c r="X240" s="9">
        <v>0</v>
      </c>
      <c r="Y240" s="9">
        <v>0</v>
      </c>
    </row>
    <row r="241" spans="1:25">
      <c r="A241" s="9">
        <v>0</v>
      </c>
      <c r="B241" s="9">
        <v>0</v>
      </c>
      <c r="C241" s="9" t="str">
        <v>GPV Lanka Pvt Ltd</v>
      </c>
      <c r="D241" s="9" t="str">
        <v>Srilanka</v>
      </c>
      <c r="E241" s="9" t="str">
        <v>Maint</v>
      </c>
      <c r="F241" s="9" t="str">
        <v>Gaston Delicious</v>
      </c>
      <c r="G241" s="9" t="str">
        <v>+94 772 765 628</v>
      </c>
      <c r="H241" s="9" t="str">
        <v>Gaston.Delicious@gpv-group.com</v>
      </c>
      <c r="I241" s="9" t="str">
        <v>00002380/001</v>
      </c>
      <c r="J241" s="9" t="str">
        <v>Contract</v>
      </c>
      <c r="K241" s="9" t="str">
        <v>Yes</v>
      </c>
      <c r="L241" s="9" t="str">
        <v>KXIND/S/GA/MC/24043</v>
      </c>
      <c r="M241" s="9" t="str">
        <v>19/11/2024</v>
      </c>
      <c r="N241" s="9">
        <v>94500</v>
      </c>
      <c r="O241" s="9" t="str">
        <v>January</v>
      </c>
      <c r="P241" s="9" t="str">
        <v>January</v>
      </c>
      <c r="Q241" s="9">
        <v>0.9</v>
      </c>
      <c r="R241" s="9" t="str">
        <v>P25-000189</v>
      </c>
      <c r="S241" s="9">
        <v>45664</v>
      </c>
      <c r="T241" s="9">
        <v>94500</v>
      </c>
      <c r="U241" s="9" t="str">
        <v>January</v>
      </c>
      <c r="V241" s="9">
        <v>0</v>
      </c>
      <c r="W241" s="9">
        <v>0</v>
      </c>
      <c r="X241" s="9">
        <v>0</v>
      </c>
      <c r="Y241" s="9">
        <v>0</v>
      </c>
    </row>
    <row r="242" spans="1:25">
      <c r="A242" s="9">
        <v>0</v>
      </c>
      <c r="B242" s="9">
        <v>0</v>
      </c>
      <c r="C242" s="9" t="str">
        <v>GPV Lanka Pvt Ltd</v>
      </c>
      <c r="D242" s="9" t="str">
        <v>Srilanka</v>
      </c>
      <c r="E242" s="9" t="str">
        <v>Maint</v>
      </c>
      <c r="F242" s="9" t="str">
        <v>Gaston Delicious</v>
      </c>
      <c r="G242" s="9" t="str">
        <v>+94 772 765 628</v>
      </c>
      <c r="H242" s="9" t="str">
        <v>Gaston.Delicious@gpv-group.com</v>
      </c>
      <c r="I242" s="9" t="str">
        <v>22008750/001</v>
      </c>
      <c r="J242" s="9" t="str">
        <v>Contract</v>
      </c>
      <c r="K242" s="9" t="str">
        <v>Yes</v>
      </c>
      <c r="L242" s="9" t="str">
        <v>KXIND/S/GA/MC/24043</v>
      </c>
      <c r="M242" s="9" t="str">
        <v>19/11/2024</v>
      </c>
      <c r="N242" s="9">
        <v>94500</v>
      </c>
      <c r="O242" s="9" t="str">
        <v>January</v>
      </c>
      <c r="P242" s="9" t="str">
        <v>January</v>
      </c>
      <c r="Q242" s="9">
        <v>0.9</v>
      </c>
      <c r="R242" s="9" t="str">
        <v>P25-000189</v>
      </c>
      <c r="S242" s="9">
        <v>45664</v>
      </c>
      <c r="T242" s="9">
        <v>94500</v>
      </c>
      <c r="U242" s="9" t="str">
        <v>January</v>
      </c>
      <c r="V242" s="9">
        <v>0</v>
      </c>
      <c r="W242" s="9">
        <v>0</v>
      </c>
      <c r="X242" s="9">
        <v>0</v>
      </c>
      <c r="Y242" s="9">
        <v>0</v>
      </c>
    </row>
    <row r="243" spans="1:25">
      <c r="A243" s="9">
        <v>0</v>
      </c>
      <c r="B243" s="9">
        <v>0</v>
      </c>
      <c r="C243" s="9" t="str">
        <v>GPV Lanka Pvt Ltd</v>
      </c>
      <c r="D243" s="9" t="str">
        <v>Srilanka</v>
      </c>
      <c r="E243" s="9" t="str">
        <v>Maint</v>
      </c>
      <c r="F243" s="9" t="str">
        <v>Gaston Delicious</v>
      </c>
      <c r="G243" s="9" t="str">
        <v>+94 772 765 628</v>
      </c>
      <c r="H243" s="9" t="str">
        <v>Gaston.Delicious@gpv-group.com</v>
      </c>
      <c r="I243" s="9" t="str">
        <v>22008750/002</v>
      </c>
      <c r="J243" s="9" t="str">
        <v>Contract</v>
      </c>
      <c r="K243" s="9" t="str">
        <v>Yes</v>
      </c>
      <c r="L243" s="9" t="str">
        <v>KXIND/S/GA/MC/24043</v>
      </c>
      <c r="M243" s="9" t="str">
        <v>19/11/2024</v>
      </c>
      <c r="N243" s="9">
        <v>94500</v>
      </c>
      <c r="O243" s="9" t="str">
        <v>January</v>
      </c>
      <c r="P243" s="9" t="str">
        <v>January</v>
      </c>
      <c r="Q243" s="9">
        <v>0.9</v>
      </c>
      <c r="R243" s="9" t="str">
        <v>P25-000189</v>
      </c>
      <c r="S243" s="9">
        <v>45664</v>
      </c>
      <c r="T243" s="9">
        <v>94500</v>
      </c>
      <c r="U243" s="9" t="str">
        <v>January</v>
      </c>
      <c r="V243" s="9">
        <v>0</v>
      </c>
      <c r="W243" s="9">
        <v>0</v>
      </c>
      <c r="X243" s="9">
        <v>0</v>
      </c>
      <c r="Y243" s="9">
        <v>0</v>
      </c>
    </row>
    <row r="244" spans="1:25">
      <c r="A244" s="9">
        <v>0</v>
      </c>
      <c r="B244" s="9">
        <v>0</v>
      </c>
      <c r="C244" s="9" t="str">
        <v>Titan Enginnering and Automation Ltd</v>
      </c>
      <c r="D244" s="9" t="str">
        <v>HOSUR</v>
      </c>
      <c r="E244" s="9" t="str">
        <v xml:space="preserve">Unit 2 </v>
      </c>
      <c r="F244" s="9" t="str">
        <v>Satheesh V</v>
      </c>
      <c r="G244" s="9">
        <v>9597085079</v>
      </c>
      <c r="H244" s="9" t="str">
        <v>satheeshv@titan.co.in</v>
      </c>
      <c r="I244" s="9" t="str">
        <v>20000458/001</v>
      </c>
      <c r="J244" s="9" t="str">
        <v>Contract</v>
      </c>
      <c r="K244" s="9" t="str">
        <v>No</v>
      </c>
      <c r="L244" s="9" t="str">
        <v>KXIND/S/AMC/GR24-013</v>
      </c>
      <c r="M244" s="9">
        <v>45325</v>
      </c>
      <c r="N244" s="9">
        <v>95001</v>
      </c>
      <c r="O244" s="9" t="str">
        <v>January</v>
      </c>
      <c r="P244" s="9" t="str">
        <v>May</v>
      </c>
      <c r="Q244" s="9">
        <v>1</v>
      </c>
      <c r="R244" s="9">
        <v>401186595</v>
      </c>
      <c r="S244" s="9">
        <v>45446</v>
      </c>
      <c r="T244" s="9">
        <v>95001</v>
      </c>
      <c r="U244" s="9" t="str">
        <v>May</v>
      </c>
      <c r="V244" s="9">
        <v>0</v>
      </c>
      <c r="W244" s="9">
        <v>0</v>
      </c>
      <c r="X244" s="9">
        <v>0</v>
      </c>
      <c r="Y244" s="9">
        <v>0</v>
      </c>
    </row>
    <row r="245" spans="1:25">
      <c r="A245" s="9">
        <v>0</v>
      </c>
      <c r="B245" s="9">
        <v>0</v>
      </c>
      <c r="C245" s="9" t="str">
        <v xml:space="preserve">Hindustan Aeronautics LTD </v>
      </c>
      <c r="D245" s="9" t="str">
        <v>Bangalore</v>
      </c>
      <c r="E245" s="9" t="str">
        <v>ED</v>
      </c>
      <c r="F245" s="9" t="str">
        <v>Ravi Madha</v>
      </c>
      <c r="G245" s="9">
        <v>9972356437</v>
      </c>
      <c r="H245" s="9" t="str">
        <v>ravi.madhav@hal-india.com</v>
      </c>
      <c r="I245" s="9" t="str">
        <v>16000085/002</v>
      </c>
      <c r="J245" s="9" t="str">
        <v>Contract</v>
      </c>
      <c r="K245" s="9" t="str">
        <v>No</v>
      </c>
      <c r="L245" s="9" t="str">
        <v>KXIND/S/GA/MC/250046</v>
      </c>
      <c r="M245" s="9">
        <v>45933</v>
      </c>
      <c r="N245" s="9">
        <v>95500</v>
      </c>
      <c r="O245" s="9" t="str">
        <v>October</v>
      </c>
      <c r="P245" s="9" t="str">
        <v>December</v>
      </c>
      <c r="Q245" s="9">
        <v>0.9</v>
      </c>
      <c r="R245" s="9">
        <v>0</v>
      </c>
      <c r="S245" s="9">
        <v>0</v>
      </c>
      <c r="T245" s="9">
        <v>0</v>
      </c>
      <c r="U245" s="9" t="str">
        <v>November</v>
      </c>
      <c r="V245" s="9">
        <v>95500</v>
      </c>
      <c r="W245" s="9">
        <v>0</v>
      </c>
      <c r="X245" s="9">
        <v>0</v>
      </c>
      <c r="Y245" s="9">
        <v>0</v>
      </c>
    </row>
    <row r="246" spans="1:25">
      <c r="A246" s="9">
        <v>0</v>
      </c>
      <c r="B246" s="9">
        <v>0</v>
      </c>
      <c r="C246" s="9" t="str">
        <v xml:space="preserve">Hindustan Aeronautics LTD </v>
      </c>
      <c r="D246" s="9" t="str">
        <v>Bangalore</v>
      </c>
      <c r="E246" s="9" t="str">
        <v>ED</v>
      </c>
      <c r="F246" s="9" t="str">
        <v>Ravi Madha</v>
      </c>
      <c r="G246" s="9">
        <v>9972356437</v>
      </c>
      <c r="H246" s="9" t="str">
        <v>ravi.madhav@hal-india.com</v>
      </c>
      <c r="I246" s="9" t="str">
        <v>16000085/005</v>
      </c>
      <c r="J246" s="9" t="str">
        <v>Contract</v>
      </c>
      <c r="K246" s="9" t="str">
        <v>No</v>
      </c>
      <c r="L246" s="9" t="str">
        <v>KXIND/S/GA/MC/250046</v>
      </c>
      <c r="M246" s="9">
        <v>45933</v>
      </c>
      <c r="N246" s="9">
        <v>95500</v>
      </c>
      <c r="O246" s="9" t="str">
        <v>October</v>
      </c>
      <c r="P246" s="9" t="str">
        <v>December</v>
      </c>
      <c r="Q246" s="9">
        <v>0.9</v>
      </c>
      <c r="R246" s="9">
        <v>0</v>
      </c>
      <c r="S246" s="9">
        <v>0</v>
      </c>
      <c r="T246" s="9">
        <v>0</v>
      </c>
      <c r="U246" s="9" t="str">
        <v>November</v>
      </c>
      <c r="V246" s="9">
        <v>95500</v>
      </c>
      <c r="W246" s="9">
        <v>0</v>
      </c>
      <c r="X246" s="9">
        <v>0</v>
      </c>
      <c r="Y246" s="9">
        <v>0</v>
      </c>
    </row>
    <row r="247" spans="1:25">
      <c r="A247" s="9">
        <v>0</v>
      </c>
      <c r="B247" s="9">
        <v>0</v>
      </c>
      <c r="C247" s="9" t="str">
        <v xml:space="preserve">Hindustan Aeronautics LTD </v>
      </c>
      <c r="D247" s="9" t="str">
        <v>Bangalore</v>
      </c>
      <c r="E247" s="9" t="str">
        <v>ED</v>
      </c>
      <c r="F247" s="9" t="str">
        <v>Ravi Madha</v>
      </c>
      <c r="G247" s="9">
        <v>9972356437</v>
      </c>
      <c r="H247" s="9" t="str">
        <v>ravi.madhav@hal-india.com</v>
      </c>
      <c r="I247" s="9" t="str">
        <v>16000085/004</v>
      </c>
      <c r="J247" s="9" t="str">
        <v>Contract</v>
      </c>
      <c r="K247" s="9" t="str">
        <v>No</v>
      </c>
      <c r="L247" s="9" t="str">
        <v>KXIND/S/GA/MC/250046</v>
      </c>
      <c r="M247" s="9">
        <v>45933</v>
      </c>
      <c r="N247" s="9">
        <v>95500</v>
      </c>
      <c r="O247" s="9" t="str">
        <v>October</v>
      </c>
      <c r="P247" s="9" t="str">
        <v>December</v>
      </c>
      <c r="Q247" s="9">
        <v>0.9</v>
      </c>
      <c r="R247" s="9">
        <v>0</v>
      </c>
      <c r="S247" s="9">
        <v>0</v>
      </c>
      <c r="T247" s="9">
        <v>0</v>
      </c>
      <c r="U247" s="9" t="str">
        <v>November</v>
      </c>
      <c r="V247" s="9">
        <v>95500</v>
      </c>
      <c r="W247" s="9">
        <v>0</v>
      </c>
      <c r="X247" s="9">
        <v>0</v>
      </c>
      <c r="Y247" s="9">
        <v>0</v>
      </c>
    </row>
    <row r="248" spans="1:25">
      <c r="A248" s="9">
        <v>0</v>
      </c>
      <c r="B248" s="9">
        <v>0</v>
      </c>
      <c r="C248" s="9" t="str">
        <v xml:space="preserve">Hindustan Aeronautics LTD </v>
      </c>
      <c r="D248" s="9" t="str">
        <v>Bangalore</v>
      </c>
      <c r="E248" s="9" t="str">
        <v>ED</v>
      </c>
      <c r="F248" s="9" t="str">
        <v>Ravi Madha</v>
      </c>
      <c r="G248" s="9">
        <v>9972356437</v>
      </c>
      <c r="H248" s="9" t="str">
        <v>ravi.madhav@hal-india.com</v>
      </c>
      <c r="I248" s="9" t="str">
        <v>16000085/001</v>
      </c>
      <c r="J248" s="9" t="str">
        <v>Contract</v>
      </c>
      <c r="K248" s="9" t="str">
        <v>No</v>
      </c>
      <c r="L248" s="9" t="str">
        <v>KXIND/S/GA/MC/250046</v>
      </c>
      <c r="M248" s="9">
        <v>45933</v>
      </c>
      <c r="N248" s="9">
        <v>95500</v>
      </c>
      <c r="O248" s="9" t="str">
        <v>October</v>
      </c>
      <c r="P248" s="9" t="str">
        <v>December</v>
      </c>
      <c r="Q248" s="9">
        <v>0.9</v>
      </c>
      <c r="R248" s="9">
        <v>0</v>
      </c>
      <c r="S248" s="9">
        <v>0</v>
      </c>
      <c r="T248" s="9">
        <v>0</v>
      </c>
      <c r="U248" s="9" t="str">
        <v>November</v>
      </c>
      <c r="V248" s="9">
        <v>95500</v>
      </c>
      <c r="W248" s="9">
        <v>0</v>
      </c>
      <c r="X248" s="9">
        <v>0</v>
      </c>
      <c r="Y248" s="9">
        <v>0</v>
      </c>
    </row>
    <row r="249" spans="1:25">
      <c r="A249" s="9">
        <v>0</v>
      </c>
      <c r="B249" s="9">
        <v>0</v>
      </c>
      <c r="C249" s="9" t="str">
        <v xml:space="preserve">Hindustan Aeronautics LTD </v>
      </c>
      <c r="D249" s="9" t="str">
        <v>Bangalore</v>
      </c>
      <c r="E249" s="9" t="str">
        <v>ED</v>
      </c>
      <c r="F249" s="9" t="str">
        <v>Ravi Madha</v>
      </c>
      <c r="G249" s="9">
        <v>9972356437</v>
      </c>
      <c r="H249" s="9" t="str">
        <v>ravi.madhav@hal-india.com</v>
      </c>
      <c r="I249" s="9" t="str">
        <v>16000084/001</v>
      </c>
      <c r="J249" s="9" t="str">
        <v>Contract</v>
      </c>
      <c r="K249" s="9" t="str">
        <v>No</v>
      </c>
      <c r="L249" s="9" t="str">
        <v>KXIND/S/GA/MC/250046</v>
      </c>
      <c r="M249" s="9">
        <v>45933</v>
      </c>
      <c r="N249" s="9">
        <v>95500</v>
      </c>
      <c r="O249" s="9" t="str">
        <v>October</v>
      </c>
      <c r="P249" s="9" t="str">
        <v>December</v>
      </c>
      <c r="Q249" s="9">
        <v>0.9</v>
      </c>
      <c r="R249" s="9">
        <v>0</v>
      </c>
      <c r="S249" s="9">
        <v>0</v>
      </c>
      <c r="T249" s="9">
        <v>0</v>
      </c>
      <c r="U249" s="9" t="str">
        <v>November</v>
      </c>
      <c r="V249" s="9">
        <v>95500</v>
      </c>
      <c r="W249" s="9">
        <v>0</v>
      </c>
      <c r="X249" s="9">
        <v>0</v>
      </c>
      <c r="Y249" s="9">
        <v>0</v>
      </c>
    </row>
    <row r="250" spans="1:25">
      <c r="A250" s="9">
        <v>0</v>
      </c>
      <c r="B250" s="9">
        <v>0</v>
      </c>
      <c r="C250" s="9" t="str">
        <v xml:space="preserve">Hindustan Aeronautics LTD </v>
      </c>
      <c r="D250" s="9" t="str">
        <v>Bangalore</v>
      </c>
      <c r="E250" s="9" t="str">
        <v>ED</v>
      </c>
      <c r="F250" s="9" t="str">
        <v>Ravi Madha</v>
      </c>
      <c r="G250" s="9">
        <v>9972356437</v>
      </c>
      <c r="H250" s="9" t="str">
        <v>ravi.madhav@hal-india.com</v>
      </c>
      <c r="I250" s="9" t="str">
        <v>16000085/003</v>
      </c>
      <c r="J250" s="9" t="str">
        <v>Contract</v>
      </c>
      <c r="K250" s="9" t="str">
        <v>No</v>
      </c>
      <c r="L250" s="9" t="str">
        <v>KXIND/S/GA/MC/250046</v>
      </c>
      <c r="M250" s="9">
        <v>45933</v>
      </c>
      <c r="N250" s="9">
        <v>95500</v>
      </c>
      <c r="O250" s="9" t="str">
        <v>October</v>
      </c>
      <c r="P250" s="9" t="str">
        <v>December</v>
      </c>
      <c r="Q250" s="9">
        <v>0.9</v>
      </c>
      <c r="R250" s="9">
        <v>0</v>
      </c>
      <c r="S250" s="9">
        <v>0</v>
      </c>
      <c r="T250" s="9">
        <v>0</v>
      </c>
      <c r="U250" s="9" t="str">
        <v>November</v>
      </c>
      <c r="V250" s="9">
        <v>95500</v>
      </c>
      <c r="W250" s="9">
        <v>0</v>
      </c>
      <c r="X250" s="9">
        <v>0</v>
      </c>
      <c r="Y250" s="9">
        <v>0</v>
      </c>
    </row>
    <row r="251" spans="1:25">
      <c r="A251" s="9">
        <v>0</v>
      </c>
      <c r="B251" s="9">
        <v>0</v>
      </c>
      <c r="C251" s="9" t="str">
        <v xml:space="preserve">Hindustan Aeronautics LTD </v>
      </c>
      <c r="D251" s="9" t="str">
        <v>Bangalore</v>
      </c>
      <c r="E251" s="9" t="str">
        <v>ED</v>
      </c>
      <c r="F251" s="9" t="str">
        <v>Ravi Madha</v>
      </c>
      <c r="G251" s="9">
        <v>9972356437</v>
      </c>
      <c r="H251" s="9" t="str">
        <v>ravi.madhav@hal-india.com</v>
      </c>
      <c r="I251" s="9" t="str">
        <v>16000086/001</v>
      </c>
      <c r="J251" s="9" t="str">
        <v>Contract</v>
      </c>
      <c r="K251" s="9" t="str">
        <v>No</v>
      </c>
      <c r="L251" s="9" t="str">
        <v>KXIND/S/GA/MC/250046</v>
      </c>
      <c r="M251" s="9">
        <v>45933</v>
      </c>
      <c r="N251" s="9">
        <v>95500</v>
      </c>
      <c r="O251" s="9" t="str">
        <v>October</v>
      </c>
      <c r="P251" s="9" t="str">
        <v>December</v>
      </c>
      <c r="Q251" s="9">
        <v>0.9</v>
      </c>
      <c r="R251" s="9">
        <v>0</v>
      </c>
      <c r="S251" s="9">
        <v>0</v>
      </c>
      <c r="T251" s="9">
        <v>0</v>
      </c>
      <c r="U251" s="9" t="str">
        <v>November</v>
      </c>
      <c r="V251" s="9">
        <v>95500</v>
      </c>
      <c r="W251" s="9">
        <v>0</v>
      </c>
      <c r="X251" s="9">
        <v>0</v>
      </c>
      <c r="Y251" s="9">
        <v>0</v>
      </c>
    </row>
    <row r="252" spans="1:25">
      <c r="A252" s="9">
        <v>0</v>
      </c>
      <c r="B252" s="9">
        <v>0</v>
      </c>
      <c r="C252" s="9" t="str">
        <v>Rittal India Pvt Ltd</v>
      </c>
      <c r="D252" s="9" t="str">
        <v>Doddaballapura</v>
      </c>
      <c r="E252" s="9" t="str">
        <v> </v>
      </c>
      <c r="F252" s="9" t="str">
        <v>Siddegowda A G</v>
      </c>
      <c r="G252" s="9" t="str">
        <v>+91 82962 60470</v>
      </c>
      <c r="H252" s="9" t="str">
        <v>siddegowda.ag@rittal-india.com</v>
      </c>
      <c r="I252" s="9" t="str">
        <v>15003418/001</v>
      </c>
      <c r="J252" s="9" t="str">
        <v>Contract</v>
      </c>
      <c r="K252" s="9" t="str">
        <v>No</v>
      </c>
      <c r="L252" s="9" t="str">
        <v>KXIND/S/GA/MC/24039</v>
      </c>
      <c r="M252" s="9" t="str">
        <v>17/10/2024</v>
      </c>
      <c r="N252" s="9">
        <v>99500</v>
      </c>
      <c r="O252" s="9" t="str">
        <v>January</v>
      </c>
      <c r="P252" s="9" t="str">
        <v xml:space="preserve">March </v>
      </c>
      <c r="Q252" s="9">
        <v>1</v>
      </c>
      <c r="R252" s="9">
        <v>4500262958</v>
      </c>
      <c r="S252" s="9">
        <v>45964</v>
      </c>
      <c r="T252" s="9">
        <v>99500</v>
      </c>
      <c r="U252" s="9" t="str">
        <v>March</v>
      </c>
      <c r="V252" s="9">
        <v>0</v>
      </c>
      <c r="W252" s="9" t="str">
        <v>October, bought forward back log from 2024</v>
      </c>
      <c r="X252" s="9">
        <v>0</v>
      </c>
      <c r="Y252" s="9">
        <v>0</v>
      </c>
    </row>
    <row r="253" spans="1:25">
      <c r="A253" s="9">
        <v>0</v>
      </c>
      <c r="B253" s="9">
        <v>0</v>
      </c>
      <c r="C253" s="9" t="str">
        <v>Indic EMS Electronics Pvt LTD</v>
      </c>
      <c r="D253" s="9" t="str">
        <v>Bangalore</v>
      </c>
      <c r="E253" s="9" t="str">
        <v>Store</v>
      </c>
      <c r="F253" s="9" t="str">
        <v>Murulidhara K</v>
      </c>
      <c r="G253" s="9" t="str">
        <v>95385 62445</v>
      </c>
      <c r="H253" s="9" t="str">
        <v>murulidharak@indicelectronics.com</v>
      </c>
      <c r="I253" s="9" t="str">
        <v>105000217/002</v>
      </c>
      <c r="J253" s="9" t="str">
        <v>Contract</v>
      </c>
      <c r="K253" s="9" t="str">
        <v>Yes</v>
      </c>
      <c r="L253" s="9" t="str">
        <v>KXIND/S/GA/MC/250029</v>
      </c>
      <c r="M253" s="9">
        <v>45901</v>
      </c>
      <c r="N253" s="9">
        <v>100000</v>
      </c>
      <c r="O253" s="9" t="str">
        <v>September</v>
      </c>
      <c r="P253" s="9" t="str">
        <v>November</v>
      </c>
      <c r="Q253" s="9">
        <v>1</v>
      </c>
      <c r="R253" s="9">
        <v>4400000465</v>
      </c>
      <c r="S253" s="9" t="str">
        <v>13/11/2025</v>
      </c>
      <c r="T253" s="9">
        <v>100000</v>
      </c>
      <c r="U253" s="9" t="str">
        <v>November</v>
      </c>
      <c r="V253" s="9">
        <v>0</v>
      </c>
      <c r="W253" s="9">
        <v>0</v>
      </c>
      <c r="X253" s="9">
        <v>0</v>
      </c>
      <c r="Y253" s="9">
        <v>0</v>
      </c>
    </row>
    <row r="254" spans="1:25">
      <c r="A254" s="9">
        <v>0</v>
      </c>
      <c r="B254" s="9">
        <v>0</v>
      </c>
      <c r="C254" s="9" t="str">
        <v>Indic EMS Electronics Pvt LTD</v>
      </c>
      <c r="D254" s="9" t="str">
        <v>Bangalore</v>
      </c>
      <c r="E254" s="9" t="str">
        <v>Store</v>
      </c>
      <c r="F254" s="9" t="str">
        <v>Murulidhara K</v>
      </c>
      <c r="G254" s="9" t="str">
        <v>95385 62445</v>
      </c>
      <c r="H254" s="9" t="str">
        <v>murulidharak@indicelectronics.com</v>
      </c>
      <c r="I254" s="9" t="str">
        <v>105000217/003</v>
      </c>
      <c r="J254" s="9" t="str">
        <v>Contract</v>
      </c>
      <c r="K254" s="9" t="str">
        <v>Yes</v>
      </c>
      <c r="L254" s="9" t="str">
        <v>KXIND/S/GA/MC/250029</v>
      </c>
      <c r="M254" s="9">
        <v>45901</v>
      </c>
      <c r="N254" s="9">
        <v>100000</v>
      </c>
      <c r="O254" s="9" t="str">
        <v>September</v>
      </c>
      <c r="P254" s="9" t="str">
        <v>November</v>
      </c>
      <c r="Q254" s="9">
        <v>1</v>
      </c>
      <c r="R254" s="9">
        <v>4400000465</v>
      </c>
      <c r="S254" s="9" t="str">
        <v>13/11/2025</v>
      </c>
      <c r="T254" s="9">
        <v>100000</v>
      </c>
      <c r="U254" s="9" t="str">
        <v>November</v>
      </c>
      <c r="V254" s="9">
        <v>0</v>
      </c>
      <c r="W254" s="9">
        <v>0</v>
      </c>
      <c r="X254" s="9">
        <v>0</v>
      </c>
      <c r="Y254" s="9">
        <v>0</v>
      </c>
    </row>
    <row r="255" spans="1:25">
      <c r="A255" s="9">
        <v>0</v>
      </c>
      <c r="B255" s="9">
        <v>0</v>
      </c>
      <c r="C255" s="9" t="str">
        <v>CONTINENTAL AUTOMOTIVE COMPONENTS(INDIA)PVT LTD</v>
      </c>
      <c r="D255" s="9" t="str">
        <v xml:space="preserve">Bangalore </v>
      </c>
      <c r="E255" s="9" t="str">
        <v>Store</v>
      </c>
      <c r="F255" s="9" t="str">
        <v>Dheeraj, Dheeraj V</v>
      </c>
      <c r="G255" s="9">
        <v>9060133171</v>
      </c>
      <c r="H255" s="9" t="str">
        <v>dheeraj.v.dheeraj@continental-corporation.com</v>
      </c>
      <c r="I255" s="9" t="str">
        <v>16005036/002</v>
      </c>
      <c r="J255" s="9" t="str">
        <v>Contract</v>
      </c>
      <c r="K255" s="9" t="str">
        <v>No</v>
      </c>
      <c r="L255" s="9" t="str">
        <v>KXIND/S/GA/MC/250020</v>
      </c>
      <c r="M255" s="9">
        <v>45819</v>
      </c>
      <c r="N255" s="9">
        <v>102563.91</v>
      </c>
      <c r="O255" s="9" t="str">
        <v>July</v>
      </c>
      <c r="P255" s="9" t="str">
        <v>July</v>
      </c>
      <c r="Q255" s="9">
        <v>1</v>
      </c>
      <c r="R255" s="9">
        <v>5891136624</v>
      </c>
      <c r="S255" s="9">
        <v>45856</v>
      </c>
      <c r="T255" s="9">
        <v>102563.91</v>
      </c>
      <c r="U255" s="9" t="str">
        <v>November</v>
      </c>
      <c r="V255" s="9">
        <v>0</v>
      </c>
      <c r="W255" s="9">
        <v>0</v>
      </c>
      <c r="X255" s="9">
        <v>0</v>
      </c>
      <c r="Y255" s="9">
        <v>0</v>
      </c>
    </row>
    <row r="256" spans="1:25">
      <c r="A256" s="9">
        <v>0</v>
      </c>
      <c r="B256" s="9">
        <v>0</v>
      </c>
      <c r="C256" s="9" t="str">
        <v>CONTINENTAL AUTOMOTIVE COMPONENTS(INDIA)PVT LTD</v>
      </c>
      <c r="D256" s="9" t="str">
        <v xml:space="preserve">Bangalore </v>
      </c>
      <c r="E256" s="9" t="str">
        <v>Store</v>
      </c>
      <c r="F256" s="9" t="str">
        <v>Dheeraj, Dheeraj V</v>
      </c>
      <c r="G256" s="9">
        <v>9060133171</v>
      </c>
      <c r="H256" s="9" t="str">
        <v>dheeraj.v.dheeraj@continental-corporation.com</v>
      </c>
      <c r="I256" s="9" t="str">
        <v>16005036/003</v>
      </c>
      <c r="J256" s="9" t="str">
        <v>Contract</v>
      </c>
      <c r="K256" s="9" t="str">
        <v>No</v>
      </c>
      <c r="L256" s="9" t="str">
        <v>KXIND/S/GA/MC/250020</v>
      </c>
      <c r="M256" s="9">
        <v>45819</v>
      </c>
      <c r="N256" s="9">
        <v>102563.91</v>
      </c>
      <c r="O256" s="9" t="str">
        <v>July</v>
      </c>
      <c r="P256" s="9" t="str">
        <v>July</v>
      </c>
      <c r="Q256" s="9">
        <v>1</v>
      </c>
      <c r="R256" s="9">
        <v>5891136624</v>
      </c>
      <c r="S256" s="9">
        <v>45856</v>
      </c>
      <c r="T256" s="9">
        <v>102563.91</v>
      </c>
      <c r="U256" s="9" t="str">
        <v>November</v>
      </c>
      <c r="V256" s="9">
        <v>0</v>
      </c>
      <c r="W256" s="9">
        <v>0</v>
      </c>
      <c r="X256" s="9">
        <v>0</v>
      </c>
      <c r="Y256" s="9">
        <v>0</v>
      </c>
    </row>
    <row r="257" spans="1:25">
      <c r="A257" s="9">
        <v>0</v>
      </c>
      <c r="B257" s="9">
        <v>0</v>
      </c>
      <c r="C257" s="9" t="str">
        <v>Sansera Engineering Ltd</v>
      </c>
      <c r="D257" s="9" t="str">
        <v>Bangalore</v>
      </c>
      <c r="E257" s="9" t="str">
        <v>maint</v>
      </c>
      <c r="F257" s="9" t="str">
        <v>Gange Gowda</v>
      </c>
      <c r="G257" s="9">
        <v>9980137131</v>
      </c>
      <c r="H257" s="9" t="str">
        <v>gangegowda_dn@sansera.in</v>
      </c>
      <c r="I257" s="9" t="str">
        <v>12005518/001</v>
      </c>
      <c r="J257" s="9" t="str">
        <v>Contract</v>
      </c>
      <c r="K257" s="9" t="str">
        <v>No</v>
      </c>
      <c r="L257" s="9" t="str">
        <v>KXIND/S/GA/MC/25001A</v>
      </c>
      <c r="M257" s="9">
        <v>45809</v>
      </c>
      <c r="N257" s="9">
        <v>104500</v>
      </c>
      <c r="O257" s="9" t="str">
        <v>January</v>
      </c>
      <c r="P257" s="9" t="str">
        <v>April</v>
      </c>
      <c r="Q257" s="9">
        <v>0.9</v>
      </c>
      <c r="R257" s="9">
        <v>1240065413</v>
      </c>
      <c r="S257" s="9" t="str">
        <v>28/03/2025</v>
      </c>
      <c r="T257" s="9">
        <v>102499.98</v>
      </c>
      <c r="U257" s="9" t="str">
        <v>April</v>
      </c>
      <c r="V257" s="9">
        <v>0</v>
      </c>
      <c r="W257" s="9">
        <v>0</v>
      </c>
      <c r="X257" s="9">
        <v>0</v>
      </c>
      <c r="Y257" s="9">
        <v>0</v>
      </c>
    </row>
    <row r="258" spans="1:25">
      <c r="A258" s="9">
        <v>0</v>
      </c>
      <c r="B258" s="9">
        <v>0</v>
      </c>
      <c r="C258" s="9" t="str">
        <v>GE BE PVT LTD</v>
      </c>
      <c r="D258" s="9" t="str">
        <v>Bangalore</v>
      </c>
      <c r="E258" s="9" t="str">
        <v>GE Healthcare, consultant</v>
      </c>
      <c r="F258" s="9" t="str">
        <v>Hl, Ambarish</v>
      </c>
      <c r="G258" s="9">
        <v>9845203244</v>
      </c>
      <c r="H258" s="9" t="str">
        <v>ambarish.hl@ge.com</v>
      </c>
      <c r="I258" s="9" t="str">
        <v>01011844/ 002</v>
      </c>
      <c r="J258" s="9" t="str">
        <v>Contract</v>
      </c>
      <c r="K258" s="9" t="str">
        <v>No</v>
      </c>
      <c r="L258" s="9" t="str">
        <v>KXIND/S/GA/MC/24045</v>
      </c>
      <c r="M258" s="9">
        <v>45638</v>
      </c>
      <c r="N258" s="9">
        <v>111000</v>
      </c>
      <c r="O258" s="9" t="str">
        <v>January</v>
      </c>
      <c r="P258" s="9" t="str">
        <v>February</v>
      </c>
      <c r="Q258" s="9">
        <v>0.8</v>
      </c>
      <c r="R258" s="9" t="str">
        <v>G80010000936228</v>
      </c>
      <c r="S258" s="9" t="str">
        <v>February, 23 2025</v>
      </c>
      <c r="T258" s="9">
        <v>111000</v>
      </c>
      <c r="U258" s="9" t="str">
        <v>February</v>
      </c>
      <c r="V258" s="9">
        <v>0</v>
      </c>
      <c r="W258" s="9" t="str">
        <v>December, bought forward back log from 2024</v>
      </c>
      <c r="X258" s="9">
        <v>0</v>
      </c>
      <c r="Y258" s="9">
        <v>0</v>
      </c>
    </row>
    <row r="259" spans="1:25">
      <c r="A259" s="9">
        <v>0</v>
      </c>
      <c r="B259" s="9">
        <v>0</v>
      </c>
      <c r="C259" s="9" t="str">
        <v>GE BE PVT LTD</v>
      </c>
      <c r="D259" s="9" t="str">
        <v>Bangalore</v>
      </c>
      <c r="E259" s="9" t="str">
        <v>GE Healthcare, consultant</v>
      </c>
      <c r="F259" s="9" t="str">
        <v>Hl, Ambarish</v>
      </c>
      <c r="G259" s="9">
        <v>9845203244</v>
      </c>
      <c r="H259" s="9" t="str">
        <v>ambarish.hl@ge.com</v>
      </c>
      <c r="I259" s="9" t="str">
        <v>02000017/001</v>
      </c>
      <c r="J259" s="9" t="str">
        <v>Contract</v>
      </c>
      <c r="K259" s="9" t="str">
        <v>No</v>
      </c>
      <c r="L259" s="9" t="str">
        <v>KXIND/S/GA/MC/24045</v>
      </c>
      <c r="M259" s="9">
        <v>45638</v>
      </c>
      <c r="N259" s="9">
        <v>111000</v>
      </c>
      <c r="O259" s="9" t="str">
        <v>January</v>
      </c>
      <c r="P259" s="9" t="str">
        <v>February</v>
      </c>
      <c r="Q259" s="9">
        <v>0.8</v>
      </c>
      <c r="R259" s="9" t="str">
        <v>G80010000936228</v>
      </c>
      <c r="S259" s="9" t="str">
        <v>February, 23 2025</v>
      </c>
      <c r="T259" s="9">
        <v>111000</v>
      </c>
      <c r="U259" s="9" t="str">
        <v>February</v>
      </c>
      <c r="V259" s="9">
        <v>0</v>
      </c>
      <c r="W259" s="9" t="str">
        <v>December, bought forward back log from 2024</v>
      </c>
      <c r="X259" s="9">
        <v>0</v>
      </c>
      <c r="Y259" s="9">
        <v>0</v>
      </c>
    </row>
    <row r="260" spans="1:25">
      <c r="A260" s="9">
        <v>0</v>
      </c>
      <c r="B260" s="9">
        <v>0</v>
      </c>
      <c r="C260" s="9" t="str">
        <v>International Aerospace Manufacturing Pvt Ltd</v>
      </c>
      <c r="D260" s="9" t="str">
        <v>Bangalore</v>
      </c>
      <c r="E260" s="9" t="str">
        <v>store</v>
      </c>
      <c r="F260" s="9" t="str">
        <v>Guruprasad BC</v>
      </c>
      <c r="G260" s="9">
        <v>9742019678</v>
      </c>
      <c r="H260" s="9" t="str">
        <v>guru.prasad@iampl.co.in</v>
      </c>
      <c r="I260" s="9" t="str">
        <v>12004503/001</v>
      </c>
      <c r="J260" s="9" t="str">
        <v>Contract</v>
      </c>
      <c r="K260" s="9" t="str">
        <v>No</v>
      </c>
      <c r="L260" s="9" t="str">
        <v>KXIND/S/GA/MC/25016</v>
      </c>
      <c r="M260" s="9">
        <v>45819</v>
      </c>
      <c r="N260" s="9">
        <v>120000</v>
      </c>
      <c r="O260" s="9" t="str">
        <v>June</v>
      </c>
      <c r="P260" s="9" t="str">
        <v>July</v>
      </c>
      <c r="Q260" s="9">
        <v>1</v>
      </c>
      <c r="R260" s="9" t="str">
        <v>BLR-PO-1005150</v>
      </c>
      <c r="S260" s="9">
        <v>45854</v>
      </c>
      <c r="T260" s="9">
        <v>120000</v>
      </c>
      <c r="U260" s="9" t="str">
        <v>November</v>
      </c>
      <c r="V260" s="9">
        <v>0</v>
      </c>
      <c r="W260" s="9">
        <v>0</v>
      </c>
      <c r="X260" s="9">
        <v>0</v>
      </c>
      <c r="Y260" s="9">
        <v>0</v>
      </c>
    </row>
    <row r="261" spans="1:25">
      <c r="A261" s="9">
        <v>0</v>
      </c>
      <c r="B261" s="9">
        <v>0</v>
      </c>
      <c r="C261" s="9" t="str">
        <v>Rittal India Pvt Ltd</v>
      </c>
      <c r="D261" s="9" t="str">
        <v>Bangalore</v>
      </c>
      <c r="E261" s="9" t="str">
        <v>Store</v>
      </c>
      <c r="F261" s="9" t="str">
        <v>Siddegowda A G</v>
      </c>
      <c r="G261" s="9" t="str">
        <v>+91 82962 60470</v>
      </c>
      <c r="H261" s="9" t="str">
        <v>siddegowda.ag@rittal-india.com</v>
      </c>
      <c r="I261" s="9" t="str">
        <v>15003418/001</v>
      </c>
      <c r="J261" s="9" t="str">
        <v>Relocation</v>
      </c>
      <c r="K261" s="9" t="str">
        <v>No</v>
      </c>
      <c r="L261" s="9" t="str">
        <v>KXIND/S/GA/REL/25004</v>
      </c>
      <c r="M261" s="9">
        <v>45937</v>
      </c>
      <c r="N261" s="9">
        <v>250000</v>
      </c>
      <c r="O261" s="9" t="str">
        <v>October</v>
      </c>
      <c r="P261" s="9" t="str">
        <v>October</v>
      </c>
      <c r="Q261" s="9">
        <v>1</v>
      </c>
      <c r="R261" s="9">
        <v>4500277024</v>
      </c>
      <c r="S261" s="9" t="str">
        <v>17/10/2025</v>
      </c>
      <c r="T261" s="9">
        <v>250000</v>
      </c>
      <c r="U261" s="9" t="str">
        <v>October</v>
      </c>
      <c r="V261" s="9">
        <v>0</v>
      </c>
      <c r="W261" s="9">
        <v>0</v>
      </c>
      <c r="X261" s="9">
        <v>0</v>
      </c>
      <c r="Y261" s="9">
        <v>0</v>
      </c>
    </row>
    <row r="262" spans="1:25">
      <c r="A262" s="9">
        <v>0</v>
      </c>
      <c r="B262" s="9">
        <v>0</v>
      </c>
      <c r="C262" s="9" t="str">
        <v>Rittal India Pvt Ltd</v>
      </c>
      <c r="D262" s="9" t="str">
        <v>Bangalore</v>
      </c>
      <c r="E262" s="9" t="str">
        <v>Store</v>
      </c>
      <c r="F262" s="9" t="str">
        <v>Siddegowda A G</v>
      </c>
      <c r="G262" s="9" t="str">
        <v>+91 82962 60470</v>
      </c>
      <c r="H262" s="9" t="str">
        <v>siddegowda.ag@rittal-india.com</v>
      </c>
      <c r="I262" s="9" t="str">
        <v>08003615/001</v>
      </c>
      <c r="J262" s="9" t="str">
        <v>Midlife Upgrade</v>
      </c>
      <c r="K262" s="9" t="str">
        <v>Yes</v>
      </c>
      <c r="L262" s="9" t="str">
        <v>KXIND/S/GA/MLU/25001</v>
      </c>
      <c r="M262" s="9" t="str">
        <v>16/05/2025</v>
      </c>
      <c r="N262" s="9">
        <v>298933.18</v>
      </c>
      <c r="O262" s="9" t="str">
        <v>May</v>
      </c>
      <c r="P262" s="9" t="str">
        <v>August</v>
      </c>
      <c r="Q262" s="9">
        <v>0.6</v>
      </c>
      <c r="R262" s="9">
        <v>4500273565</v>
      </c>
      <c r="S262" s="9" t="str">
        <v>20/08/2025</v>
      </c>
      <c r="T262" s="9">
        <v>298933.18</v>
      </c>
      <c r="U262" s="9" t="str">
        <v>August</v>
      </c>
      <c r="V262" s="9">
        <v>0</v>
      </c>
      <c r="W262" s="9">
        <v>0</v>
      </c>
      <c r="X262" s="9">
        <v>0</v>
      </c>
      <c r="Y262" s="9">
        <v>0</v>
      </c>
    </row>
    <row r="263" spans="1:25">
      <c r="A263" s="9">
        <v>0</v>
      </c>
      <c r="B263" s="9">
        <v>0</v>
      </c>
      <c r="C263" s="9" t="str">
        <v>Rittal India Pvt Ltd</v>
      </c>
      <c r="D263" s="9" t="str">
        <v>Bangalore</v>
      </c>
      <c r="E263" s="9" t="str">
        <v>Store</v>
      </c>
      <c r="F263" s="9" t="str">
        <v>Siddegowda A G</v>
      </c>
      <c r="G263" s="9" t="str">
        <v>+91 82962 60470</v>
      </c>
      <c r="H263" s="9" t="str">
        <v>siddegowda.ag@rittal-india.com</v>
      </c>
      <c r="I263" s="9" t="str">
        <v>08003615/001</v>
      </c>
      <c r="J263" s="9" t="str">
        <v>Midlife Upgrade</v>
      </c>
      <c r="K263" s="9" t="str">
        <v>Yes</v>
      </c>
      <c r="L263" s="9" t="str">
        <v>KXIND/S/GA/MLU/25001</v>
      </c>
      <c r="M263" s="9" t="str">
        <v>16/05/2025</v>
      </c>
      <c r="N263" s="9">
        <v>361441.99</v>
      </c>
      <c r="O263" s="9" t="str">
        <v>May</v>
      </c>
      <c r="P263" s="9" t="str">
        <v>August</v>
      </c>
      <c r="Q263" s="9">
        <v>0.6</v>
      </c>
      <c r="R263" s="9">
        <v>4500273567</v>
      </c>
      <c r="S263" s="9" t="str">
        <v>20/08/2025</v>
      </c>
      <c r="T263" s="9">
        <v>361441.99</v>
      </c>
      <c r="U263" s="9" t="str">
        <v>August</v>
      </c>
      <c r="V263" s="9">
        <v>0</v>
      </c>
      <c r="W263" s="9">
        <v>0</v>
      </c>
      <c r="X263" s="9">
        <v>0</v>
      </c>
      <c r="Y263" s="9">
        <v>0</v>
      </c>
    </row>
    <row r="264" spans="1:25">
      <c r="A264" s="9">
        <v>0</v>
      </c>
      <c r="B264" s="9">
        <v>0</v>
      </c>
      <c r="C264" s="9" t="str">
        <v>AUTOMOTIVE AXEL PVT LTD</v>
      </c>
      <c r="D264" s="9" t="str">
        <v>MYSORE</v>
      </c>
      <c r="E264" s="9" t="str">
        <v>maint</v>
      </c>
      <c r="F264" s="9" t="str">
        <v>Girish V K</v>
      </c>
      <c r="G264" s="9">
        <v>9900636398</v>
      </c>
      <c r="H264" s="9" t="str">
        <v>girishvk@autoaxle.com</v>
      </c>
      <c r="I264" s="9" t="str">
        <v>06000270/002</v>
      </c>
      <c r="J264" s="9" t="str">
        <v>Relocation</v>
      </c>
      <c r="K264" s="9" t="str">
        <v>No</v>
      </c>
      <c r="L264" s="9" t="str">
        <v xml:space="preserve"> KXIND/S/GA/REL/25007</v>
      </c>
      <c r="M264" s="9">
        <v>45874</v>
      </c>
      <c r="N264" s="9">
        <v>403750</v>
      </c>
      <c r="O264" s="9" t="str">
        <v>August</v>
      </c>
      <c r="P264" s="9" t="str">
        <v>November</v>
      </c>
      <c r="Q264" s="9">
        <v>1</v>
      </c>
      <c r="R264" s="9">
        <v>8000000589</v>
      </c>
      <c r="S264" s="9" t="str">
        <v>29/08/2025</v>
      </c>
      <c r="T264" s="9">
        <v>403750</v>
      </c>
      <c r="U264" s="9" t="str">
        <v>November</v>
      </c>
      <c r="V264" s="9">
        <v>0</v>
      </c>
      <c r="W264" s="9">
        <v>0</v>
      </c>
      <c r="X264" s="9">
        <v>0</v>
      </c>
      <c r="Y264" s="9">
        <v>0</v>
      </c>
    </row>
    <row r="265" spans="1:25">
      <c r="A265" s="9">
        <v>0</v>
      </c>
      <c r="B265" s="9">
        <v>0</v>
      </c>
      <c r="C265" s="9" t="str">
        <v>Rittal India Pvt Ltd</v>
      </c>
      <c r="D265" s="9" t="str">
        <v>Bangalore</v>
      </c>
      <c r="E265" s="9" t="str">
        <v>Store</v>
      </c>
      <c r="F265" s="9" t="str">
        <v>Siddegowda A G</v>
      </c>
      <c r="G265" s="9" t="str">
        <v>+91 82962 60470</v>
      </c>
      <c r="H265" s="9" t="str">
        <v>siddegowda.ag@rittal-india.com</v>
      </c>
      <c r="I265" s="9" t="str">
        <v>22006430/001</v>
      </c>
      <c r="J265" s="9" t="str">
        <v>Retrofit kit</v>
      </c>
      <c r="K265" s="9" t="str">
        <v>Yes</v>
      </c>
      <c r="L265" s="9" t="str">
        <v>KXIND/S/GA/Retrofit Kit/25001</v>
      </c>
      <c r="M265" s="9">
        <v>45937</v>
      </c>
      <c r="N265" s="9">
        <v>3300000</v>
      </c>
      <c r="O265" s="9" t="str">
        <v>October</v>
      </c>
      <c r="P265" s="9" t="str">
        <v>October</v>
      </c>
      <c r="Q265" s="9">
        <v>1</v>
      </c>
      <c r="R265" s="9">
        <v>4500277010</v>
      </c>
      <c r="S265" s="9" t="str">
        <v>17/10/2025</v>
      </c>
      <c r="T265" s="9">
        <v>3300000</v>
      </c>
      <c r="U265" s="9" t="str">
        <v>October</v>
      </c>
      <c r="V265" s="9">
        <v>0</v>
      </c>
      <c r="W265" s="9">
        <v>0</v>
      </c>
      <c r="X265" s="9">
        <v>0</v>
      </c>
      <c r="Y265" s="9">
        <v>0</v>
      </c>
    </row>
    <row r="266" spans="1:25">
      <c r="A266" s="9">
        <v>0</v>
      </c>
      <c r="B266" s="9">
        <v>45912</v>
      </c>
      <c r="C266" s="9" t="str">
        <v>AUTOMOTIVE AXEL PVT LTD</v>
      </c>
      <c r="D266" s="9" t="str">
        <v>MYSORE</v>
      </c>
      <c r="E266" s="9" t="str">
        <v>maint</v>
      </c>
      <c r="F266" s="9" t="str">
        <v>Girish V K</v>
      </c>
      <c r="G266" s="9">
        <v>9900636398</v>
      </c>
      <c r="H266" s="9" t="str">
        <v>girishvk@autoaxle.com</v>
      </c>
      <c r="I266" s="9" t="str">
        <v>06000270/005</v>
      </c>
      <c r="J266" s="9" t="str">
        <v>SPP</v>
      </c>
      <c r="K266" s="9" t="str">
        <v>Yes</v>
      </c>
      <c r="L266" s="9" t="str">
        <v>KXIND/S/GA/SPP/250057</v>
      </c>
      <c r="M266" s="9" t="str">
        <v>13/11/2025</v>
      </c>
      <c r="N266" s="9">
        <v>87128</v>
      </c>
      <c r="O266" s="9" t="str">
        <v>November</v>
      </c>
      <c r="P266" s="9" t="str">
        <v>December</v>
      </c>
      <c r="Q266" s="9">
        <v>1</v>
      </c>
      <c r="R266" s="9">
        <v>9000000083</v>
      </c>
      <c r="S266" s="9" t="str">
        <v>26/11/2025</v>
      </c>
      <c r="T266" s="9">
        <v>87128</v>
      </c>
      <c r="U266" s="9" t="str">
        <v>December</v>
      </c>
      <c r="V266" s="9">
        <v>0</v>
      </c>
      <c r="W266" s="9">
        <v>0</v>
      </c>
      <c r="X266" s="9">
        <v>0</v>
      </c>
      <c r="Y266" s="9">
        <v>0</v>
      </c>
    </row>
    <row r="267" spans="1:25">
      <c r="A267" s="9">
        <v>0</v>
      </c>
      <c r="B267" s="9" t="str">
        <v>22/12/2025</v>
      </c>
      <c r="C267" s="9" t="str">
        <v>Honda Motorcycle and Scooter India Pvt. Ltd</v>
      </c>
      <c r="D267" s="9" t="str">
        <v>Kolar</v>
      </c>
      <c r="E267" s="9" t="str">
        <v xml:space="preserve">Utility </v>
      </c>
      <c r="F267" s="9" t="str">
        <v xml:space="preserve">RajaKumar 
</v>
      </c>
      <c r="G267" s="9">
        <v>9008573495</v>
      </c>
      <c r="H267" s="9" t="str">
        <v>rajkumara.h@honda2wheelersindia.com</v>
      </c>
      <c r="I267" s="9" t="str">
        <v>17002415/002</v>
      </c>
      <c r="J267" s="9" t="str">
        <v>Contract</v>
      </c>
      <c r="K267" s="9" t="str">
        <v>No</v>
      </c>
      <c r="L267" s="9" t="str">
        <v>Repet order</v>
      </c>
      <c r="M267" s="9">
        <v>0</v>
      </c>
      <c r="N267" s="9">
        <v>0</v>
      </c>
      <c r="O267" s="9" t="str">
        <v>November</v>
      </c>
      <c r="P267" s="9" t="str">
        <v>December</v>
      </c>
      <c r="Q267" s="9">
        <v>1</v>
      </c>
      <c r="R267" s="9" t="str">
        <v>NSPR/6000086178</v>
      </c>
      <c r="S267" s="9">
        <v>45973</v>
      </c>
      <c r="T267" s="9">
        <v>89000</v>
      </c>
      <c r="U267" s="9" t="str">
        <v>December</v>
      </c>
      <c r="V267" s="9">
        <v>-89000</v>
      </c>
      <c r="W267" s="9">
        <v>0</v>
      </c>
      <c r="X267" s="9">
        <v>0</v>
      </c>
      <c r="Y267" s="9">
        <v>0</v>
      </c>
    </row>
    <row r="268" spans="1:25">
      <c r="A268" s="9">
        <v>0</v>
      </c>
      <c r="B268" s="9">
        <v>0</v>
      </c>
      <c r="C268" s="9" t="str">
        <v>Honda Motorcycle and Scooter India Pvt. Ltd</v>
      </c>
      <c r="D268" s="9" t="str">
        <v>Kolar</v>
      </c>
      <c r="E268" s="9" t="str">
        <v xml:space="preserve">Utility </v>
      </c>
      <c r="F268" s="9" t="str">
        <v xml:space="preserve">RajaKumar 
</v>
      </c>
      <c r="G268" s="9">
        <v>9008573495</v>
      </c>
      <c r="H268" s="9" t="str">
        <v>rajkumara.h@honda2wheelersindia.com</v>
      </c>
      <c r="I268" s="9" t="str">
        <v>17002415/001</v>
      </c>
      <c r="J268" s="9" t="str">
        <v>Contract</v>
      </c>
      <c r="K268" s="9" t="str">
        <v>No</v>
      </c>
      <c r="L268" s="9" t="str">
        <v>Repet order</v>
      </c>
      <c r="M268" s="9">
        <v>0</v>
      </c>
      <c r="N268" s="9">
        <v>0</v>
      </c>
      <c r="O268" s="9" t="str">
        <v>November</v>
      </c>
      <c r="P268" s="9" t="str">
        <v>December</v>
      </c>
      <c r="Q268" s="9">
        <v>1</v>
      </c>
      <c r="R268" s="9" t="str">
        <v>NSPR/6000086178</v>
      </c>
      <c r="S268" s="9">
        <v>45973</v>
      </c>
      <c r="T268" s="9">
        <v>89000</v>
      </c>
      <c r="U268" s="9" t="str">
        <v>December</v>
      </c>
      <c r="V268" s="9">
        <v>-89000</v>
      </c>
      <c r="W268" s="9">
        <v>0</v>
      </c>
      <c r="X268" s="9">
        <v>0</v>
      </c>
      <c r="Y268" s="9">
        <v>0</v>
      </c>
    </row>
    <row r="269" spans="1: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 t="str">
        <v>November</v>
      </c>
      <c r="V269" s="9">
        <v>0</v>
      </c>
      <c r="W269" s="9">
        <v>0</v>
      </c>
      <c r="X269" s="9">
        <v>0</v>
      </c>
      <c r="Y269" s="9">
        <v>0</v>
      </c>
    </row>
    <row r="270" spans="1: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 t="str">
        <v>November</v>
      </c>
      <c r="V270" s="9">
        <v>0</v>
      </c>
      <c r="W270" s="9">
        <v>0</v>
      </c>
      <c r="X270" s="9">
        <v>0</v>
      </c>
      <c r="Y270" s="9">
        <v>0</v>
      </c>
    </row>
    <row r="271" spans="1: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 t="str">
        <v>November</v>
      </c>
      <c r="V271" s="9">
        <v>0</v>
      </c>
      <c r="W271" s="9">
        <v>0</v>
      </c>
      <c r="X271" s="9">
        <v>0</v>
      </c>
      <c r="Y271" s="9">
        <v>0</v>
      </c>
    </row>
    <row r="272" spans="1: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 t="str">
        <v>November</v>
      </c>
      <c r="V272" s="9">
        <v>0</v>
      </c>
      <c r="W272" s="9">
        <v>0</v>
      </c>
      <c r="X272" s="9">
        <v>0</v>
      </c>
      <c r="Y272" s="9">
        <v>0</v>
      </c>
    </row>
    <row r="273" spans="1: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 t="str">
        <v>November</v>
      </c>
      <c r="V273" s="9">
        <v>0</v>
      </c>
      <c r="W273" s="9">
        <v>0</v>
      </c>
      <c r="X273" s="9">
        <v>0</v>
      </c>
      <c r="Y273" s="9">
        <v>0</v>
      </c>
    </row>
    <row r="274" spans="1: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 t="str">
        <v>November</v>
      </c>
      <c r="V274" s="9">
        <v>0</v>
      </c>
      <c r="W274" s="9">
        <v>0</v>
      </c>
      <c r="X274" s="9">
        <v>0</v>
      </c>
      <c r="Y274" s="9">
        <v>0</v>
      </c>
    </row>
    <row r="275" spans="1: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 t="str">
        <v>November</v>
      </c>
      <c r="V275" s="9">
        <v>0</v>
      </c>
      <c r="W275" s="9">
        <v>0</v>
      </c>
      <c r="X275" s="9">
        <v>0</v>
      </c>
      <c r="Y275" s="9">
        <v>0</v>
      </c>
    </row>
    <row r="276" spans="1: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 t="str">
        <v>November</v>
      </c>
      <c r="V276" s="9">
        <v>0</v>
      </c>
      <c r="W276" s="9">
        <v>0</v>
      </c>
      <c r="X276" s="9">
        <v>0</v>
      </c>
      <c r="Y276" s="9">
        <v>0</v>
      </c>
    </row>
    <row r="277" spans="1: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 t="str">
        <v>November</v>
      </c>
      <c r="V277" s="9">
        <v>0</v>
      </c>
      <c r="W277" s="9">
        <v>0</v>
      </c>
      <c r="X277" s="9">
        <v>0</v>
      </c>
      <c r="Y277" s="9">
        <v>0</v>
      </c>
    </row>
    <row r="278" spans="1: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 t="str">
        <v>November</v>
      </c>
      <c r="V278" s="9">
        <v>0</v>
      </c>
      <c r="W278" s="9">
        <v>0</v>
      </c>
      <c r="X278" s="9">
        <v>0</v>
      </c>
      <c r="Y278" s="9">
        <v>0</v>
      </c>
    </row>
    <row r="279" spans="1: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 t="str">
        <v>November</v>
      </c>
      <c r="V279" s="9">
        <v>0</v>
      </c>
      <c r="W279" s="9">
        <v>0</v>
      </c>
      <c r="X279" s="9">
        <v>0</v>
      </c>
      <c r="Y279" s="9">
        <v>0</v>
      </c>
    </row>
    <row r="280" spans="1: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 t="str">
        <v>November</v>
      </c>
      <c r="V280" s="9">
        <v>0</v>
      </c>
      <c r="W280" s="9">
        <v>0</v>
      </c>
      <c r="X280" s="9">
        <v>0</v>
      </c>
      <c r="Y280" s="9">
        <v>0</v>
      </c>
    </row>
    <row r="281" spans="1: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 t="str">
        <v>November</v>
      </c>
      <c r="V281" s="9">
        <v>0</v>
      </c>
      <c r="W281" s="9">
        <v>0</v>
      </c>
      <c r="X281" s="9">
        <v>0</v>
      </c>
      <c r="Y281" s="9">
        <v>0</v>
      </c>
    </row>
    <row r="282" spans="1: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 t="str">
        <v>November</v>
      </c>
      <c r="V282" s="9">
        <v>0</v>
      </c>
      <c r="W282" s="9">
        <v>0</v>
      </c>
      <c r="X282" s="9">
        <v>0</v>
      </c>
      <c r="Y282" s="9">
        <v>0</v>
      </c>
    </row>
    <row r="283" spans="1: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 t="str">
        <v>November</v>
      </c>
      <c r="V283" s="9">
        <v>0</v>
      </c>
      <c r="W283" s="9">
        <v>0</v>
      </c>
      <c r="X283" s="9">
        <v>0</v>
      </c>
      <c r="Y283" s="9">
        <v>0</v>
      </c>
    </row>
    <row r="284" spans="1: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 t="str">
        <v>November</v>
      </c>
      <c r="V284" s="9">
        <v>0</v>
      </c>
      <c r="W284" s="9">
        <v>0</v>
      </c>
      <c r="X284" s="9">
        <v>0</v>
      </c>
      <c r="Y284" s="9">
        <v>0</v>
      </c>
    </row>
    <row r="285" spans="1: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 t="str">
        <v>November</v>
      </c>
      <c r="V285" s="9">
        <v>0</v>
      </c>
      <c r="W285" s="9">
        <v>0</v>
      </c>
      <c r="X285" s="9">
        <v>0</v>
      </c>
      <c r="Y285" s="9">
        <v>0</v>
      </c>
    </row>
    <row r="286" spans="1: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 t="str">
        <v>November</v>
      </c>
      <c r="V286" s="9">
        <v>0</v>
      </c>
      <c r="W286" s="9">
        <v>0</v>
      </c>
      <c r="X286" s="9">
        <v>0</v>
      </c>
      <c r="Y286" s="9">
        <v>0</v>
      </c>
    </row>
    <row r="287" spans="1: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 t="str">
        <v>November</v>
      </c>
      <c r="V287" s="9">
        <v>0</v>
      </c>
      <c r="W287" s="9">
        <v>0</v>
      </c>
      <c r="X287" s="9">
        <v>0</v>
      </c>
      <c r="Y287" s="9">
        <v>0</v>
      </c>
    </row>
    <row r="288" spans="1: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 t="str">
        <v>November</v>
      </c>
      <c r="V288" s="9">
        <v>0</v>
      </c>
      <c r="W288" s="9">
        <v>0</v>
      </c>
      <c r="X288" s="9">
        <v>0</v>
      </c>
      <c r="Y288" s="9">
        <v>0</v>
      </c>
    </row>
    <row r="289" spans="1: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 t="str">
        <v>November</v>
      </c>
      <c r="V289" s="9">
        <v>0</v>
      </c>
      <c r="W289" s="9">
        <v>0</v>
      </c>
      <c r="X289" s="9">
        <v>0</v>
      </c>
      <c r="Y289" s="9">
        <v>0</v>
      </c>
    </row>
    <row r="290" spans="1: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 t="str">
        <v>November</v>
      </c>
      <c r="V290" s="9">
        <v>0</v>
      </c>
      <c r="W290" s="9">
        <v>0</v>
      </c>
      <c r="X290" s="9">
        <v>0</v>
      </c>
      <c r="Y290" s="9">
        <v>0</v>
      </c>
    </row>
    <row r="291" spans="1: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 t="str">
        <v>November</v>
      </c>
      <c r="V291" s="9">
        <v>0</v>
      </c>
      <c r="W291" s="9">
        <v>0</v>
      </c>
      <c r="X291" s="9">
        <v>0</v>
      </c>
      <c r="Y291" s="9">
        <v>0</v>
      </c>
    </row>
    <row r="292" spans="1: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 t="str">
        <v>November</v>
      </c>
      <c r="V292" s="9">
        <v>0</v>
      </c>
      <c r="W292" s="9">
        <v>0</v>
      </c>
      <c r="X292" s="9">
        <v>0</v>
      </c>
      <c r="Y292" s="9">
        <v>0</v>
      </c>
    </row>
    <row r="293" spans="1: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 t="str">
        <v>November</v>
      </c>
      <c r="V293" s="9">
        <v>0</v>
      </c>
      <c r="W293" s="9">
        <v>0</v>
      </c>
      <c r="X293" s="9">
        <v>0</v>
      </c>
      <c r="Y293" s="9">
        <v>0</v>
      </c>
    </row>
    <row r="294" spans="1: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 t="str">
        <v>November</v>
      </c>
      <c r="V294" s="9">
        <v>0</v>
      </c>
      <c r="W294" s="9">
        <v>0</v>
      </c>
      <c r="X294" s="9">
        <v>0</v>
      </c>
      <c r="Y294" s="9">
        <v>0</v>
      </c>
    </row>
    <row r="295" spans="1: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 t="str">
        <v>November</v>
      </c>
      <c r="V295" s="9">
        <v>0</v>
      </c>
      <c r="W295" s="9">
        <v>0</v>
      </c>
      <c r="X295" s="9">
        <v>0</v>
      </c>
      <c r="Y295" s="9">
        <v>0</v>
      </c>
    </row>
    <row r="296" spans="1: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 t="str">
        <v>November</v>
      </c>
      <c r="V296" s="9">
        <v>0</v>
      </c>
      <c r="W296" s="9">
        <v>0</v>
      </c>
      <c r="X296" s="9">
        <v>0</v>
      </c>
      <c r="Y296" s="9">
        <v>0</v>
      </c>
    </row>
    <row r="297" spans="1: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 t="str">
        <v>November</v>
      </c>
      <c r="V297" s="9">
        <v>0</v>
      </c>
      <c r="W297" s="9">
        <v>0</v>
      </c>
      <c r="X297" s="9">
        <v>0</v>
      </c>
      <c r="Y297" s="9">
        <v>0</v>
      </c>
    </row>
    <row r="298" spans="1: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 t="str">
        <v>November</v>
      </c>
      <c r="V298" s="9">
        <v>0</v>
      </c>
      <c r="W298" s="9">
        <v>0</v>
      </c>
      <c r="X298" s="9">
        <v>0</v>
      </c>
      <c r="Y298" s="9">
        <v>0</v>
      </c>
    </row>
    <row r="299" spans="1: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 t="str">
        <v>November</v>
      </c>
      <c r="V299" s="9">
        <v>0</v>
      </c>
      <c r="W299" s="9">
        <v>0</v>
      </c>
      <c r="X299" s="9">
        <v>0</v>
      </c>
      <c r="Y299" s="9">
        <v>0</v>
      </c>
    </row>
    <row r="300" spans="1: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 t="str">
        <v>November</v>
      </c>
      <c r="V300" s="9">
        <v>0</v>
      </c>
      <c r="W300" s="9">
        <v>0</v>
      </c>
      <c r="X300" s="9">
        <v>0</v>
      </c>
      <c r="Y300" s="9">
        <v>0</v>
      </c>
    </row>
    <row r="301" spans="1: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 t="str">
        <v>November</v>
      </c>
      <c r="V301" s="9">
        <v>0</v>
      </c>
      <c r="W301" s="9">
        <v>0</v>
      </c>
      <c r="X301" s="9">
        <v>0</v>
      </c>
      <c r="Y301" s="9">
        <v>0</v>
      </c>
    </row>
    <row r="302" spans="1: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 t="str">
        <v>November</v>
      </c>
      <c r="V302" s="9">
        <v>0</v>
      </c>
      <c r="W302" s="9">
        <v>0</v>
      </c>
      <c r="X302" s="9">
        <v>0</v>
      </c>
      <c r="Y302" s="9">
        <v>0</v>
      </c>
    </row>
    <row r="303" spans="1: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 t="str">
        <v>November</v>
      </c>
      <c r="V303" s="9">
        <v>0</v>
      </c>
      <c r="W303" s="9">
        <v>0</v>
      </c>
      <c r="X303" s="9">
        <v>0</v>
      </c>
      <c r="Y303" s="9">
        <v>0</v>
      </c>
    </row>
    <row r="304" spans="1: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 t="str">
        <v>November</v>
      </c>
      <c r="V304" s="9">
        <v>0</v>
      </c>
      <c r="W304" s="9">
        <v>0</v>
      </c>
      <c r="X304" s="9">
        <v>0</v>
      </c>
      <c r="Y304" s="9">
        <v>0</v>
      </c>
    </row>
    <row r="305" spans="1: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 t="str">
        <v>November</v>
      </c>
      <c r="V305" s="9">
        <v>0</v>
      </c>
      <c r="W305" s="9">
        <v>0</v>
      </c>
      <c r="X305" s="9">
        <v>0</v>
      </c>
      <c r="Y305" s="9">
        <v>0</v>
      </c>
    </row>
    <row r="306" spans="1: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 t="str">
        <v>November</v>
      </c>
      <c r="V306" s="9">
        <v>0</v>
      </c>
      <c r="W306" s="9">
        <v>0</v>
      </c>
      <c r="X306" s="9">
        <v>0</v>
      </c>
      <c r="Y306" s="9">
        <v>0</v>
      </c>
    </row>
    <row r="307" spans="1: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 t="str">
        <v>November</v>
      </c>
      <c r="V307" s="9">
        <v>0</v>
      </c>
      <c r="W307" s="9">
        <v>0</v>
      </c>
      <c r="X307" s="9">
        <v>0</v>
      </c>
      <c r="Y307" s="9">
        <v>0</v>
      </c>
    </row>
    <row r="308" spans="1: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 t="str">
        <v>November</v>
      </c>
      <c r="V308" s="9">
        <v>0</v>
      </c>
      <c r="W308" s="9">
        <v>0</v>
      </c>
      <c r="X308" s="9">
        <v>0</v>
      </c>
      <c r="Y308" s="9">
        <v>0</v>
      </c>
    </row>
    <row r="309" spans="1: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 t="str">
        <v>November</v>
      </c>
      <c r="V309" s="9">
        <v>0</v>
      </c>
      <c r="W309" s="9">
        <v>0</v>
      </c>
      <c r="X309" s="9">
        <v>0</v>
      </c>
      <c r="Y309" s="9">
        <v>0</v>
      </c>
    </row>
    <row r="310" spans="1: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 t="str">
        <v>November</v>
      </c>
      <c r="V310" s="9">
        <v>0</v>
      </c>
      <c r="W310" s="9">
        <v>0</v>
      </c>
      <c r="X310" s="9">
        <v>0</v>
      </c>
      <c r="Y310" s="9">
        <v>0</v>
      </c>
    </row>
    <row r="311" spans="1: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 t="str">
        <v>November</v>
      </c>
      <c r="V311" s="9">
        <v>0</v>
      </c>
      <c r="W311" s="9">
        <v>0</v>
      </c>
      <c r="X311" s="9">
        <v>0</v>
      </c>
      <c r="Y311" s="9">
        <v>0</v>
      </c>
    </row>
    <row r="312" spans="1: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 t="str">
        <v>November</v>
      </c>
      <c r="V312" s="9">
        <v>0</v>
      </c>
      <c r="W312" s="9">
        <v>0</v>
      </c>
      <c r="X312" s="9">
        <v>0</v>
      </c>
      <c r="Y312" s="9">
        <v>0</v>
      </c>
    </row>
    <row r="313" spans="1: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 t="str">
        <v>November</v>
      </c>
      <c r="V313" s="9">
        <v>0</v>
      </c>
      <c r="W313" s="9">
        <v>0</v>
      </c>
      <c r="X313" s="9">
        <v>0</v>
      </c>
      <c r="Y313" s="9">
        <v>0</v>
      </c>
    </row>
    <row r="314" spans="1: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 t="str">
        <v>November</v>
      </c>
      <c r="V314" s="9">
        <v>0</v>
      </c>
      <c r="W314" s="9">
        <v>0</v>
      </c>
      <c r="X314" s="9">
        <v>0</v>
      </c>
      <c r="Y314" s="9">
        <v>0</v>
      </c>
    </row>
    <row r="315" spans="1: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 t="str">
        <v>November</v>
      </c>
      <c r="V315" s="9">
        <v>0</v>
      </c>
      <c r="W315" s="9">
        <v>0</v>
      </c>
      <c r="X315" s="9">
        <v>0</v>
      </c>
      <c r="Y315" s="9">
        <v>0</v>
      </c>
    </row>
    <row r="316" spans="1: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 t="str">
        <v>November</v>
      </c>
      <c r="V316" s="9">
        <v>0</v>
      </c>
      <c r="W316" s="9">
        <v>0</v>
      </c>
      <c r="X316" s="9">
        <v>0</v>
      </c>
      <c r="Y316" s="9">
        <v>0</v>
      </c>
    </row>
    <row r="317" spans="1: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 t="str">
        <v>November</v>
      </c>
      <c r="V317" s="9">
        <v>0</v>
      </c>
      <c r="W317" s="9">
        <v>0</v>
      </c>
      <c r="X317" s="9">
        <v>0</v>
      </c>
      <c r="Y317" s="9">
        <v>0</v>
      </c>
    </row>
    <row r="318" spans="1: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 t="str">
        <v>November</v>
      </c>
      <c r="V318" s="9">
        <v>0</v>
      </c>
      <c r="W318" s="9">
        <v>0</v>
      </c>
      <c r="X318" s="9">
        <v>0</v>
      </c>
      <c r="Y318" s="9">
        <v>0</v>
      </c>
    </row>
    <row r="319" spans="1: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 t="str">
        <v>November</v>
      </c>
      <c r="V319" s="9">
        <v>0</v>
      </c>
      <c r="W319" s="9">
        <v>0</v>
      </c>
      <c r="X319" s="9">
        <v>0</v>
      </c>
      <c r="Y319" s="9">
        <v>0</v>
      </c>
    </row>
    <row r="320" spans="1: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 t="str">
        <v>November</v>
      </c>
      <c r="V320" s="9">
        <v>0</v>
      </c>
      <c r="W320" s="9">
        <v>0</v>
      </c>
      <c r="X320" s="9">
        <v>0</v>
      </c>
      <c r="Y320" s="9">
        <v>0</v>
      </c>
    </row>
    <row r="321" spans="1: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 t="str">
        <v>November</v>
      </c>
      <c r="V321" s="9">
        <v>0</v>
      </c>
      <c r="W321" s="9">
        <v>0</v>
      </c>
      <c r="X321" s="9">
        <v>0</v>
      </c>
      <c r="Y321" s="9">
        <v>0</v>
      </c>
    </row>
    <row r="322" spans="1: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 t="str">
        <v>November</v>
      </c>
      <c r="V322" s="9">
        <v>0</v>
      </c>
      <c r="W322" s="9">
        <v>0</v>
      </c>
      <c r="X322" s="9">
        <v>0</v>
      </c>
      <c r="Y322" s="9">
        <v>0</v>
      </c>
    </row>
    <row r="323" spans="1: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 t="str">
        <v>November</v>
      </c>
      <c r="V323" s="9">
        <v>0</v>
      </c>
      <c r="W323" s="9">
        <v>0</v>
      </c>
      <c r="X323" s="9">
        <v>0</v>
      </c>
      <c r="Y323" s="9">
        <v>0</v>
      </c>
    </row>
    <row r="324" spans="1: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 t="str">
        <v>November</v>
      </c>
      <c r="V324" s="9">
        <v>0</v>
      </c>
      <c r="W324" s="9">
        <v>0</v>
      </c>
      <c r="X324" s="9">
        <v>0</v>
      </c>
      <c r="Y324" s="9">
        <v>0</v>
      </c>
    </row>
    <row r="325" spans="1: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 t="str">
        <v>November</v>
      </c>
      <c r="V325" s="9">
        <v>0</v>
      </c>
      <c r="W325" s="9">
        <v>0</v>
      </c>
      <c r="X325" s="9">
        <v>0</v>
      </c>
      <c r="Y325" s="9">
        <v>0</v>
      </c>
    </row>
    <row r="326" spans="1: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 t="str">
        <v>November</v>
      </c>
      <c r="V326" s="9">
        <v>0</v>
      </c>
      <c r="W326" s="9">
        <v>0</v>
      </c>
      <c r="X326" s="9">
        <v>0</v>
      </c>
      <c r="Y326" s="9">
        <v>0</v>
      </c>
    </row>
    <row r="327" spans="1: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 t="str">
        <v>November</v>
      </c>
      <c r="V327" s="9">
        <v>0</v>
      </c>
      <c r="W327" s="9">
        <v>0</v>
      </c>
      <c r="X327" s="9">
        <v>0</v>
      </c>
      <c r="Y327" s="9">
        <v>0</v>
      </c>
    </row>
    <row r="328" spans="1: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 t="str">
        <v>November</v>
      </c>
      <c r="V328" s="9">
        <v>0</v>
      </c>
      <c r="W328" s="9">
        <v>0</v>
      </c>
      <c r="X328" s="9">
        <v>0</v>
      </c>
      <c r="Y328" s="9">
        <v>0</v>
      </c>
    </row>
    <row r="329" spans="1: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 t="str">
        <v>November</v>
      </c>
      <c r="V329" s="9">
        <v>0</v>
      </c>
      <c r="W329" s="9">
        <v>0</v>
      </c>
      <c r="X329" s="9">
        <v>0</v>
      </c>
      <c r="Y329" s="9">
        <v>0</v>
      </c>
    </row>
    <row r="330" spans="1: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 t="str">
        <v>November</v>
      </c>
      <c r="V330" s="9">
        <v>0</v>
      </c>
      <c r="W330" s="9">
        <v>0</v>
      </c>
      <c r="X330" s="9">
        <v>0</v>
      </c>
      <c r="Y330" s="9">
        <v>0</v>
      </c>
    </row>
    <row r="331" spans="1: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 t="str">
        <v>November</v>
      </c>
      <c r="V331" s="9">
        <v>0</v>
      </c>
      <c r="W331" s="9">
        <v>0</v>
      </c>
      <c r="X331" s="9">
        <v>0</v>
      </c>
      <c r="Y331" s="9">
        <v>0</v>
      </c>
    </row>
    <row r="332" spans="1: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 t="str">
        <v>November</v>
      </c>
      <c r="V332" s="9">
        <v>0</v>
      </c>
      <c r="W332" s="9">
        <v>0</v>
      </c>
      <c r="X332" s="9">
        <v>0</v>
      </c>
      <c r="Y332" s="9">
        <v>0</v>
      </c>
    </row>
    <row r="333" spans="1: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 t="str">
        <v>November</v>
      </c>
      <c r="V333" s="9">
        <v>0</v>
      </c>
      <c r="W333" s="9">
        <v>0</v>
      </c>
      <c r="X333" s="9">
        <v>0</v>
      </c>
      <c r="Y333" s="9">
        <v>0</v>
      </c>
    </row>
    <row r="334" spans="1: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 t="str">
        <v>November</v>
      </c>
      <c r="V334" s="9">
        <v>0</v>
      </c>
      <c r="W334" s="9">
        <v>0</v>
      </c>
      <c r="X334" s="9">
        <v>0</v>
      </c>
      <c r="Y334" s="9">
        <v>0</v>
      </c>
    </row>
    <row r="335" spans="1: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 t="str">
        <v>November</v>
      </c>
      <c r="V335" s="9">
        <v>0</v>
      </c>
      <c r="W335" s="9">
        <v>0</v>
      </c>
      <c r="X335" s="9">
        <v>0</v>
      </c>
      <c r="Y335" s="9">
        <v>0</v>
      </c>
    </row>
    <row r="336" spans="1: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 t="str">
        <v>November</v>
      </c>
      <c r="V336" s="9">
        <v>0</v>
      </c>
      <c r="W336" s="9">
        <v>0</v>
      </c>
      <c r="X336" s="9">
        <v>0</v>
      </c>
      <c r="Y336" s="9">
        <v>0</v>
      </c>
    </row>
    <row r="337" spans="1: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 t="str">
        <v>November</v>
      </c>
      <c r="V337" s="9">
        <v>0</v>
      </c>
      <c r="W337" s="9">
        <v>0</v>
      </c>
      <c r="X337" s="9">
        <v>0</v>
      </c>
      <c r="Y337" s="9">
        <v>0</v>
      </c>
    </row>
    <row r="338" spans="1: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 t="str">
        <v>November</v>
      </c>
      <c r="V338" s="9">
        <v>0</v>
      </c>
      <c r="W338" s="9">
        <v>0</v>
      </c>
      <c r="X338" s="9">
        <v>0</v>
      </c>
      <c r="Y338" s="9">
        <v>0</v>
      </c>
    </row>
    <row r="339" spans="1: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 t="str">
        <v>November</v>
      </c>
      <c r="V339" s="9">
        <v>0</v>
      </c>
      <c r="W339" s="9">
        <v>0</v>
      </c>
      <c r="X339" s="9">
        <v>0</v>
      </c>
      <c r="Y339" s="9">
        <v>0</v>
      </c>
    </row>
    <row r="340" spans="1: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 t="str">
        <v>November</v>
      </c>
      <c r="V340" s="9">
        <v>0</v>
      </c>
      <c r="W340" s="9">
        <v>0</v>
      </c>
      <c r="X340" s="9">
        <v>0</v>
      </c>
      <c r="Y340" s="9">
        <v>0</v>
      </c>
    </row>
    <row r="341" spans="1: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 t="str">
        <v>November</v>
      </c>
      <c r="V341" s="9">
        <v>0</v>
      </c>
      <c r="W341" s="9">
        <v>0</v>
      </c>
      <c r="X341" s="9">
        <v>0</v>
      </c>
      <c r="Y341" s="9">
        <v>0</v>
      </c>
    </row>
    <row r="342" spans="1: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 t="str">
        <v>November</v>
      </c>
      <c r="V342" s="9">
        <v>0</v>
      </c>
      <c r="W342" s="9">
        <v>0</v>
      </c>
      <c r="X342" s="9">
        <v>0</v>
      </c>
      <c r="Y342" s="9">
        <v>0</v>
      </c>
    </row>
    <row r="343" spans="1: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 t="str">
        <v>November</v>
      </c>
      <c r="V343" s="9">
        <v>0</v>
      </c>
      <c r="W343" s="9">
        <v>0</v>
      </c>
      <c r="X343" s="9">
        <v>0</v>
      </c>
      <c r="Y343" s="9">
        <v>0</v>
      </c>
    </row>
    <row r="344" spans="1: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 t="str">
        <v>November</v>
      </c>
      <c r="V344" s="9">
        <v>0</v>
      </c>
      <c r="W344" s="9">
        <v>0</v>
      </c>
      <c r="X344" s="9">
        <v>0</v>
      </c>
      <c r="Y344" s="9">
        <v>0</v>
      </c>
    </row>
    <row r="345" spans="1: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 t="str">
        <v>November</v>
      </c>
      <c r="V345" s="9">
        <v>0</v>
      </c>
      <c r="W345" s="9">
        <v>0</v>
      </c>
      <c r="X345" s="9">
        <v>0</v>
      </c>
      <c r="Y345" s="9">
        <v>0</v>
      </c>
    </row>
    <row r="346" spans="1: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 t="str">
        <v>November</v>
      </c>
      <c r="V346" s="9">
        <v>0</v>
      </c>
      <c r="W346" s="9">
        <v>0</v>
      </c>
      <c r="X346" s="9">
        <v>0</v>
      </c>
      <c r="Y346" s="9">
        <v>0</v>
      </c>
    </row>
    <row r="347" spans="1: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 t="str">
        <v>November</v>
      </c>
      <c r="V347" s="9">
        <v>0</v>
      </c>
      <c r="W347" s="9">
        <v>0</v>
      </c>
      <c r="X347" s="9">
        <v>0</v>
      </c>
      <c r="Y347" s="9">
        <v>0</v>
      </c>
    </row>
    <row r="348" spans="1: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 t="str">
        <v>November</v>
      </c>
      <c r="V348" s="9">
        <v>0</v>
      </c>
      <c r="W348" s="9">
        <v>0</v>
      </c>
      <c r="X348" s="9">
        <v>0</v>
      </c>
      <c r="Y348" s="9">
        <v>0</v>
      </c>
    </row>
    <row r="349" spans="1: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 t="str">
        <v>November</v>
      </c>
      <c r="V349" s="9">
        <v>0</v>
      </c>
      <c r="W349" s="9">
        <v>0</v>
      </c>
      <c r="X349" s="9">
        <v>0</v>
      </c>
      <c r="Y349" s="9">
        <v>0</v>
      </c>
    </row>
    <row r="350" spans="1: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 t="str">
        <v>November</v>
      </c>
      <c r="V350" s="9">
        <v>0</v>
      </c>
      <c r="W350" s="9">
        <v>0</v>
      </c>
      <c r="X350" s="9">
        <v>0</v>
      </c>
      <c r="Y350" s="9">
        <v>0</v>
      </c>
    </row>
    <row r="351" spans="1: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 t="str">
        <v>November</v>
      </c>
      <c r="V351" s="9">
        <v>0</v>
      </c>
      <c r="W351" s="9">
        <v>0</v>
      </c>
      <c r="X351" s="9">
        <v>0</v>
      </c>
      <c r="Y351" s="9">
        <v>0</v>
      </c>
    </row>
    <row r="352" spans="1: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 t="str">
        <v>November</v>
      </c>
      <c r="V352" s="9">
        <v>0</v>
      </c>
      <c r="W352" s="9">
        <v>0</v>
      </c>
      <c r="X352" s="9">
        <v>0</v>
      </c>
      <c r="Y352" s="9">
        <v>0</v>
      </c>
    </row>
    <row r="353" spans="1: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 t="str">
        <v>November</v>
      </c>
      <c r="V353" s="9">
        <v>0</v>
      </c>
      <c r="W353" s="9">
        <v>0</v>
      </c>
      <c r="X353" s="9">
        <v>0</v>
      </c>
      <c r="Y353" s="9">
        <v>0</v>
      </c>
    </row>
    <row r="354" spans="1: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 t="str">
        <v>November</v>
      </c>
      <c r="V354" s="9">
        <v>0</v>
      </c>
      <c r="W354" s="9">
        <v>0</v>
      </c>
      <c r="X354" s="9">
        <v>0</v>
      </c>
      <c r="Y354" s="9">
        <v>0</v>
      </c>
    </row>
    <row r="355" spans="1: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 t="str">
        <v>November</v>
      </c>
      <c r="V355" s="9">
        <v>0</v>
      </c>
      <c r="W355" s="9">
        <v>0</v>
      </c>
      <c r="X355" s="9">
        <v>0</v>
      </c>
      <c r="Y355" s="9">
        <v>0</v>
      </c>
    </row>
    <row r="356" spans="1: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 t="str">
        <v>November</v>
      </c>
      <c r="V356" s="9">
        <v>0</v>
      </c>
      <c r="W356" s="9">
        <v>0</v>
      </c>
      <c r="X356" s="9">
        <v>0</v>
      </c>
      <c r="Y356" s="9">
        <v>0</v>
      </c>
    </row>
    <row r="357" spans="1: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 t="str">
        <v>November</v>
      </c>
      <c r="V357" s="9">
        <v>0</v>
      </c>
      <c r="W357" s="9">
        <v>0</v>
      </c>
      <c r="X357" s="9">
        <v>0</v>
      </c>
      <c r="Y357" s="9">
        <v>0</v>
      </c>
    </row>
    <row r="358" spans="1: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 t="str">
        <v>November</v>
      </c>
      <c r="V358" s="9">
        <v>0</v>
      </c>
      <c r="W358" s="9">
        <v>0</v>
      </c>
      <c r="X358" s="9">
        <v>0</v>
      </c>
      <c r="Y358" s="9">
        <v>0</v>
      </c>
    </row>
    <row r="359" spans="1: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 t="str">
        <v>November</v>
      </c>
      <c r="V359" s="9">
        <v>0</v>
      </c>
      <c r="W359" s="9">
        <v>0</v>
      </c>
      <c r="X359" s="9">
        <v>0</v>
      </c>
      <c r="Y359" s="9">
        <v>0</v>
      </c>
    </row>
    <row r="360" spans="1: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 t="str">
        <v>November</v>
      </c>
      <c r="V360" s="9">
        <v>0</v>
      </c>
      <c r="W360" s="9">
        <v>0</v>
      </c>
      <c r="X360" s="9">
        <v>0</v>
      </c>
      <c r="Y360" s="9">
        <v>0</v>
      </c>
    </row>
    <row r="361" spans="1: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 t="str">
        <v>November</v>
      </c>
      <c r="V361" s="9">
        <v>0</v>
      </c>
      <c r="W361" s="9">
        <v>0</v>
      </c>
      <c r="X361" s="9">
        <v>0</v>
      </c>
      <c r="Y361" s="9">
        <v>0</v>
      </c>
    </row>
    <row r="362" spans="1: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 t="str">
        <v>November</v>
      </c>
      <c r="V362" s="9">
        <v>0</v>
      </c>
      <c r="W362" s="9">
        <v>0</v>
      </c>
      <c r="X362" s="9">
        <v>0</v>
      </c>
      <c r="Y362" s="9">
        <v>0</v>
      </c>
    </row>
    <row r="363" spans="1: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 t="str">
        <v>November</v>
      </c>
      <c r="V363" s="9">
        <v>0</v>
      </c>
      <c r="W363" s="9">
        <v>0</v>
      </c>
      <c r="X363" s="9">
        <v>0</v>
      </c>
      <c r="Y363" s="9">
        <v>0</v>
      </c>
    </row>
    <row r="364" spans="1: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 t="str">
        <v>November</v>
      </c>
      <c r="V364" s="9">
        <v>0</v>
      </c>
      <c r="W364" s="9">
        <v>0</v>
      </c>
      <c r="X364" s="9">
        <v>0</v>
      </c>
      <c r="Y364" s="9">
        <v>0</v>
      </c>
    </row>
    <row r="365" spans="1: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 t="str">
        <v>November</v>
      </c>
      <c r="V365" s="9">
        <v>0</v>
      </c>
      <c r="W365" s="9">
        <v>0</v>
      </c>
      <c r="X365" s="9">
        <v>0</v>
      </c>
      <c r="Y365" s="9">
        <v>0</v>
      </c>
    </row>
    <row r="366" spans="1: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 t="str">
        <v>November</v>
      </c>
      <c r="V366" s="9">
        <v>0</v>
      </c>
      <c r="W366" s="9">
        <v>0</v>
      </c>
      <c r="X366" s="9">
        <v>0</v>
      </c>
      <c r="Y366" s="9">
        <v>0</v>
      </c>
    </row>
    <row r="367" spans="1: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 t="str">
        <v>November</v>
      </c>
      <c r="V367" s="9">
        <v>0</v>
      </c>
      <c r="W367" s="9">
        <v>0</v>
      </c>
      <c r="X367" s="9">
        <v>0</v>
      </c>
      <c r="Y367" s="9">
        <v>0</v>
      </c>
    </row>
    <row r="368" spans="1: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 t="str">
        <v>November</v>
      </c>
      <c r="V368" s="9">
        <v>0</v>
      </c>
      <c r="W368" s="9">
        <v>0</v>
      </c>
      <c r="X368" s="9">
        <v>0</v>
      </c>
      <c r="Y368" s="9">
        <v>0</v>
      </c>
    </row>
    <row r="369" spans="1: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 t="str">
        <v>November</v>
      </c>
      <c r="V369" s="9">
        <v>0</v>
      </c>
      <c r="W369" s="9">
        <v>0</v>
      </c>
      <c r="X369" s="9">
        <v>0</v>
      </c>
      <c r="Y369" s="9">
        <v>0</v>
      </c>
    </row>
    <row r="370" spans="1: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 t="str">
        <v>November</v>
      </c>
      <c r="V370" s="9">
        <v>0</v>
      </c>
      <c r="W370" s="9">
        <v>0</v>
      </c>
      <c r="X370" s="9">
        <v>0</v>
      </c>
      <c r="Y370" s="9">
        <v>0</v>
      </c>
    </row>
    <row r="371" spans="1: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 t="str">
        <v>November</v>
      </c>
      <c r="V371" s="9">
        <v>0</v>
      </c>
      <c r="W371" s="9">
        <v>0</v>
      </c>
      <c r="X371" s="9">
        <v>0</v>
      </c>
      <c r="Y371" s="9">
        <v>0</v>
      </c>
    </row>
    <row r="372" spans="1: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 t="str">
        <v>November</v>
      </c>
      <c r="V372" s="9">
        <v>0</v>
      </c>
      <c r="W372" s="9">
        <v>0</v>
      </c>
      <c r="X372" s="9">
        <v>0</v>
      </c>
      <c r="Y372" s="9">
        <v>0</v>
      </c>
    </row>
    <row r="373" spans="1: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 t="str">
        <v>November</v>
      </c>
      <c r="V373" s="9">
        <v>0</v>
      </c>
      <c r="W373" s="9">
        <v>0</v>
      </c>
      <c r="X373" s="9">
        <v>0</v>
      </c>
      <c r="Y373" s="9">
        <v>0</v>
      </c>
    </row>
    <row r="374" spans="1: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 t="str">
        <v>November</v>
      </c>
      <c r="V374" s="9">
        <v>0</v>
      </c>
      <c r="W374" s="9">
        <v>0</v>
      </c>
      <c r="X374" s="9">
        <v>0</v>
      </c>
      <c r="Y374" s="9">
        <v>0</v>
      </c>
    </row>
  </sheetData>
  <sheetProtection algorithmName="SHA-512" hashValue="Y/WzC6OqFEoMzhW2WNaaV3BvuivEoVjkUjxtrYR0QNzeSGCzTW8A+QUtOljjgSqjcho0uDy1oqXi7RIYdOTNGw==" saltValue="7i7PsdJHOEhw1vuvNPtUw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52E6-CC47-4F87-99E1-58DA21E445D7}">
  <dimension ref="A1:AA7"/>
  <sheetViews>
    <sheetView zoomScaleNormal="100" zoomScalePageLayoutView="80" workbookViewId="0">
      <selection activeCell="F31" sqref="F31:I31"/>
    </sheetView>
  </sheetViews>
  <sheetFormatPr defaultColWidth="9.44140625" defaultRowHeight="13.8"/>
  <cols>
    <col min="1" max="1" width="10.44140625" style="9" customWidth="1"/>
    <col min="2" max="16384" width="9.44140625" style="9"/>
  </cols>
  <sheetData>
    <row r="1" spans="1:27">
      <c r="A1" s="9" t="e">
        <f>#REF!</f>
        <v>#REF!</v>
      </c>
    </row>
    <row r="3" spans="1:27">
      <c r="A3" s="9" t="e" cm="1">
        <f t="array" ref="A3">#REF!</f>
        <v>#REF!</v>
      </c>
      <c r="T3" s="9" t="e" cm="1">
        <f t="array" ref="T3">#REF!</f>
        <v>#REF!</v>
      </c>
    </row>
    <row r="7" spans="1:27">
      <c r="A7" s="9" t="e" cm="1">
        <f t="array" ref="A7">#REF!</f>
        <v>#REF!</v>
      </c>
      <c r="AA7" s="9" t="e" cm="1">
        <f t="array" ref="AA7">#REF!</f>
        <v>#REF!</v>
      </c>
    </row>
  </sheetData>
  <sheetProtection algorithmName="SHA-512" hashValue="KssB1jmz4vaDDMb+4HK/NxsjSVLQLm2lEgFhDAW2wofI4wD9f5uNU9LoB7lpNuCbAXZcTTkrCPQlM17erheTKg==" saltValue="YPWma6FZ8rKlAKXPFZbcT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71AC-493E-4E38-A62D-1597400681D4}">
  <dimension ref="A1:AA7"/>
  <sheetViews>
    <sheetView zoomScaleNormal="100" zoomScalePageLayoutView="80" workbookViewId="0">
      <selection activeCell="F31" sqref="F31:I31"/>
    </sheetView>
  </sheetViews>
  <sheetFormatPr defaultColWidth="9.44140625" defaultRowHeight="13.8"/>
  <cols>
    <col min="1" max="1" width="10.44140625" style="9" customWidth="1"/>
    <col min="2" max="16384" width="9.44140625" style="9"/>
  </cols>
  <sheetData>
    <row r="1" spans="1:27">
      <c r="A1" s="9" t="e">
        <f>#REF!</f>
        <v>#REF!</v>
      </c>
    </row>
    <row r="3" spans="1:27">
      <c r="A3" s="9" t="e" cm="1">
        <f t="array" ref="A3">#REF!</f>
        <v>#REF!</v>
      </c>
      <c r="T3" s="9" t="e" cm="1">
        <f t="array" ref="T3">#REF!</f>
        <v>#REF!</v>
      </c>
    </row>
    <row r="7" spans="1:27">
      <c r="A7" s="9" t="e" cm="1">
        <f t="array" ref="A7">#REF!</f>
        <v>#REF!</v>
      </c>
      <c r="AA7" s="9" t="e" cm="1">
        <f t="array" ref="AA7">#REF!</f>
        <v>#REF!</v>
      </c>
    </row>
  </sheetData>
  <sheetProtection algorithmName="SHA-512" hashValue="VtKUjNouar3bDF7aF+twJ8jsROrOPJ/OrTYlZAiTBR0N5rl0mdmkl+lpORqDiRQ2KEjsDa/T8oHmZWgK9+hTjA==" saltValue="H2bOYd2rLvI/40LOpJ0yN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70A0-049C-4C70-8306-337A4CB5C9C2}">
  <dimension ref="A1:AC69"/>
  <sheetViews>
    <sheetView zoomScaleNormal="100" zoomScalePageLayoutView="80" workbookViewId="0">
      <selection activeCell="F31" sqref="F31:I31"/>
    </sheetView>
  </sheetViews>
  <sheetFormatPr defaultColWidth="9.44140625" defaultRowHeight="13.8"/>
  <cols>
    <col min="1" max="1" width="10.44140625" style="9" customWidth="1"/>
    <col min="2" max="16384" width="9.44140625" style="9"/>
  </cols>
  <sheetData>
    <row r="1" spans="1:29">
      <c r="A1" s="9" t="str">
        <f>Nitin!A2</f>
        <v>KARDEX INDIA - LIVE OFFER FUNEL - NITIN - NORTH</v>
      </c>
    </row>
    <row r="3" spans="1:29">
      <c r="A3" s="9" t="str" cm="1">
        <f t="array" ref="A3:B3">Nitin!A4:B4</f>
        <v>Total Offers</v>
      </c>
      <c r="B3" s="9">
        <v>105</v>
      </c>
      <c r="T3" s="9" t="str" cm="1">
        <f t="array" ref="T3:U5">Nitin!U3:V5</f>
        <v>Total Offered Value</v>
      </c>
      <c r="U3" s="9">
        <v>90614952</v>
      </c>
    </row>
    <row r="4" spans="1:29">
      <c r="T4" s="9" t="str">
        <v>Order Received</v>
      </c>
      <c r="U4" s="9">
        <v>20480176</v>
      </c>
    </row>
    <row r="5" spans="1:29">
      <c r="T5" s="9" t="str">
        <v>Open Funnel</v>
      </c>
      <c r="U5" s="9">
        <v>34526180</v>
      </c>
    </row>
    <row r="7" spans="1:29">
      <c r="A7" s="9" t="str" cm="1">
        <f t="array" ref="A7:Y69">Nitin!A6:Y68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AA7" s="9" t="str" cm="1">
        <f t="array" ref="AA7:AC15">Nitin!AC2:AE10</f>
        <v>Month wise data</v>
      </c>
      <c r="AB7" s="9">
        <v>0</v>
      </c>
      <c r="AC7" s="9">
        <v>0</v>
      </c>
    </row>
    <row r="8" spans="1:29">
      <c r="A8" s="9">
        <v>1</v>
      </c>
      <c r="B8" s="9">
        <v>45307</v>
      </c>
      <c r="C8" s="9" t="str">
        <v>International Tractors Ltd</v>
      </c>
      <c r="D8" s="9" t="str">
        <v>Hoshiarpur- Punjab</v>
      </c>
      <c r="E8" s="9" t="str">
        <v>STORES</v>
      </c>
      <c r="F8" s="9" t="str">
        <v>DESHRAJ CHECHI</v>
      </c>
      <c r="G8" s="9">
        <v>9115527822</v>
      </c>
      <c r="H8" s="9" t="str">
        <v>desraj.chechi@sonalika.com</v>
      </c>
      <c r="I8" s="9" t="str">
        <v>21002991/001</v>
      </c>
      <c r="J8" s="9" t="str">
        <v>Contract</v>
      </c>
      <c r="K8" s="9" t="str">
        <v>No</v>
      </c>
      <c r="L8" s="9" t="str">
        <v>KXIND/N/MC/NJ25001</v>
      </c>
      <c r="M8" s="9">
        <v>45660</v>
      </c>
      <c r="N8" s="9">
        <v>160000</v>
      </c>
      <c r="O8" s="9" t="str">
        <v>January</v>
      </c>
      <c r="P8" s="9" t="str">
        <v>June</v>
      </c>
      <c r="Q8" s="9">
        <v>1</v>
      </c>
      <c r="R8" s="9">
        <v>6100008808</v>
      </c>
      <c r="S8" s="9">
        <v>45799</v>
      </c>
      <c r="T8" s="9">
        <v>120000</v>
      </c>
      <c r="U8" s="9" t="str">
        <v>May</v>
      </c>
      <c r="V8" s="9">
        <v>0</v>
      </c>
      <c r="W8" s="9" t="str">
        <v>PO RECEIVED</v>
      </c>
      <c r="X8" s="9">
        <v>0</v>
      </c>
      <c r="Y8" s="9">
        <v>0</v>
      </c>
      <c r="AA8" s="9" t="str">
        <v>Month</v>
      </c>
      <c r="AB8" s="9" t="str">
        <v>Offers Total</v>
      </c>
      <c r="AC8" s="9" t="str">
        <v>Order received</v>
      </c>
    </row>
    <row r="9" spans="1:29">
      <c r="A9" s="9">
        <v>0</v>
      </c>
      <c r="B9" s="9">
        <v>0</v>
      </c>
      <c r="C9" s="9" t="str">
        <v>International Tractors Ltd</v>
      </c>
      <c r="D9" s="9" t="str">
        <v>Hoshiarpur- Punjab</v>
      </c>
      <c r="E9" s="9" t="str">
        <v>STORES</v>
      </c>
      <c r="F9" s="9" t="str">
        <v>DESHRAJ CHECHI</v>
      </c>
      <c r="G9" s="9">
        <v>9115527822</v>
      </c>
      <c r="H9" s="9" t="str">
        <v>desraj.chechi@sonalika.com</v>
      </c>
      <c r="I9" s="9" t="str">
        <v>21002991/002</v>
      </c>
      <c r="J9" s="9" t="str">
        <v>Contract</v>
      </c>
      <c r="K9" s="9" t="str">
        <v>No</v>
      </c>
      <c r="L9" s="9" t="str">
        <v>KXIND/N/MC/NJ25001</v>
      </c>
      <c r="M9" s="9">
        <v>45660</v>
      </c>
      <c r="N9" s="9">
        <v>160000</v>
      </c>
      <c r="O9" s="9" t="str">
        <v>January</v>
      </c>
      <c r="P9" s="9" t="str">
        <v>June</v>
      </c>
      <c r="Q9" s="9">
        <v>1</v>
      </c>
      <c r="R9" s="9">
        <v>6100008808</v>
      </c>
      <c r="S9" s="9">
        <v>45799</v>
      </c>
      <c r="T9" s="9">
        <v>120000</v>
      </c>
      <c r="U9" s="9" t="str">
        <v>May</v>
      </c>
      <c r="V9" s="9">
        <v>0</v>
      </c>
      <c r="W9" s="9" t="str">
        <v>PO RECEIVED</v>
      </c>
      <c r="X9" s="9">
        <v>0</v>
      </c>
      <c r="Y9" s="9">
        <v>0</v>
      </c>
      <c r="AA9" s="9" t="str">
        <v>January</v>
      </c>
      <c r="AB9" s="9">
        <v>13078516</v>
      </c>
      <c r="AC9" s="9">
        <v>2546919</v>
      </c>
    </row>
    <row r="10" spans="1:29">
      <c r="A10" s="9">
        <v>0</v>
      </c>
      <c r="B10" s="9">
        <v>0</v>
      </c>
      <c r="C10" s="9" t="str">
        <v>International Tractors Ltd</v>
      </c>
      <c r="D10" s="9" t="str">
        <v>Hoshiarpur- Punjab</v>
      </c>
      <c r="E10" s="9" t="str">
        <v>STORES</v>
      </c>
      <c r="F10" s="9" t="str">
        <v>DESHRAJ CHECHI</v>
      </c>
      <c r="G10" s="9">
        <v>9115527822</v>
      </c>
      <c r="H10" s="9" t="str">
        <v>desraj.chechi@sonalika.com</v>
      </c>
      <c r="I10" s="9" t="str">
        <v>21002991/003</v>
      </c>
      <c r="J10" s="9" t="str">
        <v>Contract</v>
      </c>
      <c r="K10" s="9" t="str">
        <v>No</v>
      </c>
      <c r="L10" s="9" t="str">
        <v>KXIND/N/MC/NJ25001</v>
      </c>
      <c r="M10" s="9">
        <v>45660</v>
      </c>
      <c r="N10" s="9">
        <v>160000</v>
      </c>
      <c r="O10" s="9" t="str">
        <v>January</v>
      </c>
      <c r="P10" s="9" t="str">
        <v>June</v>
      </c>
      <c r="Q10" s="9">
        <v>1</v>
      </c>
      <c r="R10" s="9">
        <v>6100008808</v>
      </c>
      <c r="S10" s="9">
        <v>45799</v>
      </c>
      <c r="T10" s="9">
        <v>120000</v>
      </c>
      <c r="U10" s="9" t="str">
        <v>May</v>
      </c>
      <c r="V10" s="9">
        <v>0</v>
      </c>
      <c r="W10" s="9" t="str">
        <v>PO RECEIVED</v>
      </c>
      <c r="X10" s="9">
        <v>0</v>
      </c>
      <c r="Y10" s="9">
        <v>0</v>
      </c>
      <c r="AA10" s="9" t="str">
        <v>February</v>
      </c>
      <c r="AB10" s="9">
        <v>6400898</v>
      </c>
      <c r="AC10" s="9">
        <v>1769120</v>
      </c>
    </row>
    <row r="11" spans="1:29">
      <c r="A11" s="9">
        <v>2</v>
      </c>
      <c r="B11" s="9">
        <v>45307</v>
      </c>
      <c r="C11" s="9" t="str">
        <v>Maruti Suzuki India Ltd</v>
      </c>
      <c r="D11" s="9" t="str">
        <v>Manesar</v>
      </c>
      <c r="E11" s="9" t="str">
        <v>MAINTENANCE</v>
      </c>
      <c r="F11" s="9" t="str">
        <v>ANIL</v>
      </c>
      <c r="G11" s="9">
        <v>9873069544</v>
      </c>
      <c r="H11" s="9" t="str">
        <v>Anil2@maruti.co.in</v>
      </c>
      <c r="I11" s="9" t="str">
        <v>9003750/001</v>
      </c>
      <c r="J11" s="9" t="str">
        <v>Contract</v>
      </c>
      <c r="K11" s="9" t="str">
        <v>No</v>
      </c>
      <c r="L11" s="9" t="str">
        <v>KXIND/N/MC/NJ25002</v>
      </c>
      <c r="M11" s="9">
        <v>45672</v>
      </c>
      <c r="N11" s="9">
        <v>88000</v>
      </c>
      <c r="O11" s="9" t="str">
        <v>January</v>
      </c>
      <c r="P11" s="9" t="str">
        <v>May</v>
      </c>
      <c r="Q11" s="9">
        <v>1</v>
      </c>
      <c r="R11" s="9">
        <v>916184</v>
      </c>
      <c r="S11" s="9">
        <v>45811</v>
      </c>
      <c r="T11" s="9">
        <v>74480</v>
      </c>
      <c r="U11" s="9" t="str">
        <v>May</v>
      </c>
      <c r="V11" s="9">
        <v>0</v>
      </c>
      <c r="W11" s="9">
        <v>0</v>
      </c>
      <c r="X11" s="9">
        <v>0</v>
      </c>
      <c r="Y11" s="9">
        <v>0</v>
      </c>
      <c r="AA11" s="9" t="str">
        <v>March</v>
      </c>
      <c r="AB11" s="9">
        <v>1506000</v>
      </c>
      <c r="AC11" s="9">
        <v>2149846</v>
      </c>
    </row>
    <row r="12" spans="1:29">
      <c r="A12" s="9">
        <v>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AA12" s="9" t="str">
        <v>April</v>
      </c>
      <c r="AB12" s="9">
        <v>7703195</v>
      </c>
      <c r="AC12" s="9">
        <v>620086</v>
      </c>
    </row>
    <row r="13" spans="1:29">
      <c r="A13" s="9">
        <v>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AA13" s="9" t="str">
        <v>May</v>
      </c>
      <c r="AB13" s="9">
        <v>27798763</v>
      </c>
      <c r="AC13" s="9">
        <v>1755480</v>
      </c>
    </row>
    <row r="14" spans="1:29">
      <c r="A14" s="9">
        <v>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AA14" s="9" t="str">
        <v>June</v>
      </c>
      <c r="AB14" s="9">
        <v>11175096</v>
      </c>
      <c r="AC14" s="9">
        <v>2001518</v>
      </c>
    </row>
    <row r="15" spans="1:29">
      <c r="A15" s="9">
        <v>3</v>
      </c>
      <c r="B15" s="9">
        <v>45307</v>
      </c>
      <c r="C15" s="9" t="str">
        <v>Sansera Engineering Ltd</v>
      </c>
      <c r="D15" s="9" t="str">
        <v>Rudrapur</v>
      </c>
      <c r="E15" s="9" t="str">
        <v>MAINTENANCE</v>
      </c>
      <c r="F15" s="9" t="str">
        <v>LAXMI DATT</v>
      </c>
      <c r="G15" s="9">
        <v>9997534222</v>
      </c>
      <c r="H15" s="9" t="str">
        <v>laxmi_datt@sansera.in</v>
      </c>
      <c r="I15" s="9" t="str">
        <v>12004078/001</v>
      </c>
      <c r="J15" s="9" t="str">
        <v>Contract</v>
      </c>
      <c r="K15" s="9" t="str">
        <v>No</v>
      </c>
      <c r="L15" s="9" t="str">
        <v>KXIND/N/MC/NJ25003</v>
      </c>
      <c r="M15" s="9">
        <v>45672</v>
      </c>
      <c r="N15" s="9">
        <v>145000</v>
      </c>
      <c r="O15" s="9" t="str">
        <v>January</v>
      </c>
      <c r="P15" s="9" t="str">
        <v>June</v>
      </c>
      <c r="Q15" s="9">
        <v>1</v>
      </c>
      <c r="R15" s="9">
        <v>1250008989</v>
      </c>
      <c r="S15" s="9">
        <v>45798</v>
      </c>
      <c r="T15" s="9">
        <v>130000</v>
      </c>
      <c r="U15" s="9" t="str">
        <v>MAY</v>
      </c>
      <c r="V15" s="9">
        <v>0</v>
      </c>
      <c r="W15" s="9">
        <v>0</v>
      </c>
      <c r="X15" s="9">
        <v>0</v>
      </c>
      <c r="Y15" s="9">
        <v>0</v>
      </c>
      <c r="AA15" s="9" t="str">
        <v>July</v>
      </c>
      <c r="AB15" s="9">
        <v>1210522</v>
      </c>
      <c r="AC15" s="9">
        <v>684097</v>
      </c>
    </row>
    <row r="16" spans="1:29">
      <c r="A16" s="9">
        <v>4</v>
      </c>
      <c r="B16" s="9">
        <v>0</v>
      </c>
      <c r="C16" s="9" t="str">
        <v>Hero Moto Corp Ltd.</v>
      </c>
      <c r="D16" s="9" t="str">
        <v>Dharuhera</v>
      </c>
      <c r="E16" s="9" t="str">
        <v>MAINTENANCE</v>
      </c>
      <c r="F16" s="9" t="str">
        <v>TUSHAR VATS</v>
      </c>
      <c r="G16" s="9">
        <v>8003992912</v>
      </c>
      <c r="H16" s="9" t="str">
        <v>tushar.vats@heromotocorp.com</v>
      </c>
      <c r="I16" s="9" t="str">
        <v>06003162/001</v>
      </c>
      <c r="J16" s="9" t="str">
        <v>CONTRACT</v>
      </c>
      <c r="K16" s="9" t="str">
        <v>No</v>
      </c>
      <c r="L16" s="9" t="str">
        <v>KXIND/N/MC/NJ25004</v>
      </c>
      <c r="M16" s="9">
        <v>45672</v>
      </c>
      <c r="N16" s="9">
        <v>80000</v>
      </c>
      <c r="O16" s="9" t="str">
        <v>January</v>
      </c>
      <c r="P16" s="9" t="str">
        <v>April</v>
      </c>
      <c r="Q16" s="9">
        <v>1</v>
      </c>
      <c r="R16" s="9">
        <v>2710000560</v>
      </c>
      <c r="S16" s="9">
        <v>45713</v>
      </c>
      <c r="T16" s="9">
        <v>61000</v>
      </c>
      <c r="U16" s="9" t="str">
        <v>February</v>
      </c>
      <c r="V16" s="9">
        <v>0</v>
      </c>
      <c r="W16" s="9" t="str">
        <v>REPEAT ORDER</v>
      </c>
      <c r="X16" s="9">
        <v>0</v>
      </c>
      <c r="Y16" s="9">
        <v>0</v>
      </c>
    </row>
    <row r="17" spans="1:25">
      <c r="A17" s="9">
        <v>5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</row>
    <row r="18" spans="1:25">
      <c r="A18" s="9">
        <v>0</v>
      </c>
      <c r="B18" s="9">
        <v>45307</v>
      </c>
      <c r="C18" s="9" t="str">
        <v>Hero Moto Corp Ltd.</v>
      </c>
      <c r="D18" s="9" t="str">
        <v>Neemarana</v>
      </c>
      <c r="E18" s="9" t="str">
        <v>PURCHASE</v>
      </c>
      <c r="F18" s="9" t="str">
        <v>KISHAN KUMAR</v>
      </c>
      <c r="G18" s="9">
        <v>8750673003</v>
      </c>
      <c r="H18" s="9" t="str">
        <v>kishan.maurya@heromotocorp.com</v>
      </c>
      <c r="I18" s="9" t="str">
        <v>13000230/001</v>
      </c>
      <c r="J18" s="9" t="str">
        <v>Contract</v>
      </c>
      <c r="K18" s="9" t="str">
        <v>No</v>
      </c>
      <c r="L18" s="9" t="str">
        <v>KXIND/N/MC/NJ25005</v>
      </c>
      <c r="M18" s="9">
        <v>45672</v>
      </c>
      <c r="N18" s="9">
        <v>85000</v>
      </c>
      <c r="O18" s="9" t="str">
        <v>January</v>
      </c>
      <c r="P18" s="9" t="str">
        <v>April</v>
      </c>
      <c r="Q18" s="9">
        <v>1</v>
      </c>
      <c r="R18" s="9">
        <v>2710000809</v>
      </c>
      <c r="S18" s="9">
        <v>45763</v>
      </c>
      <c r="T18" s="9">
        <v>85000</v>
      </c>
      <c r="U18" s="9" t="str">
        <v>May</v>
      </c>
      <c r="V18" s="9">
        <v>0</v>
      </c>
      <c r="W18" s="9">
        <v>0</v>
      </c>
      <c r="X18" s="9">
        <v>0</v>
      </c>
      <c r="Y18" s="9">
        <v>0</v>
      </c>
    </row>
    <row r="19" spans="1:25">
      <c r="A19" s="9">
        <v>6</v>
      </c>
      <c r="B19" s="9">
        <v>0</v>
      </c>
      <c r="C19" s="9" t="str">
        <v>Hero Moto Corp Ltd.</v>
      </c>
      <c r="D19" s="9" t="str">
        <v>Neemarana</v>
      </c>
      <c r="E19" s="9" t="str">
        <v>PURCHASE</v>
      </c>
      <c r="F19" s="9" t="str">
        <v>KISHAN KUMAR</v>
      </c>
      <c r="G19" s="9">
        <v>8750673003</v>
      </c>
      <c r="H19" s="9" t="str">
        <v>kishan.maurya@heromotocorp.com</v>
      </c>
      <c r="I19" s="9" t="str">
        <v>13000243/001</v>
      </c>
      <c r="J19" s="9" t="str">
        <v>Contract</v>
      </c>
      <c r="K19" s="9" t="str">
        <v>No</v>
      </c>
      <c r="L19" s="9" t="str">
        <v>KXIND/N/MC/NJ25005</v>
      </c>
      <c r="M19" s="9">
        <v>45672</v>
      </c>
      <c r="N19" s="9">
        <v>85000</v>
      </c>
      <c r="O19" s="9" t="str">
        <v>January</v>
      </c>
      <c r="P19" s="9" t="str">
        <v>April</v>
      </c>
      <c r="Q19" s="9">
        <v>1</v>
      </c>
      <c r="R19" s="9">
        <v>2710000809</v>
      </c>
      <c r="S19" s="9">
        <v>45763</v>
      </c>
      <c r="T19" s="9">
        <v>85000</v>
      </c>
      <c r="U19" s="9" t="str">
        <v>May</v>
      </c>
      <c r="V19" s="9">
        <v>0</v>
      </c>
      <c r="W19" s="9">
        <v>0</v>
      </c>
      <c r="X19" s="9">
        <v>0</v>
      </c>
      <c r="Y19" s="9">
        <v>0</v>
      </c>
    </row>
    <row r="20" spans="1:25">
      <c r="A20" s="9">
        <v>7</v>
      </c>
      <c r="B20" s="9">
        <v>45307</v>
      </c>
      <c r="C20" s="9" t="str">
        <v>Autometers Aliance Ltd.</v>
      </c>
      <c r="D20" s="9" t="str">
        <v>Noida</v>
      </c>
      <c r="E20" s="9" t="str">
        <v>MAINTENANCE</v>
      </c>
      <c r="F20" s="9" t="str">
        <v>SUDHIR</v>
      </c>
      <c r="G20" s="9">
        <v>9717316884</v>
      </c>
      <c r="H20" s="9" t="str">
        <v>maintenance@autometers.com</v>
      </c>
      <c r="I20" s="9" t="str">
        <v>01007122/001</v>
      </c>
      <c r="J20" s="9" t="str">
        <v>BD Charges</v>
      </c>
      <c r="K20" s="9" t="str">
        <v>No</v>
      </c>
      <c r="L20" s="9" t="str">
        <v>KXIND/N/SER/NJ25006</v>
      </c>
      <c r="M20" s="9">
        <v>45672</v>
      </c>
      <c r="N20" s="9">
        <v>25000</v>
      </c>
      <c r="O20" s="9" t="str">
        <v>January</v>
      </c>
      <c r="P20" s="9" t="str">
        <v>January</v>
      </c>
      <c r="Q20" s="9">
        <v>1</v>
      </c>
      <c r="R20" s="9" t="str">
        <v>9000/SER200556</v>
      </c>
      <c r="S20" s="9">
        <v>45672</v>
      </c>
      <c r="T20" s="9">
        <v>25000</v>
      </c>
      <c r="U20" s="9" t="str">
        <v>January</v>
      </c>
      <c r="V20" s="9">
        <v>0</v>
      </c>
      <c r="W20" s="9">
        <v>0</v>
      </c>
      <c r="X20" s="9">
        <v>0</v>
      </c>
      <c r="Y20" s="9">
        <v>45685</v>
      </c>
    </row>
    <row r="21" spans="1:25">
      <c r="A21" s="9">
        <v>8</v>
      </c>
      <c r="B21" s="9">
        <v>45307</v>
      </c>
      <c r="C21" s="9" t="str">
        <v>Autometers Aliance Ltd.</v>
      </c>
      <c r="D21" s="9" t="str">
        <v>Noida</v>
      </c>
      <c r="E21" s="9" t="str">
        <v>MAINTENANCE</v>
      </c>
      <c r="F21" s="9" t="str">
        <v>RANVIR RAMOLA</v>
      </c>
      <c r="G21" s="9">
        <v>9811458564</v>
      </c>
      <c r="H21" s="9" t="str">
        <v>ranvir.ramola@autometers.com</v>
      </c>
      <c r="I21" s="9" t="str">
        <v>01007122/001</v>
      </c>
      <c r="J21" s="9" t="str">
        <v>BD Spare</v>
      </c>
      <c r="K21" s="9" t="str">
        <v>No</v>
      </c>
      <c r="L21" s="9" t="str">
        <v>KXIND/N/SPP/NJ25007</v>
      </c>
      <c r="M21" s="9">
        <v>45673</v>
      </c>
      <c r="N21" s="9">
        <v>119428</v>
      </c>
      <c r="O21" s="9" t="str">
        <v>January</v>
      </c>
      <c r="P21" s="9" t="str">
        <v>January</v>
      </c>
      <c r="Q21" s="9">
        <v>1</v>
      </c>
      <c r="R21" s="9" t="str">
        <v>9000/LGN202983</v>
      </c>
      <c r="S21" s="9">
        <v>45674</v>
      </c>
      <c r="T21" s="9">
        <v>115845</v>
      </c>
      <c r="U21" s="9" t="str">
        <v>January</v>
      </c>
      <c r="V21" s="9">
        <v>3583</v>
      </c>
      <c r="W21" s="9">
        <v>0</v>
      </c>
      <c r="X21" s="9">
        <v>0</v>
      </c>
      <c r="Y21" s="9">
        <v>45678</v>
      </c>
    </row>
    <row r="22" spans="1:25">
      <c r="A22" s="9">
        <v>9</v>
      </c>
      <c r="B22" s="9">
        <v>45307</v>
      </c>
      <c r="C22" s="9" t="str">
        <v>BLUESTAR</v>
      </c>
      <c r="D22" s="9" t="str">
        <v>NAHAN</v>
      </c>
      <c r="E22" s="9" t="str">
        <v>MAINTENANCE</v>
      </c>
      <c r="F22" s="9" t="str">
        <v>SACHIN</v>
      </c>
      <c r="G22" s="9">
        <v>9816002875</v>
      </c>
      <c r="H22" s="9" t="str">
        <v>sushilchaudhary@bluestarindia.com</v>
      </c>
      <c r="I22" s="9" t="str">
        <v>18002097/001</v>
      </c>
      <c r="J22" s="9" t="str">
        <v>BD Charges</v>
      </c>
      <c r="K22" s="9" t="str">
        <v>No</v>
      </c>
      <c r="L22" s="9" t="str">
        <v>KXIND/N/SER/NJ240076</v>
      </c>
      <c r="M22" s="9">
        <v>45618</v>
      </c>
      <c r="N22" s="9">
        <v>30000</v>
      </c>
      <c r="O22" s="9" t="str">
        <v>January</v>
      </c>
      <c r="P22" s="9" t="str">
        <v>January</v>
      </c>
      <c r="Q22" s="9">
        <v>1</v>
      </c>
      <c r="R22" s="9">
        <v>5000127914</v>
      </c>
      <c r="S22" s="9">
        <v>45660</v>
      </c>
      <c r="T22" s="9">
        <v>28000</v>
      </c>
      <c r="U22" s="9" t="str">
        <v>January</v>
      </c>
      <c r="V22" s="9">
        <v>2000</v>
      </c>
      <c r="W22" s="9" t="str">
        <v>QUOTE IS FROM YEAR 2024</v>
      </c>
      <c r="X22" s="9">
        <v>0</v>
      </c>
      <c r="Y22" s="9">
        <v>0</v>
      </c>
    </row>
    <row r="23" spans="1:25">
      <c r="A23" s="9">
        <v>10</v>
      </c>
      <c r="B23" s="9">
        <v>45307</v>
      </c>
      <c r="C23" s="9" t="str">
        <v>Bharat Electronics Ltd</v>
      </c>
      <c r="D23" s="9" t="str">
        <v>Ghaziabad</v>
      </c>
      <c r="E23" s="9" t="str">
        <v>RADAR</v>
      </c>
      <c r="F23" s="9" t="str">
        <v>DHEERAJ</v>
      </c>
      <c r="G23" s="9">
        <v>9810305992</v>
      </c>
      <c r="H23" s="9" t="str">
        <v>dheerajkumar@bel.co.in</v>
      </c>
      <c r="I23" s="9" t="str">
        <v>14000083/001</v>
      </c>
      <c r="J23" s="9" t="str">
        <v>Midlife Upgrade</v>
      </c>
      <c r="K23" s="9" t="str">
        <v>Yes</v>
      </c>
      <c r="L23" s="9" t="str">
        <v>KXIND/N/SPP/NJ24-005</v>
      </c>
      <c r="M23" s="9">
        <v>45304</v>
      </c>
      <c r="N23" s="9">
        <v>1606254</v>
      </c>
      <c r="O23" s="9" t="str">
        <v>January</v>
      </c>
      <c r="P23" s="9" t="str">
        <v>January</v>
      </c>
      <c r="Q23" s="9">
        <v>1</v>
      </c>
      <c r="R23" s="9">
        <v>4000496392</v>
      </c>
      <c r="S23" s="9">
        <v>45659</v>
      </c>
      <c r="T23" s="9">
        <v>1272992</v>
      </c>
      <c r="U23" s="9" t="str">
        <v>January</v>
      </c>
      <c r="V23" s="9">
        <v>333262</v>
      </c>
      <c r="W23" s="9" t="str">
        <v>QUOTE IS FROM YEAR 2024</v>
      </c>
      <c r="X23" s="9">
        <v>0</v>
      </c>
      <c r="Y23" s="9">
        <v>45687</v>
      </c>
    </row>
    <row r="24" spans="1:25">
      <c r="A24" s="9">
        <v>11</v>
      </c>
      <c r="B24" s="9">
        <v>45684</v>
      </c>
      <c r="C24" s="9" t="str">
        <v>Hero Moto Corp Ltd.</v>
      </c>
      <c r="D24" s="9" t="str">
        <v>Gurgaon</v>
      </c>
      <c r="E24" s="9" t="str">
        <v>PURCHASE</v>
      </c>
      <c r="F24" s="9" t="str">
        <v>ASHISH MEHER</v>
      </c>
      <c r="G24" s="9">
        <v>9937005843</v>
      </c>
      <c r="H24" s="9" t="str">
        <v>ashish.meher@heromotocorp.com</v>
      </c>
      <c r="I24" s="9" t="str">
        <v>06002968/001</v>
      </c>
      <c r="J24" s="9" t="str">
        <v>Contract</v>
      </c>
      <c r="K24" s="9" t="str">
        <v>No</v>
      </c>
      <c r="L24" s="9" t="str">
        <v xml:space="preserve">KXIND/N/MC/NJ25008         </v>
      </c>
      <c r="M24" s="9">
        <v>45673</v>
      </c>
      <c r="N24" s="9">
        <v>75000</v>
      </c>
      <c r="O24" s="9" t="str">
        <v>January</v>
      </c>
      <c r="P24" s="9" t="str">
        <v>April</v>
      </c>
      <c r="Q24" s="9">
        <v>1</v>
      </c>
      <c r="R24" s="9">
        <v>2710000789</v>
      </c>
      <c r="S24" s="9">
        <v>45762</v>
      </c>
      <c r="T24" s="9">
        <v>75000</v>
      </c>
      <c r="U24" s="9" t="str">
        <v>April</v>
      </c>
      <c r="V24" s="9">
        <v>0</v>
      </c>
      <c r="W24" s="9">
        <v>0</v>
      </c>
      <c r="X24" s="9">
        <v>0</v>
      </c>
      <c r="Y24" s="9">
        <v>0</v>
      </c>
    </row>
    <row r="25" spans="1:25">
      <c r="A25" s="9">
        <v>0</v>
      </c>
      <c r="B25" s="9">
        <v>0</v>
      </c>
      <c r="C25" s="9" t="str">
        <v>Hero Moto Corp Ltd.</v>
      </c>
      <c r="D25" s="9" t="str">
        <v>Gurgaon</v>
      </c>
      <c r="E25" s="9" t="str">
        <v>PURCHASE</v>
      </c>
      <c r="F25" s="9" t="str">
        <v>ASHISH MEHER</v>
      </c>
      <c r="G25" s="9">
        <v>9937005843</v>
      </c>
      <c r="H25" s="9" t="str">
        <v>ashish.meher@heromotocorp.com</v>
      </c>
      <c r="I25" s="9" t="str">
        <v>12003547/001</v>
      </c>
      <c r="J25" s="9" t="str">
        <v>Contract</v>
      </c>
      <c r="K25" s="9" t="str">
        <v>No</v>
      </c>
      <c r="L25" s="9" t="str">
        <v xml:space="preserve">KXIND/N/MC/NJ25008         </v>
      </c>
      <c r="M25" s="9">
        <v>45673</v>
      </c>
      <c r="N25" s="9">
        <v>90000</v>
      </c>
      <c r="O25" s="9" t="str">
        <v>January</v>
      </c>
      <c r="P25" s="9" t="str">
        <v>April</v>
      </c>
      <c r="Q25" s="9">
        <v>1</v>
      </c>
      <c r="R25" s="9">
        <v>2710000789</v>
      </c>
      <c r="S25" s="9">
        <v>45762</v>
      </c>
      <c r="T25" s="9">
        <v>90000</v>
      </c>
      <c r="U25" s="9" t="str">
        <v>April</v>
      </c>
      <c r="V25" s="9">
        <v>0</v>
      </c>
      <c r="W25" s="9">
        <v>0</v>
      </c>
      <c r="X25" s="9">
        <v>0</v>
      </c>
      <c r="Y25" s="9">
        <v>0</v>
      </c>
    </row>
    <row r="26" spans="1:25">
      <c r="A26" s="9">
        <v>0</v>
      </c>
      <c r="B26" s="9">
        <v>0</v>
      </c>
      <c r="C26" s="9" t="str">
        <v>Hero Moto Corp Ltd.</v>
      </c>
      <c r="D26" s="9" t="str">
        <v>Gurgaon</v>
      </c>
      <c r="E26" s="9" t="str">
        <v>PURCHASE</v>
      </c>
      <c r="F26" s="9" t="str">
        <v>ASHISH MEHER</v>
      </c>
      <c r="G26" s="9">
        <v>9937005843</v>
      </c>
      <c r="H26" s="9" t="str">
        <v>ashish.meher@heromotocorp.com</v>
      </c>
      <c r="I26" s="9" t="str">
        <v>15003407/001</v>
      </c>
      <c r="J26" s="9" t="str">
        <v>Contract</v>
      </c>
      <c r="K26" s="9" t="str">
        <v>No</v>
      </c>
      <c r="L26" s="9" t="str">
        <v xml:space="preserve">KXIND/N/MC/NJ25008         </v>
      </c>
      <c r="M26" s="9">
        <v>45673</v>
      </c>
      <c r="N26" s="9">
        <v>98000</v>
      </c>
      <c r="O26" s="9" t="str">
        <v>January</v>
      </c>
      <c r="P26" s="9" t="str">
        <v>April</v>
      </c>
      <c r="Q26" s="9">
        <v>1</v>
      </c>
      <c r="R26" s="9">
        <v>2710000789</v>
      </c>
      <c r="S26" s="9">
        <v>45762</v>
      </c>
      <c r="T26" s="9">
        <v>80000</v>
      </c>
      <c r="U26" s="9" t="str">
        <v>April</v>
      </c>
      <c r="V26" s="9">
        <v>0</v>
      </c>
      <c r="W26" s="9">
        <v>0</v>
      </c>
      <c r="X26" s="9">
        <v>0</v>
      </c>
      <c r="Y26" s="9">
        <v>0</v>
      </c>
    </row>
    <row r="27" spans="1:25">
      <c r="A27" s="9">
        <v>0</v>
      </c>
      <c r="B27" s="9">
        <v>0</v>
      </c>
      <c r="C27" s="9" t="str">
        <v>Hero Moto Corp Ltd.</v>
      </c>
      <c r="D27" s="9" t="str">
        <v>Gurgaon</v>
      </c>
      <c r="E27" s="9" t="str">
        <v>PURCHASE</v>
      </c>
      <c r="F27" s="9" t="str">
        <v>ASHISH MEHER</v>
      </c>
      <c r="G27" s="9">
        <v>9937005843</v>
      </c>
      <c r="H27" s="9" t="str">
        <v>ashish.meher@heromotocorp.com</v>
      </c>
      <c r="I27" s="9" t="str">
        <v>18006052/001</v>
      </c>
      <c r="J27" s="9" t="str">
        <v>Contract</v>
      </c>
      <c r="K27" s="9" t="str">
        <v>No</v>
      </c>
      <c r="L27" s="9" t="str">
        <v xml:space="preserve">KXIND/N/MC/NJ25008         </v>
      </c>
      <c r="M27" s="9">
        <v>45673</v>
      </c>
      <c r="N27" s="9">
        <v>95000</v>
      </c>
      <c r="O27" s="9" t="str">
        <v>January</v>
      </c>
      <c r="P27" s="9" t="str">
        <v>May</v>
      </c>
      <c r="Q27" s="9">
        <v>1</v>
      </c>
      <c r="R27" s="9">
        <v>2710000789</v>
      </c>
      <c r="S27" s="9">
        <v>45762</v>
      </c>
      <c r="T27" s="9">
        <v>85000</v>
      </c>
      <c r="U27" s="9" t="str">
        <v>April</v>
      </c>
      <c r="V27" s="9">
        <v>0</v>
      </c>
      <c r="W27" s="9">
        <v>0</v>
      </c>
      <c r="X27" s="9">
        <v>0</v>
      </c>
      <c r="Y27" s="9">
        <v>0</v>
      </c>
    </row>
    <row r="28" spans="1:25">
      <c r="A28" s="9">
        <v>12</v>
      </c>
      <c r="B28" s="9">
        <v>45684</v>
      </c>
      <c r="C28" s="9" t="str">
        <v>Bharat Electronics Ltd</v>
      </c>
      <c r="D28" s="9" t="str">
        <v>Ghaziabad</v>
      </c>
      <c r="E28" s="9" t="str">
        <v>ANTENNA</v>
      </c>
      <c r="F28" s="9" t="str">
        <v>SURESH KUMAR  SIAINI</v>
      </c>
      <c r="G28" s="9">
        <v>9050457078</v>
      </c>
      <c r="H28" s="9" t="str">
        <v>sureshkumarsaini@bel.co.in</v>
      </c>
      <c r="I28" s="9" t="str">
        <v>04007012/004</v>
      </c>
      <c r="J28" s="9" t="str">
        <v>Contract</v>
      </c>
      <c r="K28" s="9" t="str">
        <v>No</v>
      </c>
      <c r="L28" s="9" t="str">
        <v xml:space="preserve">KXIND/N/MC/NJ25009         </v>
      </c>
      <c r="M28" s="9">
        <v>45673</v>
      </c>
      <c r="N28" s="9">
        <v>58000</v>
      </c>
      <c r="O28" s="9" t="str">
        <v>January</v>
      </c>
      <c r="P28" s="9" t="str">
        <v>August</v>
      </c>
      <c r="Q28" s="9">
        <v>1</v>
      </c>
      <c r="R28" s="9">
        <v>4800090227</v>
      </c>
      <c r="S28" s="9">
        <v>45924</v>
      </c>
      <c r="T28" s="9">
        <v>62080</v>
      </c>
      <c r="U28" s="9" t="str">
        <v>September</v>
      </c>
      <c r="V28" s="9">
        <v>0</v>
      </c>
      <c r="W28" s="9">
        <v>0</v>
      </c>
      <c r="X28" s="9">
        <v>0</v>
      </c>
      <c r="Y28" s="9">
        <v>0</v>
      </c>
    </row>
    <row r="29" spans="1:25">
      <c r="A29" s="9">
        <v>0</v>
      </c>
      <c r="B29" s="9">
        <v>0</v>
      </c>
      <c r="C29" s="9" t="str">
        <v>Bharat Electronics Ltd</v>
      </c>
      <c r="D29" s="9" t="str">
        <v>Ghaziabad</v>
      </c>
      <c r="E29" s="9" t="str">
        <v>ANTENNA</v>
      </c>
      <c r="F29" s="9" t="str">
        <v>SURESH KUMAR  SIAINI</v>
      </c>
      <c r="G29" s="9">
        <v>9050457078</v>
      </c>
      <c r="H29" s="9" t="str">
        <v>sureshkumarsaini@bel.co.in</v>
      </c>
      <c r="I29" s="9" t="str">
        <v>13000073/001</v>
      </c>
      <c r="J29" s="9" t="str">
        <v>Contract</v>
      </c>
      <c r="K29" s="9" t="str">
        <v>No</v>
      </c>
      <c r="L29" s="9" t="str">
        <v xml:space="preserve">KXIND/N/MC/NJ25009         </v>
      </c>
      <c r="M29" s="9">
        <v>45673</v>
      </c>
      <c r="N29" s="9">
        <v>58000</v>
      </c>
      <c r="O29" s="9" t="str">
        <v>January</v>
      </c>
      <c r="P29" s="9" t="str">
        <v>August</v>
      </c>
      <c r="Q29" s="9">
        <v>1</v>
      </c>
      <c r="R29" s="9">
        <v>4800090227</v>
      </c>
      <c r="S29" s="9">
        <v>45924</v>
      </c>
      <c r="T29" s="9">
        <v>62080</v>
      </c>
      <c r="U29" s="9" t="str">
        <v>September</v>
      </c>
      <c r="V29" s="9">
        <v>0</v>
      </c>
      <c r="W29" s="9">
        <v>0</v>
      </c>
      <c r="X29" s="9">
        <v>0</v>
      </c>
      <c r="Y29" s="9">
        <v>0</v>
      </c>
    </row>
    <row r="30" spans="1:25">
      <c r="A30" s="9">
        <v>0</v>
      </c>
      <c r="B30" s="9">
        <v>0</v>
      </c>
      <c r="C30" s="9" t="str">
        <v>Bharat Electronics Ltd</v>
      </c>
      <c r="D30" s="9" t="str">
        <v>Ghaziabad</v>
      </c>
      <c r="E30" s="9" t="str">
        <v>ANTENNA</v>
      </c>
      <c r="F30" s="9" t="str">
        <v>SURESH KUMAR  SIAINI</v>
      </c>
      <c r="G30" s="9">
        <v>9050457078</v>
      </c>
      <c r="H30" s="9" t="str">
        <v>sureshkumarsaini@bel.co.in</v>
      </c>
      <c r="I30" s="9" t="str">
        <v>04007012/003</v>
      </c>
      <c r="J30" s="9" t="str">
        <v>Contract</v>
      </c>
      <c r="K30" s="9" t="str">
        <v>No</v>
      </c>
      <c r="L30" s="9" t="str">
        <v xml:space="preserve">KXIND/N/MC/NJ25009         </v>
      </c>
      <c r="M30" s="9">
        <v>45673</v>
      </c>
      <c r="N30" s="9">
        <v>58000</v>
      </c>
      <c r="O30" s="9" t="str">
        <v>January</v>
      </c>
      <c r="P30" s="9" t="str">
        <v>August</v>
      </c>
      <c r="Q30" s="9">
        <v>1</v>
      </c>
      <c r="R30" s="9">
        <v>4800090227</v>
      </c>
      <c r="S30" s="9">
        <v>45924</v>
      </c>
      <c r="T30" s="9">
        <v>62080</v>
      </c>
      <c r="U30" s="9" t="str">
        <v>September</v>
      </c>
      <c r="V30" s="9">
        <v>0</v>
      </c>
      <c r="W30" s="9">
        <v>0</v>
      </c>
      <c r="X30" s="9">
        <v>0</v>
      </c>
      <c r="Y30" s="9">
        <v>0</v>
      </c>
    </row>
    <row r="31" spans="1:25">
      <c r="A31" s="9">
        <v>0</v>
      </c>
      <c r="B31" s="9">
        <v>0</v>
      </c>
      <c r="C31" s="9" t="str">
        <v>Bharat Electronics Ltd</v>
      </c>
      <c r="D31" s="9" t="str">
        <v>Ghaziabad</v>
      </c>
      <c r="E31" s="9" t="str">
        <v>ANTENNA</v>
      </c>
      <c r="F31" s="9" t="str">
        <v>SURESH KUMAR  SIAINI</v>
      </c>
      <c r="G31" s="9">
        <v>9050457078</v>
      </c>
      <c r="H31" s="9" t="str">
        <v>sureshkumarsaini@bel.co.in</v>
      </c>
      <c r="I31" s="9" t="str">
        <v>13000074/001</v>
      </c>
      <c r="J31" s="9" t="str">
        <v>Contract</v>
      </c>
      <c r="K31" s="9" t="str">
        <v>No</v>
      </c>
      <c r="L31" s="9" t="str">
        <v xml:space="preserve">KXIND/N/MC/NJ25009         </v>
      </c>
      <c r="M31" s="9">
        <v>45673</v>
      </c>
      <c r="N31" s="9">
        <v>58000</v>
      </c>
      <c r="O31" s="9" t="str">
        <v>January</v>
      </c>
      <c r="P31" s="9" t="str">
        <v>August</v>
      </c>
      <c r="Q31" s="9">
        <v>1</v>
      </c>
      <c r="R31" s="9">
        <v>4800090227</v>
      </c>
      <c r="S31" s="9">
        <v>45924</v>
      </c>
      <c r="T31" s="9">
        <v>62080</v>
      </c>
      <c r="U31" s="9" t="str">
        <v>September</v>
      </c>
      <c r="V31" s="9">
        <v>0</v>
      </c>
      <c r="W31" s="9">
        <v>0</v>
      </c>
      <c r="X31" s="9">
        <v>0</v>
      </c>
      <c r="Y31" s="9">
        <v>0</v>
      </c>
    </row>
    <row r="32" spans="1:25">
      <c r="A32" s="9">
        <v>0</v>
      </c>
      <c r="B32" s="9">
        <v>0</v>
      </c>
      <c r="C32" s="9" t="str">
        <v>Bharat Electronics Ltd</v>
      </c>
      <c r="D32" s="9" t="str">
        <v>Ghaziabad</v>
      </c>
      <c r="E32" s="9" t="str">
        <v>ANTENNA</v>
      </c>
      <c r="F32" s="9" t="str">
        <v>SURESH KUMAR  SIAINI</v>
      </c>
      <c r="G32" s="9">
        <v>9050457078</v>
      </c>
      <c r="H32" s="9" t="str">
        <v>sureshkumarsaini@bel.co.in</v>
      </c>
      <c r="I32" s="9">
        <v>305000054</v>
      </c>
      <c r="J32" s="9" t="str">
        <v>Contract</v>
      </c>
      <c r="K32" s="9" t="str">
        <v>No</v>
      </c>
      <c r="L32" s="9" t="str">
        <v xml:space="preserve">KXIND/N/MC/NJ25009         </v>
      </c>
      <c r="M32" s="9">
        <v>45673</v>
      </c>
      <c r="N32" s="9">
        <v>58000</v>
      </c>
      <c r="O32" s="9" t="str">
        <v>January</v>
      </c>
      <c r="P32" s="9" t="str">
        <v>August</v>
      </c>
      <c r="Q32" s="9">
        <v>1</v>
      </c>
      <c r="R32" s="9">
        <v>4800090227</v>
      </c>
      <c r="S32" s="9">
        <v>45924</v>
      </c>
      <c r="T32" s="9">
        <v>62080</v>
      </c>
      <c r="U32" s="9" t="str">
        <v>September</v>
      </c>
      <c r="V32" s="9">
        <v>0</v>
      </c>
      <c r="W32" s="9">
        <v>0</v>
      </c>
      <c r="X32" s="9">
        <v>0</v>
      </c>
      <c r="Y32" s="9">
        <v>0</v>
      </c>
    </row>
    <row r="33" spans="1:25">
      <c r="A33" s="9">
        <v>13</v>
      </c>
      <c r="B33" s="9">
        <v>0</v>
      </c>
      <c r="C33" s="9" t="str">
        <v>Bharat Electronics Ltd</v>
      </c>
      <c r="D33" s="9" t="str">
        <v>Ghaziabad</v>
      </c>
      <c r="E33" s="9" t="str">
        <v>DCCS</v>
      </c>
      <c r="F33" s="9" t="str">
        <v>BHUPENDRAPRATAP</v>
      </c>
      <c r="G33" s="9">
        <v>9717006504</v>
      </c>
      <c r="H33" s="9" t="str">
        <v>bhupendrapratap@bel.co.in</v>
      </c>
      <c r="I33" s="9" t="str">
        <v>13000072/001</v>
      </c>
      <c r="J33" s="9" t="str">
        <v>Contract</v>
      </c>
      <c r="K33" s="9" t="str">
        <v>No</v>
      </c>
      <c r="L33" s="9" t="str">
        <v>KXIND/N/MC/NJ25010</v>
      </c>
      <c r="M33" s="9">
        <v>45673</v>
      </c>
      <c r="N33" s="9">
        <v>58000</v>
      </c>
      <c r="O33" s="9" t="str">
        <v>January</v>
      </c>
      <c r="P33" s="9" t="str">
        <v>August</v>
      </c>
      <c r="Q33" s="9">
        <v>1</v>
      </c>
      <c r="R33" s="9" t="str">
        <v>GEMC-511687761421027</v>
      </c>
      <c r="S33" s="9">
        <v>45982</v>
      </c>
      <c r="T33" s="9">
        <v>57420</v>
      </c>
      <c r="U33" s="9" t="str">
        <v>November</v>
      </c>
      <c r="V33" s="9">
        <v>0</v>
      </c>
      <c r="W33" s="9">
        <v>0</v>
      </c>
      <c r="X33" s="9">
        <v>0</v>
      </c>
      <c r="Y33" s="9">
        <v>0</v>
      </c>
    </row>
    <row r="34" spans="1:25">
      <c r="A34" s="9">
        <v>0</v>
      </c>
      <c r="B34" s="9">
        <v>0</v>
      </c>
      <c r="C34" s="9" t="str">
        <v>Bharat Electronics Ltd</v>
      </c>
      <c r="D34" s="9" t="str">
        <v>Ghaziabad</v>
      </c>
      <c r="E34" s="9" t="str">
        <v>DCCS</v>
      </c>
      <c r="F34" s="9" t="str">
        <v>BHUPENDRAPRATAP</v>
      </c>
      <c r="G34" s="9">
        <v>9717006504</v>
      </c>
      <c r="H34" s="9" t="str">
        <v>bhupendrapratap@bel.co.in</v>
      </c>
      <c r="I34" s="9" t="str">
        <v>13000071/001</v>
      </c>
      <c r="J34" s="9" t="str">
        <v>Contract</v>
      </c>
      <c r="K34" s="9" t="str">
        <v>No</v>
      </c>
      <c r="L34" s="9" t="str">
        <v>KXIND/N/MC/NJ25010</v>
      </c>
      <c r="M34" s="9">
        <v>45673</v>
      </c>
      <c r="N34" s="9">
        <v>58000</v>
      </c>
      <c r="O34" s="9" t="str">
        <v>January</v>
      </c>
      <c r="P34" s="9" t="str">
        <v>August</v>
      </c>
      <c r="Q34" s="9">
        <v>1</v>
      </c>
      <c r="R34" s="9" t="str">
        <v>GEMC-511687761421027</v>
      </c>
      <c r="S34" s="9">
        <v>45982</v>
      </c>
      <c r="T34" s="9">
        <v>57420</v>
      </c>
      <c r="U34" s="9" t="str">
        <v>November</v>
      </c>
      <c r="V34" s="9">
        <v>0</v>
      </c>
      <c r="W34" s="9">
        <v>0</v>
      </c>
      <c r="X34" s="9">
        <v>0</v>
      </c>
      <c r="Y34" s="9">
        <v>0</v>
      </c>
    </row>
    <row r="35" spans="1:25">
      <c r="A35" s="9">
        <v>0</v>
      </c>
      <c r="B35" s="9">
        <v>0</v>
      </c>
      <c r="C35" s="9" t="str">
        <v>Bharat Electronics Ltd</v>
      </c>
      <c r="D35" s="9" t="str">
        <v>Ghaziabad</v>
      </c>
      <c r="E35" s="9" t="str">
        <v>DCCS</v>
      </c>
      <c r="F35" s="9" t="str">
        <v>BHUPENDRAPRATAP</v>
      </c>
      <c r="G35" s="9">
        <v>9717006504</v>
      </c>
      <c r="H35" s="9" t="str">
        <v>bhupendrapratap@bel.co.in</v>
      </c>
      <c r="I35" s="9" t="str">
        <v>13000075/001</v>
      </c>
      <c r="J35" s="9" t="str">
        <v>Contract</v>
      </c>
      <c r="K35" s="9" t="str">
        <v>No</v>
      </c>
      <c r="L35" s="9" t="str">
        <v>KXIND/N/MC/NJ25010</v>
      </c>
      <c r="M35" s="9">
        <v>45673</v>
      </c>
      <c r="N35" s="9">
        <v>58000</v>
      </c>
      <c r="O35" s="9" t="str">
        <v>January</v>
      </c>
      <c r="P35" s="9" t="str">
        <v>August</v>
      </c>
      <c r="Q35" s="9">
        <v>1</v>
      </c>
      <c r="R35" s="9" t="str">
        <v>GEMC-511687761421027</v>
      </c>
      <c r="S35" s="9">
        <v>45982</v>
      </c>
      <c r="T35" s="9">
        <v>57420</v>
      </c>
      <c r="U35" s="9" t="str">
        <v>November</v>
      </c>
      <c r="V35" s="9">
        <v>0</v>
      </c>
      <c r="W35" s="9">
        <v>0</v>
      </c>
      <c r="X35" s="9">
        <v>0</v>
      </c>
      <c r="Y35" s="9">
        <v>0</v>
      </c>
    </row>
    <row r="36" spans="1:25">
      <c r="A36" s="9">
        <v>0</v>
      </c>
      <c r="B36" s="9">
        <v>0</v>
      </c>
      <c r="C36" s="9" t="str">
        <v>Bharat Electronics Ltd</v>
      </c>
      <c r="D36" s="9" t="str">
        <v>Ghaziabad</v>
      </c>
      <c r="E36" s="9" t="str">
        <v>DCCS</v>
      </c>
      <c r="F36" s="9" t="str">
        <v>BHUPENDRAPRATAP</v>
      </c>
      <c r="G36" s="9">
        <v>9717006504</v>
      </c>
      <c r="H36" s="9" t="str">
        <v>bhupendrapratap@bel.co.in</v>
      </c>
      <c r="I36" s="9" t="str">
        <v>13000076/001</v>
      </c>
      <c r="J36" s="9" t="str">
        <v>Contract</v>
      </c>
      <c r="K36" s="9" t="str">
        <v>No</v>
      </c>
      <c r="L36" s="9" t="str">
        <v>KXIND/N/MC/NJ25010</v>
      </c>
      <c r="M36" s="9">
        <v>45673</v>
      </c>
      <c r="N36" s="9">
        <v>58000</v>
      </c>
      <c r="O36" s="9" t="str">
        <v>January</v>
      </c>
      <c r="P36" s="9" t="str">
        <v>August</v>
      </c>
      <c r="Q36" s="9">
        <v>1</v>
      </c>
      <c r="R36" s="9" t="str">
        <v>GEMC-511687761421027</v>
      </c>
      <c r="S36" s="9">
        <v>45982</v>
      </c>
      <c r="T36" s="9">
        <v>57420</v>
      </c>
      <c r="U36" s="9" t="str">
        <v>November</v>
      </c>
      <c r="V36" s="9">
        <v>0</v>
      </c>
      <c r="W36" s="9">
        <v>0</v>
      </c>
      <c r="X36" s="9">
        <v>0</v>
      </c>
      <c r="Y36" s="9">
        <v>0</v>
      </c>
    </row>
    <row r="37" spans="1:25">
      <c r="A37" s="9">
        <v>0</v>
      </c>
      <c r="B37" s="9">
        <v>0</v>
      </c>
      <c r="C37" s="9" t="str">
        <v>Bharat Electronics Ltd</v>
      </c>
      <c r="D37" s="9" t="str">
        <v>Ghaziabad</v>
      </c>
      <c r="E37" s="9" t="str">
        <v>DCCS</v>
      </c>
      <c r="F37" s="9" t="str">
        <v>BHUPENDRAPRATAP</v>
      </c>
      <c r="G37" s="9">
        <v>9717006504</v>
      </c>
      <c r="H37" s="9" t="str">
        <v>bhupendrapratap@bel.co.in</v>
      </c>
      <c r="I37" s="9" t="str">
        <v>17002060/001</v>
      </c>
      <c r="J37" s="9" t="str">
        <v>Contract</v>
      </c>
      <c r="K37" s="9" t="str">
        <v>No</v>
      </c>
      <c r="L37" s="9" t="str">
        <v>KXIND/N/MC/NJ25010</v>
      </c>
      <c r="M37" s="9">
        <v>45673</v>
      </c>
      <c r="N37" s="9">
        <v>58000</v>
      </c>
      <c r="O37" s="9" t="str">
        <v>January</v>
      </c>
      <c r="P37" s="9" t="str">
        <v>August</v>
      </c>
      <c r="Q37" s="9">
        <v>1</v>
      </c>
      <c r="R37" s="9" t="str">
        <v>GEMC-511687761421027</v>
      </c>
      <c r="S37" s="9">
        <v>45982</v>
      </c>
      <c r="T37" s="9">
        <v>57420</v>
      </c>
      <c r="U37" s="9" t="str">
        <v>November</v>
      </c>
      <c r="V37" s="9">
        <v>0</v>
      </c>
      <c r="W37" s="9">
        <v>0</v>
      </c>
      <c r="X37" s="9">
        <v>0</v>
      </c>
      <c r="Y37" s="9">
        <v>0</v>
      </c>
    </row>
    <row r="38" spans="1:25">
      <c r="A38" s="9">
        <v>14</v>
      </c>
      <c r="B38" s="9">
        <v>45684</v>
      </c>
      <c r="C38" s="9" t="str">
        <v>Claas India Pvt. Ltd.</v>
      </c>
      <c r="D38" s="9" t="str">
        <v>Morinda</v>
      </c>
      <c r="E38" s="9" t="str">
        <v>MAINTENANCE</v>
      </c>
      <c r="F38" s="9" t="str">
        <v>DINESH LAKHAN PAL</v>
      </c>
      <c r="G38" s="9">
        <v>8146487890</v>
      </c>
      <c r="H38" s="9" t="str">
        <v xml:space="preserve">inderjit_singh@yanmar.com&gt; </v>
      </c>
      <c r="I38" s="9" t="str">
        <v>12006771/001</v>
      </c>
      <c r="J38" s="9" t="str">
        <v>Contract</v>
      </c>
      <c r="K38" s="9" t="str">
        <v>No</v>
      </c>
      <c r="L38" s="9" t="str">
        <v>KXIND/N/MC/NJ25011</v>
      </c>
      <c r="M38" s="9">
        <v>45673</v>
      </c>
      <c r="N38" s="9">
        <v>145000</v>
      </c>
      <c r="O38" s="9" t="str">
        <v>January</v>
      </c>
      <c r="P38" s="9" t="str">
        <v>March</v>
      </c>
      <c r="Q38" s="9">
        <v>1</v>
      </c>
      <c r="R38" s="9">
        <v>4508578495</v>
      </c>
      <c r="S38" s="9">
        <v>45701</v>
      </c>
      <c r="T38" s="9">
        <v>137750</v>
      </c>
      <c r="U38" s="9" t="str">
        <v>February</v>
      </c>
      <c r="V38" s="9">
        <v>0</v>
      </c>
      <c r="W38" s="9">
        <v>0</v>
      </c>
      <c r="X38" s="9">
        <v>0</v>
      </c>
      <c r="Y38" s="9">
        <v>0</v>
      </c>
    </row>
    <row r="39" spans="1:25">
      <c r="A39" s="9">
        <v>15</v>
      </c>
      <c r="B39" s="9">
        <v>45684</v>
      </c>
      <c r="C39" s="9" t="str">
        <v>Lohia Corp Limited</v>
      </c>
      <c r="D39" s="9" t="str">
        <v>Kanpur</v>
      </c>
      <c r="E39" s="9" t="str">
        <v>QUALITY</v>
      </c>
      <c r="F39" s="9" t="str">
        <v>VINOD SHARMA</v>
      </c>
      <c r="G39" s="9">
        <v>9936294447</v>
      </c>
      <c r="H39" s="9" t="str">
        <v>vinod.sharma@lohiagroup.com</v>
      </c>
      <c r="I39" s="9" t="str">
        <v>07005925/001</v>
      </c>
      <c r="J39" s="9" t="str">
        <v>Contract</v>
      </c>
      <c r="K39" s="9" t="str">
        <v>No</v>
      </c>
      <c r="L39" s="9" t="str">
        <v>KXIND/N/MC/NJ25012</v>
      </c>
      <c r="M39" s="9">
        <v>45673</v>
      </c>
      <c r="N39" s="9">
        <v>75000</v>
      </c>
      <c r="O39" s="9" t="str">
        <v>January</v>
      </c>
      <c r="P39" s="9" t="str">
        <v>February</v>
      </c>
      <c r="Q39" s="9">
        <v>1</v>
      </c>
      <c r="R39" s="9">
        <v>11705960</v>
      </c>
      <c r="S39" s="9">
        <v>45692</v>
      </c>
      <c r="T39" s="9">
        <v>75000</v>
      </c>
      <c r="U39" s="9" t="str">
        <v>February</v>
      </c>
      <c r="V39" s="9">
        <v>0</v>
      </c>
      <c r="W39" s="9">
        <v>0</v>
      </c>
      <c r="X39" s="9">
        <v>0</v>
      </c>
      <c r="Y39" s="9">
        <v>0</v>
      </c>
    </row>
    <row r="40" spans="1:25">
      <c r="A40" s="9">
        <v>16</v>
      </c>
      <c r="B40" s="9">
        <v>45684</v>
      </c>
      <c r="C40" s="9" t="str">
        <v>Victora Auto Pvt Ltd</v>
      </c>
      <c r="D40" s="9" t="str">
        <v>Noida</v>
      </c>
      <c r="E40" s="9" t="str">
        <v>PURCHASE</v>
      </c>
      <c r="F40" s="9" t="str">
        <v>PANKAJ</v>
      </c>
      <c r="G40" s="9">
        <v>8800905112</v>
      </c>
      <c r="H40" s="9" t="str">
        <v>purchase.nsez@victora.co.in</v>
      </c>
      <c r="I40" s="9" t="str">
        <v>11001070/001</v>
      </c>
      <c r="J40" s="9" t="str">
        <v>Contract</v>
      </c>
      <c r="K40" s="9" t="str">
        <v>No</v>
      </c>
      <c r="L40" s="9" t="str">
        <v>KXIND/N/MC/NJ25013</v>
      </c>
      <c r="M40" s="9">
        <v>45673</v>
      </c>
      <c r="N40" s="9">
        <v>375000</v>
      </c>
      <c r="O40" s="9" t="str">
        <v>January</v>
      </c>
      <c r="P40" s="9" t="str">
        <v>August</v>
      </c>
      <c r="Q40" s="9">
        <v>1</v>
      </c>
      <c r="R40" s="9">
        <v>2400019724</v>
      </c>
      <c r="S40" s="9">
        <v>45938</v>
      </c>
      <c r="T40" s="9">
        <v>350000</v>
      </c>
      <c r="U40" s="9" t="str">
        <v>October</v>
      </c>
      <c r="V40" s="9">
        <v>0</v>
      </c>
      <c r="W40" s="9">
        <v>0</v>
      </c>
      <c r="X40" s="9">
        <v>0</v>
      </c>
      <c r="Y40" s="9">
        <v>0</v>
      </c>
    </row>
    <row r="41" spans="1:25">
      <c r="A41" s="9">
        <v>17</v>
      </c>
      <c r="B41" s="9">
        <v>45684</v>
      </c>
      <c r="C41" s="9" t="str">
        <v>Syndicate Innovations International Ltd</v>
      </c>
      <c r="D41" s="9" t="str">
        <v>Ghaziabad</v>
      </c>
      <c r="E41" s="9" t="str">
        <v>PLANNING</v>
      </c>
      <c r="F41" s="9" t="str">
        <v>MEENAKSHI</v>
      </c>
      <c r="G41" s="9">
        <v>9810753734</v>
      </c>
      <c r="H41" s="9" t="str">
        <v>pm@syndicateinnovations.com</v>
      </c>
      <c r="I41" s="9" t="str">
        <v>21002211/001</v>
      </c>
      <c r="J41" s="9" t="str">
        <v>Contract</v>
      </c>
      <c r="K41" s="9" t="str">
        <v>No</v>
      </c>
      <c r="L41" s="9" t="str">
        <v>KXIND/N/MC/NJ25014</v>
      </c>
      <c r="M41" s="9">
        <v>45673</v>
      </c>
      <c r="N41" s="9">
        <v>185000</v>
      </c>
      <c r="O41" s="9" t="str">
        <v>April</v>
      </c>
      <c r="P41" s="9" t="str">
        <v>April</v>
      </c>
      <c r="Q41" s="9">
        <v>1</v>
      </c>
      <c r="R41" s="9" t="str">
        <v>SIIL/PO/2024/ADMIN/012</v>
      </c>
      <c r="S41" s="9" t="str">
        <v>31/03/25</v>
      </c>
      <c r="T41" s="9">
        <v>185000</v>
      </c>
      <c r="U41" s="9" t="str">
        <v>March</v>
      </c>
      <c r="V41" s="9">
        <v>0</v>
      </c>
      <c r="W41" s="9">
        <v>0</v>
      </c>
      <c r="X41" s="9">
        <v>0</v>
      </c>
      <c r="Y41" s="9">
        <v>0</v>
      </c>
    </row>
    <row r="42" spans="1:25">
      <c r="A42" s="9">
        <v>0</v>
      </c>
      <c r="B42" s="9">
        <v>0</v>
      </c>
      <c r="C42" s="9" t="str">
        <v>Syndicate Innovations International Ltd</v>
      </c>
      <c r="D42" s="9" t="str">
        <v>Ghaziabad</v>
      </c>
      <c r="E42" s="9" t="str">
        <v>PLANNING</v>
      </c>
      <c r="F42" s="9" t="str">
        <v>MEENAKSHI</v>
      </c>
      <c r="G42" s="9">
        <v>9810753734</v>
      </c>
      <c r="H42" s="9" t="str">
        <v>pm@syndicateinnovations.com</v>
      </c>
      <c r="I42" s="9" t="str">
        <v>21002212/001</v>
      </c>
      <c r="J42" s="9" t="str">
        <v>Contract</v>
      </c>
      <c r="K42" s="9" t="str">
        <v>No</v>
      </c>
      <c r="L42" s="9" t="str">
        <v>KXIND/N/MC/NJ25014</v>
      </c>
      <c r="M42" s="9">
        <v>45673</v>
      </c>
      <c r="N42" s="9">
        <v>185000</v>
      </c>
      <c r="O42" s="9" t="str">
        <v>January</v>
      </c>
      <c r="P42" s="9" t="str">
        <v>April</v>
      </c>
      <c r="Q42" s="9">
        <v>1</v>
      </c>
      <c r="R42" s="9" t="str">
        <v>SIIL/PO/2024/ADMIN/012</v>
      </c>
      <c r="S42" s="9" t="str">
        <v>31/03/25</v>
      </c>
      <c r="T42" s="9">
        <v>185000</v>
      </c>
      <c r="U42" s="9" t="str">
        <v>March</v>
      </c>
      <c r="V42" s="9">
        <v>0</v>
      </c>
      <c r="W42" s="9">
        <v>0</v>
      </c>
      <c r="X42" s="9">
        <v>0</v>
      </c>
      <c r="Y42" s="9">
        <v>0</v>
      </c>
    </row>
    <row r="43" spans="1:25">
      <c r="A43" s="9">
        <v>18</v>
      </c>
      <c r="B43" s="9">
        <v>45684</v>
      </c>
      <c r="C43" s="9" t="str">
        <v>Knorr-Bremse India Ltd.</v>
      </c>
      <c r="D43" s="9" t="str">
        <v>Palwal</v>
      </c>
      <c r="E43" s="9" t="str">
        <v>MAINTENANCE</v>
      </c>
      <c r="F43" s="9" t="str">
        <v>ANKIT UPADHYAY</v>
      </c>
      <c r="G43" s="9">
        <v>9911876413</v>
      </c>
      <c r="H43" s="9" t="str">
        <v>Ankit.Upadhyay@knorr-bremse.com</v>
      </c>
      <c r="I43" s="9" t="str">
        <v>12008379/001</v>
      </c>
      <c r="J43" s="9" t="str">
        <v>Contract</v>
      </c>
      <c r="K43" s="9" t="str">
        <v>No</v>
      </c>
      <c r="L43" s="9" t="str">
        <v>KXIND/N/MC/NJ240070</v>
      </c>
      <c r="M43" s="9">
        <v>45454</v>
      </c>
      <c r="N43" s="9">
        <v>90000</v>
      </c>
      <c r="O43" s="9" t="str">
        <v>January</v>
      </c>
      <c r="P43" s="9" t="str">
        <v>January</v>
      </c>
      <c r="Q43" s="9">
        <v>1</v>
      </c>
      <c r="R43" s="9">
        <v>4340097826</v>
      </c>
      <c r="S43" s="9">
        <v>45665</v>
      </c>
      <c r="T43" s="9">
        <v>92014</v>
      </c>
      <c r="U43" s="9" t="str">
        <v>January</v>
      </c>
      <c r="V43" s="9">
        <v>-2014</v>
      </c>
      <c r="W43" s="9" t="str">
        <v>2024 OFFER</v>
      </c>
      <c r="X43" s="9">
        <v>0</v>
      </c>
      <c r="Y43" s="9">
        <v>45715</v>
      </c>
    </row>
    <row r="44" spans="1:25">
      <c r="A44" s="9">
        <v>0</v>
      </c>
      <c r="B44" s="9">
        <v>0</v>
      </c>
      <c r="C44" s="9" t="str">
        <v>Knorr-Bremse India Ltd.</v>
      </c>
      <c r="D44" s="9" t="str">
        <v>Palwal</v>
      </c>
      <c r="E44" s="9" t="str">
        <v>MAINTENANCE</v>
      </c>
      <c r="F44" s="9" t="str">
        <v>ANKIT UPADHYAY</v>
      </c>
      <c r="G44" s="9">
        <v>9911876413</v>
      </c>
      <c r="H44" s="9" t="str">
        <v>Ankit.Upadhyay@knorr-bremse.com</v>
      </c>
      <c r="I44" s="9" t="str">
        <v>12005160/001</v>
      </c>
      <c r="J44" s="9" t="str">
        <v>Contract</v>
      </c>
      <c r="K44" s="9" t="str">
        <v>No</v>
      </c>
      <c r="L44" s="9" t="str">
        <v>KXIND/N/MC/NJ240070</v>
      </c>
      <c r="M44" s="9">
        <v>45454</v>
      </c>
      <c r="N44" s="9">
        <v>90000</v>
      </c>
      <c r="O44" s="9" t="str">
        <v>January</v>
      </c>
      <c r="P44" s="9" t="str">
        <v>January</v>
      </c>
      <c r="Q44" s="9">
        <v>1</v>
      </c>
      <c r="R44" s="9">
        <v>4340097826</v>
      </c>
      <c r="S44" s="9">
        <v>45665</v>
      </c>
      <c r="T44" s="9">
        <v>92014</v>
      </c>
      <c r="U44" s="9" t="str">
        <v>January</v>
      </c>
      <c r="V44" s="9">
        <v>-2014</v>
      </c>
      <c r="W44" s="9" t="str">
        <v>2024 OFFER</v>
      </c>
      <c r="X44" s="9">
        <v>0</v>
      </c>
      <c r="Y44" s="9">
        <v>45715</v>
      </c>
    </row>
    <row r="45" spans="1:25">
      <c r="A45" s="9">
        <v>0</v>
      </c>
      <c r="B45" s="9">
        <v>0</v>
      </c>
      <c r="C45" s="9" t="str">
        <v>Knorr-Bremse India Ltd.</v>
      </c>
      <c r="D45" s="9" t="str">
        <v>Palwal</v>
      </c>
      <c r="E45" s="9" t="str">
        <v>MAINTENANCE</v>
      </c>
      <c r="F45" s="9" t="str">
        <v>ANKIT UPADHYAY</v>
      </c>
      <c r="G45" s="9">
        <v>9911876413</v>
      </c>
      <c r="H45" s="9" t="str">
        <v>Ankit.Upadhyay@knorr-bremse.com</v>
      </c>
      <c r="I45" s="9" t="str">
        <v>12005161/001</v>
      </c>
      <c r="J45" s="9" t="str">
        <v>Contract</v>
      </c>
      <c r="K45" s="9" t="str">
        <v>No</v>
      </c>
      <c r="L45" s="9" t="str">
        <v>KXIND/N/MC/NJ240070</v>
      </c>
      <c r="M45" s="9">
        <v>45454</v>
      </c>
      <c r="N45" s="9">
        <v>90000</v>
      </c>
      <c r="O45" s="9" t="str">
        <v>January</v>
      </c>
      <c r="P45" s="9" t="str">
        <v>January</v>
      </c>
      <c r="Q45" s="9">
        <v>1</v>
      </c>
      <c r="R45" s="9">
        <v>4340097826</v>
      </c>
      <c r="S45" s="9">
        <v>45665</v>
      </c>
      <c r="T45" s="9">
        <v>92014</v>
      </c>
      <c r="U45" s="9" t="str">
        <v>January</v>
      </c>
      <c r="V45" s="9">
        <v>-2014</v>
      </c>
      <c r="W45" s="9" t="str">
        <v>2024 OFFER</v>
      </c>
      <c r="X45" s="9">
        <v>0</v>
      </c>
      <c r="Y45" s="9">
        <v>45715</v>
      </c>
    </row>
    <row r="46" spans="1:25">
      <c r="A46" s="9">
        <v>0</v>
      </c>
      <c r="B46" s="9">
        <v>0</v>
      </c>
      <c r="C46" s="9" t="str">
        <v>Knorr-Bremse India Ltd.</v>
      </c>
      <c r="D46" s="9" t="str">
        <v>Palwal</v>
      </c>
      <c r="E46" s="9" t="str">
        <v>MAINTENANCE</v>
      </c>
      <c r="F46" s="9" t="str">
        <v>ANKIT UPADHYAY</v>
      </c>
      <c r="G46" s="9">
        <v>9911876413</v>
      </c>
      <c r="H46" s="9" t="str">
        <v>Ankit.Upadhyay@knorr-bremse.com</v>
      </c>
      <c r="I46" s="9" t="str">
        <v>12005143/001</v>
      </c>
      <c r="J46" s="9" t="str">
        <v>Contract</v>
      </c>
      <c r="K46" s="9" t="str">
        <v>No</v>
      </c>
      <c r="L46" s="9" t="str">
        <v>KXIND/N/MC/NJ240070</v>
      </c>
      <c r="M46" s="9">
        <v>45454</v>
      </c>
      <c r="N46" s="9">
        <v>90000</v>
      </c>
      <c r="O46" s="9" t="str">
        <v>January</v>
      </c>
      <c r="P46" s="9" t="str">
        <v>January</v>
      </c>
      <c r="Q46" s="9">
        <v>1</v>
      </c>
      <c r="R46" s="9">
        <v>4340097826</v>
      </c>
      <c r="S46" s="9">
        <v>45665</v>
      </c>
      <c r="T46" s="9">
        <v>92014</v>
      </c>
      <c r="U46" s="9" t="str">
        <v>January</v>
      </c>
      <c r="V46" s="9">
        <v>-2014</v>
      </c>
      <c r="W46" s="9" t="str">
        <v>2024 OFFER</v>
      </c>
      <c r="X46" s="9">
        <v>0</v>
      </c>
      <c r="Y46" s="9">
        <v>45715</v>
      </c>
    </row>
    <row r="47" spans="1:25">
      <c r="A47" s="9">
        <v>0</v>
      </c>
      <c r="B47" s="9">
        <v>0</v>
      </c>
      <c r="C47" s="9" t="str">
        <v>Knorr-Bremse India Ltd.</v>
      </c>
      <c r="D47" s="9" t="str">
        <v>Palwal</v>
      </c>
      <c r="E47" s="9" t="str">
        <v>MAINTENANCE</v>
      </c>
      <c r="F47" s="9" t="str">
        <v>ANKIT UPADHYAY</v>
      </c>
      <c r="G47" s="9">
        <v>9911876413</v>
      </c>
      <c r="H47" s="9" t="str">
        <v>Ankit.Upadhyay@knorr-bremse.com</v>
      </c>
      <c r="I47" s="9" t="str">
        <v>12005181/001</v>
      </c>
      <c r="J47" s="9" t="str">
        <v>Contract</v>
      </c>
      <c r="K47" s="9" t="str">
        <v>No</v>
      </c>
      <c r="L47" s="9" t="str">
        <v>KXIND/N/MC/NJ240070</v>
      </c>
      <c r="M47" s="9">
        <v>45454</v>
      </c>
      <c r="N47" s="9">
        <v>90000</v>
      </c>
      <c r="O47" s="9" t="str">
        <v>January</v>
      </c>
      <c r="P47" s="9" t="str">
        <v>January</v>
      </c>
      <c r="Q47" s="9">
        <v>1</v>
      </c>
      <c r="R47" s="9">
        <v>4340097826</v>
      </c>
      <c r="S47" s="9">
        <v>45665</v>
      </c>
      <c r="T47" s="9">
        <v>92014</v>
      </c>
      <c r="U47" s="9" t="str">
        <v>January</v>
      </c>
      <c r="V47" s="9">
        <v>-2014</v>
      </c>
      <c r="W47" s="9" t="str">
        <v>2024 OFFER</v>
      </c>
      <c r="X47" s="9">
        <v>0</v>
      </c>
      <c r="Y47" s="9">
        <v>45715</v>
      </c>
    </row>
    <row r="48" spans="1:25">
      <c r="A48" s="9">
        <v>0</v>
      </c>
      <c r="B48" s="9">
        <v>0</v>
      </c>
      <c r="C48" s="9" t="str">
        <v>Knorr-Bremse India Ltd.</v>
      </c>
      <c r="D48" s="9" t="str">
        <v>Palwal</v>
      </c>
      <c r="E48" s="9" t="str">
        <v>MAINTENANCE</v>
      </c>
      <c r="F48" s="9" t="str">
        <v>ANKIT UPADHYAY</v>
      </c>
      <c r="G48" s="9">
        <v>9911876413</v>
      </c>
      <c r="H48" s="9" t="str">
        <v>Ankit.Upadhyay@knorr-bremse.com</v>
      </c>
      <c r="I48" s="9" t="str">
        <v>13003863/001</v>
      </c>
      <c r="J48" s="9" t="str">
        <v>Contract</v>
      </c>
      <c r="K48" s="9" t="str">
        <v>No</v>
      </c>
      <c r="L48" s="9" t="str">
        <v>KXIND/N/MC/NJ240070</v>
      </c>
      <c r="M48" s="9">
        <v>45454</v>
      </c>
      <c r="N48" s="9">
        <v>90000</v>
      </c>
      <c r="O48" s="9" t="str">
        <v>January</v>
      </c>
      <c r="P48" s="9" t="str">
        <v>January</v>
      </c>
      <c r="Q48" s="9">
        <v>1</v>
      </c>
      <c r="R48" s="9">
        <v>4340097826</v>
      </c>
      <c r="S48" s="9">
        <v>45665</v>
      </c>
      <c r="T48" s="9">
        <v>92014</v>
      </c>
      <c r="U48" s="9" t="str">
        <v>January</v>
      </c>
      <c r="V48" s="9">
        <v>-2014</v>
      </c>
      <c r="W48" s="9" t="str">
        <v>2024 OFFER</v>
      </c>
      <c r="X48" s="9">
        <v>0</v>
      </c>
      <c r="Y48" s="9">
        <v>45715</v>
      </c>
    </row>
    <row r="49" spans="1:25">
      <c r="A49" s="9">
        <v>0</v>
      </c>
      <c r="B49" s="9">
        <v>0</v>
      </c>
      <c r="C49" s="9" t="str">
        <v>Knorr-Bremse India Ltd.</v>
      </c>
      <c r="D49" s="9" t="str">
        <v>Palwal</v>
      </c>
      <c r="E49" s="9" t="str">
        <v>MAINTENANCE</v>
      </c>
      <c r="F49" s="9" t="str">
        <v>ANKIT UPADHYAY</v>
      </c>
      <c r="G49" s="9">
        <v>9911876413</v>
      </c>
      <c r="H49" s="9" t="str">
        <v>Ankit.Upadhyay@knorr-bremse.com</v>
      </c>
      <c r="I49" s="9" t="str">
        <v>13003900/001</v>
      </c>
      <c r="J49" s="9" t="str">
        <v>Contract</v>
      </c>
      <c r="K49" s="9" t="str">
        <v>No</v>
      </c>
      <c r="L49" s="9" t="str">
        <v>KXIND/N/MC/NJ240070</v>
      </c>
      <c r="M49" s="9">
        <v>45454</v>
      </c>
      <c r="N49" s="9">
        <v>90000</v>
      </c>
      <c r="O49" s="9" t="str">
        <v>January</v>
      </c>
      <c r="P49" s="9" t="str">
        <v>January</v>
      </c>
      <c r="Q49" s="9">
        <v>1</v>
      </c>
      <c r="R49" s="9">
        <v>4340097826</v>
      </c>
      <c r="S49" s="9">
        <v>45665</v>
      </c>
      <c r="T49" s="9">
        <v>92014</v>
      </c>
      <c r="U49" s="9" t="str">
        <v>January</v>
      </c>
      <c r="V49" s="9">
        <v>-2014</v>
      </c>
      <c r="W49" s="9" t="str">
        <v>2024 OFFER</v>
      </c>
      <c r="X49" s="9">
        <v>0</v>
      </c>
      <c r="Y49" s="9">
        <v>45715</v>
      </c>
    </row>
    <row r="50" spans="1:25">
      <c r="A50" s="9">
        <v>0</v>
      </c>
      <c r="B50" s="9">
        <v>0</v>
      </c>
      <c r="C50" s="9" t="str">
        <v>Knorr-Bremse India Ltd.</v>
      </c>
      <c r="D50" s="9" t="str">
        <v>Palwal</v>
      </c>
      <c r="E50" s="9" t="str">
        <v>MAINTENANCE</v>
      </c>
      <c r="F50" s="9" t="str">
        <v>ANKIT UPADHYAY</v>
      </c>
      <c r="G50" s="9">
        <v>9911876413</v>
      </c>
      <c r="H50" s="9" t="str">
        <v>Ankit.Upadhyay@knorr-bremse.com</v>
      </c>
      <c r="I50" s="9" t="str">
        <v>17006078/001</v>
      </c>
      <c r="J50" s="9" t="str">
        <v>Contract</v>
      </c>
      <c r="K50" s="9" t="str">
        <v>No</v>
      </c>
      <c r="L50" s="9" t="str">
        <v>KXIND/N/MC/NJ240070</v>
      </c>
      <c r="M50" s="9">
        <v>45454</v>
      </c>
      <c r="N50" s="9">
        <v>90000</v>
      </c>
      <c r="O50" s="9" t="str">
        <v>January</v>
      </c>
      <c r="P50" s="9" t="str">
        <v>January</v>
      </c>
      <c r="Q50" s="9">
        <v>1</v>
      </c>
      <c r="R50" s="9">
        <v>4340097826</v>
      </c>
      <c r="S50" s="9">
        <v>45665</v>
      </c>
      <c r="T50" s="9">
        <v>92014</v>
      </c>
      <c r="U50" s="9" t="str">
        <v>January</v>
      </c>
      <c r="V50" s="9">
        <v>-2014</v>
      </c>
      <c r="W50" s="9" t="str">
        <v>2024 OFFER</v>
      </c>
      <c r="X50" s="9">
        <v>0</v>
      </c>
      <c r="Y50" s="9">
        <v>45715</v>
      </c>
    </row>
    <row r="51" spans="1:25">
      <c r="A51" s="9">
        <v>19</v>
      </c>
      <c r="B51" s="9">
        <v>45684</v>
      </c>
      <c r="C51" s="9" t="str">
        <v>JCB India Ltd.</v>
      </c>
      <c r="D51" s="9" t="str">
        <v>Ballabgarh</v>
      </c>
      <c r="E51" s="9" t="str">
        <v>PURCHASE</v>
      </c>
      <c r="F51" s="9" t="str">
        <v>ROHIT</v>
      </c>
      <c r="G51" s="9">
        <v>9899010018</v>
      </c>
      <c r="H51" s="9" t="str">
        <v>Rohit.Rousha@jcb.com</v>
      </c>
      <c r="I51" s="9" t="str">
        <v>10005720/001</v>
      </c>
      <c r="J51" s="9" t="str">
        <v>Contract</v>
      </c>
      <c r="K51" s="9" t="str">
        <v>No</v>
      </c>
      <c r="L51" s="9" t="str">
        <v>KXIND/N/MC/NJ240072</v>
      </c>
      <c r="M51" s="9">
        <v>45454</v>
      </c>
      <c r="N51" s="9">
        <v>120000</v>
      </c>
      <c r="O51" s="9" t="str">
        <v>January</v>
      </c>
      <c r="P51" s="9" t="str">
        <v>April</v>
      </c>
      <c r="Q51" s="9">
        <v>1</v>
      </c>
      <c r="R51" s="9">
        <v>3500120284</v>
      </c>
      <c r="S51" s="9">
        <v>45904</v>
      </c>
      <c r="T51" s="9">
        <v>120000</v>
      </c>
      <c r="U51" s="9" t="str">
        <v>April</v>
      </c>
      <c r="V51" s="9">
        <v>0</v>
      </c>
      <c r="W51" s="9" t="str">
        <v>2024 OFFER</v>
      </c>
      <c r="X51" s="9">
        <v>0</v>
      </c>
      <c r="Y51" s="9">
        <v>0</v>
      </c>
    </row>
    <row r="52" spans="1:25">
      <c r="A52" s="9">
        <v>20</v>
      </c>
      <c r="B52" s="9">
        <v>45684</v>
      </c>
      <c r="C52" s="9" t="str">
        <v>Eastman Cast&amp;Forge Ltd.</v>
      </c>
      <c r="D52" s="9" t="str">
        <v>Ludhiana</v>
      </c>
      <c r="E52" s="9" t="str">
        <v>MAINTENANCE</v>
      </c>
      <c r="F52" s="9" t="str">
        <v>SP GAUR</v>
      </c>
      <c r="G52" s="9">
        <v>8195024422</v>
      </c>
      <c r="H52" s="9" t="str">
        <v>storemgr@eastmanhandtools.com</v>
      </c>
      <c r="I52" s="9" t="str">
        <v>06003006/001</v>
      </c>
      <c r="J52" s="9" t="str">
        <v>Contract</v>
      </c>
      <c r="K52" s="9" t="str">
        <v>No</v>
      </c>
      <c r="L52" s="9" t="str">
        <v>KXIND/N/MC/NJ240050</v>
      </c>
      <c r="M52" s="9">
        <v>45456</v>
      </c>
      <c r="N52" s="9">
        <v>125000</v>
      </c>
      <c r="O52" s="9" t="str">
        <v>June</v>
      </c>
      <c r="P52" s="9" t="str">
        <v>February</v>
      </c>
      <c r="Q52" s="9">
        <v>1</v>
      </c>
      <c r="R52" s="9" t="str">
        <v>PO/24/FY24-25/8962</v>
      </c>
      <c r="S52" s="9">
        <v>45566</v>
      </c>
      <c r="T52" s="9">
        <v>115200</v>
      </c>
      <c r="U52" s="9" t="str">
        <v>February</v>
      </c>
      <c r="V52" s="9">
        <v>0</v>
      </c>
      <c r="W52" s="9" t="str">
        <v>2024 OFFER</v>
      </c>
      <c r="X52" s="9">
        <v>0</v>
      </c>
      <c r="Y52" s="9">
        <v>45706</v>
      </c>
    </row>
    <row r="53" spans="1:25">
      <c r="A53" s="9">
        <v>21</v>
      </c>
      <c r="B53" s="9">
        <v>45684</v>
      </c>
      <c r="C53" s="9" t="str">
        <v>Sansera Engineering Ltd</v>
      </c>
      <c r="D53" s="9" t="str">
        <v>Manesar</v>
      </c>
      <c r="E53" s="9" t="str">
        <v>MAINTENANCE</v>
      </c>
      <c r="F53" s="9" t="str">
        <v>DEEPAK GULATI</v>
      </c>
      <c r="G53" s="9">
        <v>9871005820</v>
      </c>
      <c r="H53" s="9" t="str">
        <v>ppc_plant4@sansera.in</v>
      </c>
      <c r="I53" s="9" t="str">
        <v>14006313/001</v>
      </c>
      <c r="J53" s="9" t="str">
        <v>Contract</v>
      </c>
      <c r="K53" s="9" t="str">
        <v>No</v>
      </c>
      <c r="L53" s="9" t="str">
        <v>KXIND/N/MC/NJ240071</v>
      </c>
      <c r="M53" s="9">
        <v>45454</v>
      </c>
      <c r="N53" s="9">
        <v>140000</v>
      </c>
      <c r="O53" s="9" t="str">
        <v>January</v>
      </c>
      <c r="P53" s="9" t="str">
        <v>January</v>
      </c>
      <c r="Q53" s="9">
        <v>1</v>
      </c>
      <c r="R53" s="9">
        <v>1240051506</v>
      </c>
      <c r="S53" s="9">
        <v>45670</v>
      </c>
      <c r="T53" s="9">
        <v>72450</v>
      </c>
      <c r="U53" s="9" t="str">
        <v>January</v>
      </c>
      <c r="V53" s="9">
        <v>67550</v>
      </c>
      <c r="W53" s="9" t="str">
        <v>2024 OFFER</v>
      </c>
      <c r="X53" s="9">
        <v>0</v>
      </c>
      <c r="Y53" s="9">
        <v>45712</v>
      </c>
    </row>
    <row r="54" spans="1:25">
      <c r="A54" s="9">
        <v>0</v>
      </c>
      <c r="B54" s="9">
        <v>0</v>
      </c>
      <c r="C54" s="9" t="str">
        <v>Sansera Engineering Ltd</v>
      </c>
      <c r="D54" s="9" t="str">
        <v>Manesar</v>
      </c>
      <c r="E54" s="9" t="str">
        <v>MAINTENANCE</v>
      </c>
      <c r="F54" s="9" t="str">
        <v>DEEPAK GULATI</v>
      </c>
      <c r="G54" s="9">
        <v>9871005820</v>
      </c>
      <c r="H54" s="9" t="str">
        <v>ppc_plant4@sansera.in</v>
      </c>
      <c r="I54" s="9" t="str">
        <v>14006314/001</v>
      </c>
      <c r="J54" s="9" t="str">
        <v>Contract</v>
      </c>
      <c r="K54" s="9" t="str">
        <v>No</v>
      </c>
      <c r="L54" s="9" t="str">
        <v>KXIND/N/MC/NJ240071</v>
      </c>
      <c r="M54" s="9">
        <v>45454</v>
      </c>
      <c r="N54" s="9">
        <v>140000</v>
      </c>
      <c r="O54" s="9" t="str">
        <v>January</v>
      </c>
      <c r="P54" s="9" t="str">
        <v>January</v>
      </c>
      <c r="Q54" s="9">
        <v>1</v>
      </c>
      <c r="R54" s="9">
        <v>1240051506</v>
      </c>
      <c r="S54" s="9">
        <v>45670</v>
      </c>
      <c r="T54" s="9">
        <v>72450</v>
      </c>
      <c r="U54" s="9" t="str">
        <v>January</v>
      </c>
      <c r="V54" s="9">
        <v>67550</v>
      </c>
      <c r="W54" s="9" t="str">
        <v>2024 OFFER</v>
      </c>
      <c r="X54" s="9">
        <v>0</v>
      </c>
      <c r="Y54" s="9">
        <v>45712</v>
      </c>
    </row>
    <row r="55" spans="1:25">
      <c r="A55" s="9">
        <v>22</v>
      </c>
      <c r="B55" s="9">
        <v>45691</v>
      </c>
      <c r="C55" s="9" t="str">
        <v>Lohia Corp Limited</v>
      </c>
      <c r="D55" s="9" t="str">
        <v>Kanpur</v>
      </c>
      <c r="E55" s="9" t="str">
        <v>MAINTENANCE</v>
      </c>
      <c r="F55" s="9" t="str">
        <v>VINOD SHARMA</v>
      </c>
      <c r="G55" s="9">
        <v>9936294447</v>
      </c>
      <c r="H55" s="9" t="str">
        <v>vinod.sharma@lohiagroup.com</v>
      </c>
      <c r="I55" s="9" t="str">
        <v>07005925/001</v>
      </c>
      <c r="J55" s="9" t="str">
        <v>MLU</v>
      </c>
      <c r="K55" s="9" t="str">
        <v>Yes</v>
      </c>
      <c r="L55" s="9" t="str">
        <v>KXIND/N/SPP/NJ25017</v>
      </c>
      <c r="M55" s="9">
        <v>45685</v>
      </c>
      <c r="N55" s="9">
        <v>597898</v>
      </c>
      <c r="O55" s="9" t="str">
        <v>January</v>
      </c>
      <c r="P55" s="9" t="str">
        <v>AUG</v>
      </c>
      <c r="Q55" s="9">
        <v>0.5</v>
      </c>
      <c r="R55" s="9">
        <v>1011615305</v>
      </c>
      <c r="S55" s="9" t="str">
        <v>18/03/25</v>
      </c>
      <c r="T55" s="9">
        <v>51920</v>
      </c>
      <c r="U55" s="9" t="str">
        <v>March</v>
      </c>
      <c r="V55" s="9">
        <v>545978</v>
      </c>
      <c r="W55" s="9" t="str">
        <v>BUDGETING IN PROCESS FOR THE REST OF THE PARTS IN THE QUOTE</v>
      </c>
      <c r="X55" s="9">
        <v>0</v>
      </c>
      <c r="Y55" s="9">
        <v>45742</v>
      </c>
    </row>
    <row r="56" spans="1:25">
      <c r="A56" s="9">
        <v>23</v>
      </c>
      <c r="B56" s="9">
        <v>45691</v>
      </c>
      <c r="C56" s="9" t="str">
        <v>SUBROS LTD</v>
      </c>
      <c r="D56" s="9" t="str">
        <v>Noida</v>
      </c>
      <c r="E56" s="9" t="str">
        <v>PURCHASE</v>
      </c>
      <c r="F56" s="9" t="str">
        <v>PANKAJ BHARDWAJ</v>
      </c>
      <c r="G56" s="9">
        <v>9650623330</v>
      </c>
      <c r="H56" s="9" t="str">
        <v>pankaj.bhardwaj@subros.com</v>
      </c>
      <c r="I56" s="9" t="str">
        <v>11003996/001</v>
      </c>
      <c r="J56" s="9" t="str">
        <v>Contract</v>
      </c>
      <c r="K56" s="9" t="str">
        <v>NO</v>
      </c>
      <c r="L56" s="9" t="str">
        <v>KXIND/N/MC/NJ240080</v>
      </c>
      <c r="M56" s="9">
        <v>45628</v>
      </c>
      <c r="N56" s="9">
        <v>70000</v>
      </c>
      <c r="O56" s="9" t="str">
        <v>January</v>
      </c>
      <c r="P56" s="9" t="str">
        <v>June</v>
      </c>
      <c r="Q56" s="9">
        <v>1</v>
      </c>
      <c r="R56" s="9">
        <v>1100033763</v>
      </c>
      <c r="S56" s="9">
        <v>45904</v>
      </c>
      <c r="T56" s="9">
        <v>70000</v>
      </c>
      <c r="U56" s="9" t="str">
        <v>MAY</v>
      </c>
      <c r="V56" s="9">
        <v>0</v>
      </c>
      <c r="W56" s="9">
        <v>0</v>
      </c>
      <c r="X56" s="9">
        <v>0</v>
      </c>
      <c r="Y56" s="9">
        <v>0</v>
      </c>
    </row>
    <row r="57" spans="1:25">
      <c r="A57" s="9">
        <v>0</v>
      </c>
      <c r="B57" s="9">
        <v>0</v>
      </c>
      <c r="C57" s="9" t="str">
        <v>SUBROS LTD</v>
      </c>
      <c r="D57" s="9" t="str">
        <v>Noida</v>
      </c>
      <c r="E57" s="9" t="str">
        <v>PURCHASE</v>
      </c>
      <c r="F57" s="9" t="str">
        <v>PANKAJ BHARDWAJ</v>
      </c>
      <c r="G57" s="9">
        <v>9650623330</v>
      </c>
      <c r="H57" s="9" t="str">
        <v>pankaj.bhardwaj@subros.com</v>
      </c>
      <c r="I57" s="9" t="str">
        <v>11004008/001</v>
      </c>
      <c r="J57" s="9" t="str">
        <v>Contract</v>
      </c>
      <c r="K57" s="9" t="str">
        <v>NO</v>
      </c>
      <c r="L57" s="9" t="str">
        <v>KXIND/N/MC/NJ240080</v>
      </c>
      <c r="M57" s="9">
        <v>45628</v>
      </c>
      <c r="N57" s="9">
        <v>70000</v>
      </c>
      <c r="O57" s="9" t="str">
        <v>January</v>
      </c>
      <c r="P57" s="9" t="str">
        <v>June</v>
      </c>
      <c r="Q57" s="9">
        <v>1</v>
      </c>
      <c r="R57" s="9">
        <v>1100033763</v>
      </c>
      <c r="S57" s="9">
        <v>45904</v>
      </c>
      <c r="T57" s="9">
        <v>70000</v>
      </c>
      <c r="U57" s="9" t="str">
        <v>MAY</v>
      </c>
      <c r="V57" s="9">
        <v>0</v>
      </c>
      <c r="W57" s="9">
        <v>0</v>
      </c>
      <c r="X57" s="9">
        <v>0</v>
      </c>
      <c r="Y57" s="9">
        <v>0</v>
      </c>
    </row>
    <row r="58" spans="1:25">
      <c r="A58" s="9">
        <v>0</v>
      </c>
      <c r="B58" s="9">
        <v>0</v>
      </c>
      <c r="C58" s="9" t="str">
        <v>SUBROS LTD</v>
      </c>
      <c r="D58" s="9" t="str">
        <v>Noida</v>
      </c>
      <c r="E58" s="9" t="str">
        <v>PURCHASE</v>
      </c>
      <c r="F58" s="9" t="str">
        <v>PANKAJ BHARDWAJ</v>
      </c>
      <c r="G58" s="9">
        <v>9650623330</v>
      </c>
      <c r="H58" s="9" t="str">
        <v>pankaj.bhardwaj@subros.com</v>
      </c>
      <c r="I58" s="9" t="str">
        <v>11006752/001</v>
      </c>
      <c r="J58" s="9" t="str">
        <v>Contract</v>
      </c>
      <c r="K58" s="9" t="str">
        <v>NO</v>
      </c>
      <c r="L58" s="9" t="str">
        <v>KXIND/N/MC/NJ240080</v>
      </c>
      <c r="M58" s="9">
        <v>45628</v>
      </c>
      <c r="N58" s="9">
        <v>70000</v>
      </c>
      <c r="O58" s="9" t="str">
        <v>January</v>
      </c>
      <c r="P58" s="9" t="str">
        <v>June</v>
      </c>
      <c r="Q58" s="9">
        <v>1</v>
      </c>
      <c r="R58" s="9">
        <v>1100033763</v>
      </c>
      <c r="S58" s="9">
        <v>45904</v>
      </c>
      <c r="T58" s="9">
        <v>70000</v>
      </c>
      <c r="U58" s="9" t="str">
        <v>MAY</v>
      </c>
      <c r="V58" s="9">
        <v>0</v>
      </c>
      <c r="W58" s="9">
        <v>0</v>
      </c>
      <c r="X58" s="9">
        <v>0</v>
      </c>
      <c r="Y58" s="9">
        <v>0</v>
      </c>
    </row>
    <row r="59" spans="1:25">
      <c r="A59" s="9">
        <v>0</v>
      </c>
      <c r="B59" s="9">
        <v>0</v>
      </c>
      <c r="C59" s="9" t="str">
        <v>SUBROS LTD</v>
      </c>
      <c r="D59" s="9" t="str">
        <v>Noida</v>
      </c>
      <c r="E59" s="9" t="str">
        <v>PURCHASE</v>
      </c>
      <c r="F59" s="9" t="str">
        <v>PANKAJ BHARDWAJ</v>
      </c>
      <c r="G59" s="9">
        <v>9650623330</v>
      </c>
      <c r="H59" s="9" t="str">
        <v>pankaj.bhardwaj@subros.com</v>
      </c>
      <c r="I59" s="9" t="str">
        <v>11006639/001</v>
      </c>
      <c r="J59" s="9" t="str">
        <v>Contract</v>
      </c>
      <c r="K59" s="9" t="str">
        <v>NO</v>
      </c>
      <c r="L59" s="9" t="str">
        <v>KXIND/N/MC/NJ240080</v>
      </c>
      <c r="M59" s="9">
        <v>45628</v>
      </c>
      <c r="N59" s="9">
        <v>70000</v>
      </c>
      <c r="O59" s="9" t="str">
        <v>January</v>
      </c>
      <c r="P59" s="9" t="str">
        <v>June</v>
      </c>
      <c r="Q59" s="9">
        <v>1</v>
      </c>
      <c r="R59" s="9">
        <v>1100033763</v>
      </c>
      <c r="S59" s="9">
        <v>45904</v>
      </c>
      <c r="T59" s="9">
        <v>70000</v>
      </c>
      <c r="U59" s="9" t="str">
        <v>MAY</v>
      </c>
      <c r="V59" s="9">
        <v>0</v>
      </c>
      <c r="W59" s="9">
        <v>0</v>
      </c>
      <c r="X59" s="9">
        <v>0</v>
      </c>
      <c r="Y59" s="9">
        <v>0</v>
      </c>
    </row>
    <row r="60" spans="1:25">
      <c r="A60" s="9">
        <v>24</v>
      </c>
      <c r="B60" s="9">
        <v>45691</v>
      </c>
      <c r="C60" s="9" t="str">
        <v>Bharat Electronics Ltd</v>
      </c>
      <c r="D60" s="9" t="str">
        <v>Ghaziabad</v>
      </c>
      <c r="E60" s="9" t="str">
        <v>STORES</v>
      </c>
      <c r="F60" s="9" t="str">
        <v>BRIJ LAL</v>
      </c>
      <c r="G60" s="9">
        <v>9718737555</v>
      </c>
      <c r="H60" s="9" t="str">
        <v>brijlalmeena@bel.co.in</v>
      </c>
      <c r="I60" s="9">
        <v>305000053</v>
      </c>
      <c r="J60" s="9" t="str">
        <v>MLU</v>
      </c>
      <c r="K60" s="9" t="str">
        <v>Yes</v>
      </c>
      <c r="L60" s="9" t="str">
        <v>KXIND/N/SPP/NJ240037</v>
      </c>
      <c r="M60" s="9">
        <v>45686</v>
      </c>
      <c r="N60" s="9">
        <v>958900</v>
      </c>
      <c r="O60" s="9" t="str">
        <v>January</v>
      </c>
      <c r="P60" s="9" t="str">
        <v>MAY</v>
      </c>
      <c r="Q60" s="9">
        <v>0.7</v>
      </c>
      <c r="R60" s="9" t="str">
        <v>GEMC-511687765600142,GEMC-511687731620591,GEMC-511687730441577,GEMC-511687789579095,GEMC-511687736618005,GEMC-511687779674008</v>
      </c>
      <c r="S60" s="9" t="str">
        <v>25/03/25</v>
      </c>
      <c r="T60" s="9">
        <v>738219</v>
      </c>
      <c r="U60" s="9" t="str">
        <v>March</v>
      </c>
      <c r="V60" s="9">
        <v>0</v>
      </c>
      <c r="W60" s="9">
        <v>0</v>
      </c>
      <c r="X60" s="9">
        <v>0</v>
      </c>
      <c r="Y60" s="9">
        <v>45744</v>
      </c>
    </row>
    <row r="61" spans="1:25">
      <c r="A61" s="9">
        <v>25</v>
      </c>
      <c r="B61" s="9">
        <v>45691</v>
      </c>
      <c r="C61" s="9" t="str">
        <v>SUBROS LTD</v>
      </c>
      <c r="D61" s="9" t="str">
        <v>Noida</v>
      </c>
      <c r="E61" s="9" t="str">
        <v>MAINTENANCE</v>
      </c>
      <c r="F61" s="9" t="str">
        <v>HIMANSHU</v>
      </c>
      <c r="G61" s="9">
        <v>9818778483</v>
      </c>
      <c r="H61" s="9" t="str">
        <v>himanshu.kumar@subros.com</v>
      </c>
      <c r="I61" s="9" t="str">
        <v>11003996/001</v>
      </c>
      <c r="J61" s="9" t="str">
        <v>MLU</v>
      </c>
      <c r="K61" s="9" t="str">
        <v>Yes</v>
      </c>
      <c r="L61" s="9" t="str">
        <v>KXIND/N/MLU/NJ25018</v>
      </c>
      <c r="M61" s="9">
        <v>45686</v>
      </c>
      <c r="N61" s="9">
        <v>1059350</v>
      </c>
      <c r="O61" s="9" t="str">
        <v>January</v>
      </c>
      <c r="P61" s="9" t="str">
        <v>MAY</v>
      </c>
      <c r="Q61" s="9">
        <v>0.6</v>
      </c>
      <c r="R61" s="9">
        <v>6500021226</v>
      </c>
      <c r="S61" s="9" t="str">
        <v>25/03/25</v>
      </c>
      <c r="T61" s="9">
        <v>837250</v>
      </c>
      <c r="U61" s="9" t="str">
        <v>March</v>
      </c>
      <c r="V61" s="9">
        <v>0</v>
      </c>
      <c r="W61" s="9">
        <v>0</v>
      </c>
      <c r="X61" s="9">
        <v>0</v>
      </c>
      <c r="Y61" s="9">
        <v>0</v>
      </c>
    </row>
    <row r="62" spans="1:25">
      <c r="A62" s="9">
        <v>26</v>
      </c>
      <c r="B62" s="9">
        <v>45691</v>
      </c>
      <c r="C62" s="9" t="str">
        <v>Claas India Pvt. Ltd.</v>
      </c>
      <c r="D62" s="9" t="str">
        <v>Morinda</v>
      </c>
      <c r="E62" s="9" t="str">
        <v>MAINTENANCE</v>
      </c>
      <c r="F62" s="9" t="str">
        <v>VICKY BATRA</v>
      </c>
      <c r="G62" s="9">
        <v>8168022312</v>
      </c>
      <c r="H62" s="9" t="str">
        <v>Vicky.Batra@claas.com</v>
      </c>
      <c r="I62" s="9" t="str">
        <v>12006771/001</v>
      </c>
      <c r="J62" s="9" t="str">
        <v>MLU</v>
      </c>
      <c r="K62" s="9" t="str">
        <v>Yes</v>
      </c>
      <c r="L62" s="9" t="str">
        <v>KXIND/N/MLU/NJ25019</v>
      </c>
      <c r="M62" s="9">
        <v>45686</v>
      </c>
      <c r="N62" s="9">
        <v>781108</v>
      </c>
      <c r="O62" s="9" t="str">
        <v>January</v>
      </c>
      <c r="P62" s="9" t="str">
        <v>JUNE</v>
      </c>
      <c r="Q62" s="9">
        <v>0.6</v>
      </c>
      <c r="R62" s="9">
        <v>2300000031</v>
      </c>
      <c r="S62" s="9" t="str">
        <v>17/06/25</v>
      </c>
      <c r="T62" s="9">
        <v>411943</v>
      </c>
      <c r="U62" s="9" t="str">
        <v>June</v>
      </c>
      <c r="V62" s="9">
        <v>0</v>
      </c>
      <c r="W62" s="9">
        <v>0</v>
      </c>
      <c r="X62" s="9">
        <v>0</v>
      </c>
      <c r="Y62" s="9">
        <v>0</v>
      </c>
    </row>
    <row r="63" spans="1:25">
      <c r="A63" s="9">
        <v>27</v>
      </c>
      <c r="B63" s="9">
        <v>45691</v>
      </c>
      <c r="C63" s="9" t="str">
        <v>SUBROS LTD</v>
      </c>
      <c r="D63" s="9" t="str">
        <v>Noida</v>
      </c>
      <c r="E63" s="9" t="str">
        <v>PURCHASE</v>
      </c>
      <c r="F63" s="9" t="str">
        <v>ARUN KANDERA</v>
      </c>
      <c r="G63" s="9" t="str">
        <v> </v>
      </c>
      <c r="H63" s="9" t="str">
        <v>arun.kandera@subros.com</v>
      </c>
      <c r="I63" s="9" t="str">
        <v>11003996/001</v>
      </c>
      <c r="J63" s="9" t="str">
        <v>SPP</v>
      </c>
      <c r="K63" s="9" t="str">
        <v>Yes</v>
      </c>
      <c r="L63" s="9" t="str">
        <v>KXIND/N/SPP/NJ25020</v>
      </c>
      <c r="M63" s="9">
        <v>45686</v>
      </c>
      <c r="N63" s="9">
        <v>31445</v>
      </c>
      <c r="O63" s="9" t="str">
        <v>January</v>
      </c>
      <c r="P63" s="9" t="str">
        <v>MAY</v>
      </c>
      <c r="Q63" s="9">
        <v>1</v>
      </c>
      <c r="R63" s="9">
        <v>6500020968</v>
      </c>
      <c r="S63" s="9" t="str">
        <v>21-02-25</v>
      </c>
      <c r="T63" s="9">
        <v>31086</v>
      </c>
      <c r="U63" s="9" t="str">
        <v>APRIL</v>
      </c>
      <c r="V63" s="9">
        <v>0</v>
      </c>
      <c r="W63" s="9">
        <v>0</v>
      </c>
      <c r="X63" s="9">
        <v>0</v>
      </c>
      <c r="Y63" s="9">
        <v>0</v>
      </c>
    </row>
    <row r="64" spans="1:25">
      <c r="A64" s="9">
        <v>28</v>
      </c>
      <c r="B64" s="9">
        <v>45691</v>
      </c>
      <c r="C64" s="9" t="str">
        <v>MSIL</v>
      </c>
      <c r="D64" s="9" t="str">
        <v>Manesar</v>
      </c>
      <c r="E64" s="9" t="str">
        <v>MAINTENANCE</v>
      </c>
      <c r="F64" s="9" t="str">
        <v>AMIT PAL</v>
      </c>
      <c r="G64" s="9" t="str">
        <v> </v>
      </c>
      <c r="H64" s="9" t="str">
        <v>Amit.Pal@maruti.co.in</v>
      </c>
      <c r="I64" s="9" t="str">
        <v>09003750/001</v>
      </c>
      <c r="J64" s="9" t="str">
        <v>MLU</v>
      </c>
      <c r="K64" s="9" t="str">
        <v>Yes</v>
      </c>
      <c r="L64" s="9" t="str">
        <v>KXIND/N/MLU/NJ25021</v>
      </c>
      <c r="M64" s="9">
        <v>45686</v>
      </c>
      <c r="N64" s="9">
        <v>1158984</v>
      </c>
      <c r="O64" s="9" t="str">
        <v>January</v>
      </c>
      <c r="P64" s="9" t="str">
        <v>August</v>
      </c>
      <c r="Q64" s="9">
        <v>0.6</v>
      </c>
      <c r="R64" s="9">
        <v>0</v>
      </c>
      <c r="S64" s="9">
        <v>0</v>
      </c>
      <c r="T64" s="9">
        <v>0</v>
      </c>
      <c r="U64" s="9" t="str">
        <v>January</v>
      </c>
      <c r="V64" s="9">
        <v>1158984</v>
      </c>
      <c r="W64" s="9">
        <v>0</v>
      </c>
      <c r="X64" s="9" t="str">
        <v>RFQ SUBMITTED</v>
      </c>
      <c r="Y64" s="9">
        <v>0</v>
      </c>
    </row>
    <row r="65" spans="1:25">
      <c r="A65" s="9">
        <v>29</v>
      </c>
      <c r="B65" s="9">
        <v>45691</v>
      </c>
      <c r="C65" s="9" t="str">
        <v>CNH</v>
      </c>
      <c r="D65" s="9" t="str">
        <v>Noida</v>
      </c>
      <c r="E65" s="9" t="str">
        <v>MAINTENANCE</v>
      </c>
      <c r="F65" s="9" t="str">
        <v>ATUL SEMWAL</v>
      </c>
      <c r="G65" s="9">
        <v>8447739242</v>
      </c>
      <c r="H65" s="9" t="str">
        <v>atul.semwal@cnhind.com</v>
      </c>
      <c r="I65" s="9" t="str">
        <v>09008692/001</v>
      </c>
      <c r="J65" s="9" t="str">
        <v>SPP</v>
      </c>
      <c r="K65" s="9" t="str">
        <v>Yes</v>
      </c>
      <c r="L65" s="9" t="str">
        <v>KXIND/N/SPP/NJ240085</v>
      </c>
      <c r="M65" s="9">
        <v>45633</v>
      </c>
      <c r="N65" s="9">
        <v>231000</v>
      </c>
      <c r="O65" s="9" t="str">
        <v>January</v>
      </c>
      <c r="P65" s="9" t="str">
        <v>January</v>
      </c>
      <c r="Q65" s="9">
        <v>1</v>
      </c>
      <c r="R65" s="9" t="str">
        <v>CG1003551</v>
      </c>
      <c r="S65" s="9">
        <v>45717</v>
      </c>
      <c r="T65" s="9">
        <v>224070</v>
      </c>
      <c r="U65" s="9" t="str">
        <v>January</v>
      </c>
      <c r="V65" s="9">
        <v>0</v>
      </c>
      <c r="W65" s="9">
        <v>0</v>
      </c>
      <c r="X65" s="9">
        <v>0</v>
      </c>
      <c r="Y65" s="9">
        <v>45705</v>
      </c>
    </row>
    <row r="66" spans="1:25">
      <c r="A66" s="9">
        <v>30</v>
      </c>
      <c r="B66" s="9">
        <v>45694</v>
      </c>
      <c r="C66" s="9" t="str">
        <v>Sansera Engineering Ltd</v>
      </c>
      <c r="D66" s="9" t="str">
        <v>Manesar</v>
      </c>
      <c r="E66" s="9" t="str">
        <v>MAINTENANCE</v>
      </c>
      <c r="F66" s="9" t="str">
        <v>DEEPAK</v>
      </c>
      <c r="G66" s="9">
        <v>9871005820</v>
      </c>
      <c r="H66" s="9" t="str">
        <v>ppc_plant4@sansera.in</v>
      </c>
      <c r="I66" s="9" t="str">
        <v>14006314/001</v>
      </c>
      <c r="J66" s="9" t="str">
        <v>MLU</v>
      </c>
      <c r="K66" s="9" t="str">
        <v>Yes</v>
      </c>
      <c r="L66" s="9" t="str">
        <v>KXIND/N/MLU/NJ25023</v>
      </c>
      <c r="M66" s="9">
        <v>45692</v>
      </c>
      <c r="N66" s="9">
        <v>779003</v>
      </c>
      <c r="O66" s="9" t="str">
        <v>February</v>
      </c>
      <c r="P66" s="9" t="str">
        <v>June</v>
      </c>
      <c r="Q66" s="9">
        <v>0.5</v>
      </c>
      <c r="R66" s="9">
        <v>1240060166</v>
      </c>
      <c r="S66" s="9" t="str">
        <v>28/02/25</v>
      </c>
      <c r="T66" s="9">
        <v>688000</v>
      </c>
      <c r="U66" s="9" t="str">
        <v>February</v>
      </c>
      <c r="V66" s="9">
        <v>0</v>
      </c>
      <c r="W66" s="9">
        <v>0</v>
      </c>
      <c r="X66" s="9">
        <v>0</v>
      </c>
      <c r="Y66" s="9">
        <v>45744</v>
      </c>
    </row>
    <row r="67" spans="1:25">
      <c r="A67" s="9">
        <v>31</v>
      </c>
      <c r="B67" s="9">
        <v>0</v>
      </c>
      <c r="C67" s="9" t="str">
        <v>Sansera Engineering Ltd</v>
      </c>
      <c r="D67" s="9" t="str">
        <v>rudrapur</v>
      </c>
      <c r="E67" s="9" t="str">
        <v>MAINTENANCE</v>
      </c>
      <c r="F67" s="9" t="str">
        <v>LAXMI DATT</v>
      </c>
      <c r="G67" s="9">
        <v>9997534222</v>
      </c>
      <c r="H67" s="9" t="str">
        <v>laxmi_datt@sansera.in</v>
      </c>
      <c r="I67" s="9" t="str">
        <v>12004078/001</v>
      </c>
      <c r="J67" s="9" t="str">
        <v>MLU</v>
      </c>
      <c r="K67" s="9" t="str">
        <v>Yes</v>
      </c>
      <c r="L67" s="9" t="str">
        <v>KXIND/N/MLU/NJ25024</v>
      </c>
      <c r="M67" s="9">
        <v>45692</v>
      </c>
      <c r="N67" s="9">
        <v>528176</v>
      </c>
      <c r="O67" s="9" t="str">
        <v>February</v>
      </c>
      <c r="P67" s="9" t="str">
        <v>AUGUST</v>
      </c>
      <c r="Q67" s="9">
        <v>0.5</v>
      </c>
      <c r="R67" s="9">
        <v>0</v>
      </c>
      <c r="S67" s="9">
        <v>0</v>
      </c>
      <c r="T67" s="9">
        <v>0</v>
      </c>
      <c r="U67" s="9" t="str">
        <v>January</v>
      </c>
      <c r="V67" s="9">
        <v>528176</v>
      </c>
      <c r="W67" s="9">
        <v>0</v>
      </c>
      <c r="X67" s="9">
        <v>0</v>
      </c>
      <c r="Y67" s="9">
        <v>0</v>
      </c>
    </row>
    <row r="68" spans="1:25">
      <c r="A68" s="9">
        <v>32</v>
      </c>
      <c r="B68" s="9">
        <v>45694</v>
      </c>
      <c r="C68" s="9" t="str">
        <v>Syndicate Innovations International Ltd</v>
      </c>
      <c r="D68" s="9" t="str">
        <v>Ghaziabad</v>
      </c>
      <c r="E68" s="9" t="str">
        <v>STORES</v>
      </c>
      <c r="F68" s="9" t="str">
        <v>DEEPAK</v>
      </c>
      <c r="G68" s="9">
        <v>9910046492</v>
      </c>
      <c r="H68" s="9" t="str">
        <v>store@syndicateinnovations.com</v>
      </c>
      <c r="I68" s="9" t="str">
        <v>21002212/001</v>
      </c>
      <c r="J68" s="9" t="str">
        <v>SPP</v>
      </c>
      <c r="K68" s="9" t="str">
        <v>YES</v>
      </c>
      <c r="L68" s="9" t="str">
        <v>KXIND/N/MLU/NJ25022</v>
      </c>
      <c r="M68" s="9">
        <v>45692</v>
      </c>
      <c r="N68" s="9">
        <v>1258250</v>
      </c>
      <c r="O68" s="9" t="str">
        <v>February</v>
      </c>
      <c r="P68" s="9" t="str">
        <v>AUGUST</v>
      </c>
      <c r="Q68" s="9">
        <v>0.5</v>
      </c>
      <c r="R68" s="9">
        <v>0</v>
      </c>
      <c r="S68" s="9">
        <v>0</v>
      </c>
      <c r="T68" s="9">
        <v>0</v>
      </c>
      <c r="U68" s="9" t="str">
        <v>January</v>
      </c>
      <c r="V68" s="9">
        <v>1258250</v>
      </c>
      <c r="W68" s="9">
        <v>0</v>
      </c>
      <c r="X68" s="9">
        <v>0</v>
      </c>
      <c r="Y68" s="9">
        <v>0</v>
      </c>
    </row>
    <row r="69" spans="1:25">
      <c r="A69" s="9">
        <v>34</v>
      </c>
      <c r="B69" s="9">
        <v>45700</v>
      </c>
      <c r="C69" s="9" t="str">
        <v>BHEL</v>
      </c>
      <c r="D69" s="9" t="str">
        <v>Varanasi</v>
      </c>
      <c r="E69" s="9" t="str">
        <v>MAINTENANCE</v>
      </c>
      <c r="F69" s="9" t="str">
        <v>SHEO SHANKAR</v>
      </c>
      <c r="G69" s="9" t="str">
        <v>96167 78354</v>
      </c>
      <c r="H69" s="9" t="str">
        <v>sheoshankar@bhel.in</v>
      </c>
      <c r="I69" s="9" t="str">
        <v>11005295/001</v>
      </c>
      <c r="J69" s="9" t="str">
        <v>Contract</v>
      </c>
      <c r="K69" s="9" t="str">
        <v>NO</v>
      </c>
      <c r="L69" s="9" t="str">
        <v>KXIND/N/MC/NJ25026</v>
      </c>
      <c r="M69" s="9">
        <v>45699</v>
      </c>
      <c r="N69" s="9">
        <v>65000</v>
      </c>
      <c r="O69" s="9" t="str">
        <v>February</v>
      </c>
      <c r="P69" s="9" t="str">
        <v>MAY</v>
      </c>
      <c r="Q69" s="9">
        <v>1</v>
      </c>
      <c r="R69" s="9">
        <v>511687739281076</v>
      </c>
      <c r="S69" s="9" t="str">
        <v>15-03-25</v>
      </c>
      <c r="T69" s="9">
        <v>50819</v>
      </c>
      <c r="U69" s="9" t="str">
        <v>MARCH</v>
      </c>
      <c r="V69" s="9">
        <v>0</v>
      </c>
      <c r="W69" s="9">
        <v>0</v>
      </c>
      <c r="X69" s="9">
        <v>0</v>
      </c>
      <c r="Y69" s="9">
        <v>0</v>
      </c>
    </row>
  </sheetData>
  <sheetProtection algorithmName="SHA-512" hashValue="bkPbuLOkema3ebDiKFr4fHlfqCdrFwaasojqkjR61KoeBa6ztYECj8p3854/gllEl3i0l2Fvlp59kMngrsbzaw==" saltValue="10QjhHixAciqsLApXsPTS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06A2-D6AB-46E0-A83F-6BE5FD96209E}">
  <dimension ref="A1:AC399"/>
  <sheetViews>
    <sheetView zoomScaleNormal="100" zoomScalePageLayoutView="80" workbookViewId="0">
      <selection activeCell="F31" sqref="F31:I31"/>
    </sheetView>
  </sheetViews>
  <sheetFormatPr defaultColWidth="9.44140625" defaultRowHeight="13.8"/>
  <cols>
    <col min="1" max="1" width="10.44140625" style="9" customWidth="1"/>
    <col min="2" max="16384" width="9.44140625" style="9"/>
  </cols>
  <sheetData>
    <row r="1" spans="1:29">
      <c r="A1" s="9" t="str">
        <f>Pankaj!A2</f>
        <v>KARDEX INDIA - LIVE OFFER FUNEL - PANKAJ - EAST</v>
      </c>
    </row>
    <row r="3" spans="1:29">
      <c r="A3" s="9" t="str" cm="1">
        <f t="array" ref="A3:B3">Pankaj!A4:B4</f>
        <v>Total Offers</v>
      </c>
      <c r="B3" s="9">
        <v>29</v>
      </c>
      <c r="T3" s="9" t="str" cm="1">
        <f t="array" ref="T3:U5">Pankaj!U3:V5</f>
        <v>Total Offered Value</v>
      </c>
      <c r="U3" s="9">
        <v>12643664</v>
      </c>
    </row>
    <row r="4" spans="1:29">
      <c r="T4" s="9" t="str">
        <v>Order Received</v>
      </c>
      <c r="U4" s="9">
        <v>4782292.4000000004</v>
      </c>
    </row>
    <row r="5" spans="1:29">
      <c r="T5" s="9" t="str">
        <v>Open Funnel</v>
      </c>
      <c r="U5" s="9">
        <v>7778194.5999999996</v>
      </c>
    </row>
    <row r="7" spans="1:29">
      <c r="A7" s="9" t="str" cm="1">
        <f t="array" ref="A7:Y399">Pankaj!A6:Y398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AA7" s="9" t="str" cm="1">
        <f t="array" ref="AA7:AC18">Pankaj!AC2:AE13</f>
        <v>Month</v>
      </c>
      <c r="AB7" s="9" t="str">
        <v>Offers Total</v>
      </c>
      <c r="AC7" s="9" t="str">
        <v>Order received</v>
      </c>
    </row>
    <row r="8" spans="1:29">
      <c r="A8" s="9">
        <v>1</v>
      </c>
      <c r="B8" s="9">
        <v>45672</v>
      </c>
      <c r="C8" s="9" t="str">
        <v>Surya Nepal Pvt Ltd</v>
      </c>
      <c r="D8" s="9" t="str">
        <v>Nepal</v>
      </c>
      <c r="E8" s="9" t="str">
        <v>Store</v>
      </c>
      <c r="F8" s="9" t="str">
        <v>Mr. Shiva Kharel</v>
      </c>
      <c r="G8" s="9" t="str">
        <v>0977-9802902507</v>
      </c>
      <c r="H8" s="9" t="str">
        <v>shiva.kharel@snpl.com.np</v>
      </c>
      <c r="I8" s="9" t="str">
        <v>11005649/001</v>
      </c>
      <c r="J8" s="9" t="str">
        <v>SPP</v>
      </c>
      <c r="K8" s="9" t="str">
        <v>Yes</v>
      </c>
      <c r="L8" s="9" t="str">
        <v>KXIND/E/PKS/SPP/25001</v>
      </c>
      <c r="M8" s="9">
        <v>45672</v>
      </c>
      <c r="N8" s="9">
        <v>813450</v>
      </c>
      <c r="O8" s="9" t="str">
        <v>January</v>
      </c>
      <c r="P8" s="9" t="str">
        <v>March</v>
      </c>
      <c r="Q8" s="9">
        <v>0.7</v>
      </c>
      <c r="R8" s="9">
        <v>4500032869</v>
      </c>
      <c r="S8" s="9">
        <v>45735</v>
      </c>
      <c r="T8" s="9">
        <v>248956</v>
      </c>
      <c r="U8" s="9" t="str">
        <v>March</v>
      </c>
      <c r="V8" s="9">
        <v>564494</v>
      </c>
      <c r="W8" s="9" t="str">
        <v>Yet recei balance in June</v>
      </c>
      <c r="X8" s="9" t="str">
        <v>On hold</v>
      </c>
      <c r="Y8" s="9">
        <v>45744</v>
      </c>
      <c r="AA8" s="9" t="str">
        <v>January</v>
      </c>
      <c r="AB8" s="9">
        <v>1893450</v>
      </c>
      <c r="AC8" s="9">
        <v>680982</v>
      </c>
    </row>
    <row r="9" spans="1:29">
      <c r="A9" s="9">
        <v>2</v>
      </c>
      <c r="B9" s="9">
        <v>45685</v>
      </c>
      <c r="C9" s="9" t="str">
        <v xml:space="preserve">Hindustan Aeronautics LTD </v>
      </c>
      <c r="D9" s="9" t="str">
        <v>Bhubneshwar</v>
      </c>
      <c r="E9" s="9" t="str">
        <v>Store</v>
      </c>
      <c r="F9" s="9" t="str">
        <v xml:space="preserve">Mr. Priyabrata Samal </v>
      </c>
      <c r="G9" s="9">
        <v>8123906930</v>
      </c>
      <c r="H9" s="9" t="str">
        <v>priyabrata.samal@hal-india.co.in</v>
      </c>
      <c r="I9" s="9" t="str">
        <v>21000323/001</v>
      </c>
      <c r="J9" s="9" t="str">
        <v>Contract</v>
      </c>
      <c r="K9" s="9" t="str">
        <v>Yes</v>
      </c>
      <c r="L9" s="9" t="str">
        <v>KRIND/S/MC/ASK2300039-R2</v>
      </c>
      <c r="M9" s="9">
        <v>45459</v>
      </c>
      <c r="N9" s="9">
        <v>142000</v>
      </c>
      <c r="O9" s="9" t="str">
        <v>January</v>
      </c>
      <c r="P9" s="9" t="str">
        <v>January</v>
      </c>
      <c r="Q9" s="9">
        <v>0.8</v>
      </c>
      <c r="R9" s="9">
        <v>16882528</v>
      </c>
      <c r="S9" s="9">
        <v>45670</v>
      </c>
      <c r="T9" s="9">
        <v>142000</v>
      </c>
      <c r="U9" s="9" t="str">
        <v>January</v>
      </c>
      <c r="V9" s="9">
        <v>0</v>
      </c>
      <c r="W9" s="9">
        <v>0</v>
      </c>
      <c r="X9" s="9">
        <v>0</v>
      </c>
      <c r="Y9" s="9">
        <v>45744</v>
      </c>
      <c r="AA9" s="9" t="str">
        <v>February</v>
      </c>
      <c r="AB9" s="9">
        <v>749147</v>
      </c>
      <c r="AC9" s="9">
        <v>134649</v>
      </c>
    </row>
    <row r="10" spans="1:29">
      <c r="A10" s="9">
        <v>3</v>
      </c>
      <c r="B10" s="9">
        <v>45685</v>
      </c>
      <c r="C10" s="9" t="str">
        <v xml:space="preserve">Hindustan Aeronautics LTD </v>
      </c>
      <c r="D10" s="9" t="str">
        <v>Koraput</v>
      </c>
      <c r="E10" s="9" t="str">
        <v>Store</v>
      </c>
      <c r="F10" s="9" t="str">
        <v>Mr.Pravat Panda</v>
      </c>
      <c r="G10" s="9">
        <v>9438221361</v>
      </c>
      <c r="H10" s="9" t="str">
        <v>pravat.kumar@hal-india.co.in</v>
      </c>
      <c r="I10" s="9" t="str">
        <v>05000254/001</v>
      </c>
      <c r="J10" s="9" t="str">
        <v>SPP</v>
      </c>
      <c r="K10" s="9" t="str">
        <v>Yes</v>
      </c>
      <c r="L10" s="9" t="str">
        <v>KXIND/E/PKS/SPP/24029</v>
      </c>
      <c r="M10" s="9">
        <v>45646</v>
      </c>
      <c r="N10" s="9">
        <v>561440</v>
      </c>
      <c r="O10" s="9" t="str">
        <v>January</v>
      </c>
      <c r="P10" s="9" t="str">
        <v>January</v>
      </c>
      <c r="Q10" s="9">
        <v>0.8</v>
      </c>
      <c r="R10" s="9" t="str">
        <v>HBK/243I-1226-52</v>
      </c>
      <c r="S10" s="9">
        <v>45681</v>
      </c>
      <c r="T10" s="9">
        <v>538982</v>
      </c>
      <c r="U10" s="9" t="str">
        <v>January</v>
      </c>
      <c r="V10" s="9">
        <v>22458</v>
      </c>
      <c r="W10" s="9" t="str">
        <v>4% discount</v>
      </c>
      <c r="X10" s="9">
        <v>0</v>
      </c>
      <c r="Y10" s="9" t="str">
        <v>30/1/2025</v>
      </c>
      <c r="AA10" s="9" t="str">
        <v>March</v>
      </c>
      <c r="AB10" s="9">
        <v>1434365</v>
      </c>
      <c r="AC10" s="9">
        <v>878370</v>
      </c>
    </row>
    <row r="11" spans="1:29">
      <c r="A11" s="9">
        <v>4</v>
      </c>
      <c r="B11" s="9">
        <v>45685</v>
      </c>
      <c r="C11" s="9" t="str">
        <v>Maithon Power Ltd</v>
      </c>
      <c r="D11" s="9" t="str">
        <v>Dhanbad</v>
      </c>
      <c r="E11" s="9" t="str">
        <v>Store</v>
      </c>
      <c r="F11" s="9" t="str">
        <v>Mr. Partho Bhattacharaya</v>
      </c>
      <c r="G11" s="9">
        <v>9204958572</v>
      </c>
      <c r="H11" s="9" t="str">
        <v>partho.bhattacharyya@tatapower.com</v>
      </c>
      <c r="I11" s="9" t="str">
        <v>11010120/001</v>
      </c>
      <c r="J11" s="9" t="str">
        <v>Contract</v>
      </c>
      <c r="K11" s="9" t="str">
        <v>No</v>
      </c>
      <c r="L11" s="9" t="str">
        <v>KXIND/E/MC/PKS25002</v>
      </c>
      <c r="M11" s="9">
        <v>45681</v>
      </c>
      <c r="N11" s="9">
        <v>376560</v>
      </c>
      <c r="O11" s="9" t="str">
        <v>January</v>
      </c>
      <c r="P11" s="9" t="str">
        <v>May</v>
      </c>
      <c r="Q11" s="9">
        <v>0.9</v>
      </c>
      <c r="R11" s="9">
        <v>6000079727</v>
      </c>
      <c r="S11" s="9">
        <v>45754</v>
      </c>
      <c r="T11" s="9">
        <v>362745</v>
      </c>
      <c r="U11" s="9" t="str">
        <v>April</v>
      </c>
      <c r="V11" s="9">
        <v>0</v>
      </c>
      <c r="W11" s="9">
        <v>0</v>
      </c>
      <c r="X11" s="9">
        <v>0</v>
      </c>
      <c r="Y11" s="9">
        <v>0</v>
      </c>
      <c r="AA11" s="9" t="str">
        <v>April</v>
      </c>
      <c r="AB11" s="9">
        <v>264000</v>
      </c>
      <c r="AC11" s="9">
        <v>952118</v>
      </c>
    </row>
    <row r="12" spans="1:29">
      <c r="A12" s="9">
        <v>5</v>
      </c>
      <c r="B12" s="9">
        <v>45698</v>
      </c>
      <c r="C12" s="9" t="str">
        <v>ITC Ltd</v>
      </c>
      <c r="D12" s="9" t="str">
        <v>Kolkata</v>
      </c>
      <c r="E12" s="9" t="str">
        <v>Store</v>
      </c>
      <c r="F12" s="9" t="str">
        <v>Mr.Ritesh Kumar</v>
      </c>
      <c r="G12" s="9">
        <v>9147424069</v>
      </c>
      <c r="H12" s="9" t="str">
        <v>kumar.ritesh@itc.in</v>
      </c>
      <c r="I12" s="9" t="str">
        <v>06009312/001</v>
      </c>
      <c r="J12" s="9" t="str">
        <v>SPP</v>
      </c>
      <c r="K12" s="9" t="str">
        <v>Yes</v>
      </c>
      <c r="L12" s="9" t="str">
        <v>KXIND/E/PKS/SPP/25003</v>
      </c>
      <c r="M12" s="9">
        <v>45694</v>
      </c>
      <c r="N12" s="9">
        <v>233880</v>
      </c>
      <c r="O12" s="9" t="str">
        <v>February</v>
      </c>
      <c r="P12" s="9" t="str">
        <v>February</v>
      </c>
      <c r="Q12" s="9">
        <v>0.9</v>
      </c>
      <c r="R12" s="9">
        <v>4700378891</v>
      </c>
      <c r="S12" s="9">
        <v>45694</v>
      </c>
      <c r="T12" s="9">
        <v>134649</v>
      </c>
      <c r="U12" s="9" t="str">
        <v>February</v>
      </c>
      <c r="V12" s="9">
        <v>99231</v>
      </c>
      <c r="W12" s="9">
        <v>0</v>
      </c>
      <c r="X12" s="9">
        <v>0</v>
      </c>
      <c r="Y12" s="9" t="str">
        <v>21/2/2025</v>
      </c>
      <c r="AA12" s="9" t="str">
        <v>May</v>
      </c>
      <c r="AB12" s="9">
        <v>1910946</v>
      </c>
      <c r="AC12" s="9">
        <v>895062.4</v>
      </c>
    </row>
    <row r="13" spans="1:29">
      <c r="A13" s="9">
        <v>6</v>
      </c>
      <c r="B13" s="9">
        <v>45699</v>
      </c>
      <c r="C13" s="9" t="str">
        <v>Industrial Energy Limited</v>
      </c>
      <c r="D13" s="9" t="str">
        <v>Kalinganagar</v>
      </c>
      <c r="E13" s="9" t="str">
        <v>Store</v>
      </c>
      <c r="F13" s="9" t="str">
        <v>Mr.Subhasish Dhal</v>
      </c>
      <c r="G13" s="9">
        <v>9234000584</v>
      </c>
      <c r="H13" s="9" t="str">
        <v>subhasish.dhal@tatapower.com</v>
      </c>
      <c r="I13" s="9" t="str">
        <v>15005047/001</v>
      </c>
      <c r="J13" s="9" t="str">
        <v>Contract</v>
      </c>
      <c r="K13" s="9" t="str">
        <v>No</v>
      </c>
      <c r="L13" s="9" t="str">
        <v>KXIND/E/MC/PKS25004</v>
      </c>
      <c r="M13" s="9">
        <v>45693</v>
      </c>
      <c r="N13" s="9">
        <v>94854</v>
      </c>
      <c r="O13" s="9" t="str">
        <v>February</v>
      </c>
      <c r="P13" s="9" t="str">
        <v>July</v>
      </c>
      <c r="Q13" s="9">
        <v>0.9</v>
      </c>
      <c r="R13" s="9">
        <v>8200197699</v>
      </c>
      <c r="S13" s="9">
        <v>45849</v>
      </c>
      <c r="T13" s="9">
        <v>91060</v>
      </c>
      <c r="U13" s="9" t="str">
        <v>July</v>
      </c>
      <c r="V13" s="9">
        <v>3794</v>
      </c>
      <c r="W13" s="9">
        <v>0</v>
      </c>
      <c r="X13" s="9">
        <v>0</v>
      </c>
      <c r="Y13" s="9">
        <v>0</v>
      </c>
      <c r="AA13" s="9" t="str">
        <v>June</v>
      </c>
      <c r="AB13" s="9">
        <v>541728</v>
      </c>
      <c r="AC13" s="9">
        <v>0</v>
      </c>
    </row>
    <row r="14" spans="1:29">
      <c r="A14" s="9">
        <v>7</v>
      </c>
      <c r="B14" s="9">
        <v>45720</v>
      </c>
      <c r="C14" s="9" t="str">
        <v>Tata Cummins Pvt Ltd</v>
      </c>
      <c r="D14" s="9" t="str">
        <v>Jamshedpur</v>
      </c>
      <c r="E14" s="9" t="str">
        <v>Store</v>
      </c>
      <c r="F14" s="9" t="str">
        <v>Mr. Tapan Sahoo</v>
      </c>
      <c r="G14" s="9">
        <v>7643991788</v>
      </c>
      <c r="H14" s="9" t="str">
        <v>tapan.sahoo@tatacummins.com</v>
      </c>
      <c r="I14" s="9" t="str">
        <v>11001751/001</v>
      </c>
      <c r="J14" s="9" t="str">
        <v>Contract</v>
      </c>
      <c r="K14" s="9" t="str">
        <v>No</v>
      </c>
      <c r="L14" s="9" t="str">
        <v>KXIND/E/MC/PKS25005</v>
      </c>
      <c r="M14" s="9">
        <v>45700</v>
      </c>
      <c r="N14" s="9">
        <v>420413</v>
      </c>
      <c r="O14" s="9" t="str">
        <v>February</v>
      </c>
      <c r="P14" s="9" t="str">
        <v>April</v>
      </c>
      <c r="Q14" s="9">
        <v>0.9</v>
      </c>
      <c r="R14" s="9">
        <v>30078594</v>
      </c>
      <c r="S14" s="9">
        <v>45755</v>
      </c>
      <c r="T14" s="9">
        <v>420413</v>
      </c>
      <c r="U14" s="9" t="str">
        <v>April</v>
      </c>
      <c r="V14" s="9">
        <v>0</v>
      </c>
      <c r="W14" s="9">
        <v>0</v>
      </c>
      <c r="X14" s="9">
        <v>0</v>
      </c>
      <c r="Y14" s="9">
        <v>0</v>
      </c>
      <c r="AA14" s="9" t="str">
        <v>July</v>
      </c>
      <c r="AB14" s="9">
        <v>20478</v>
      </c>
      <c r="AC14" s="9">
        <v>91060</v>
      </c>
    </row>
    <row r="15" spans="1:29">
      <c r="A15" s="9">
        <v>8</v>
      </c>
      <c r="B15" s="9">
        <v>45720</v>
      </c>
      <c r="C15" s="9" t="str">
        <v>Tata Cummins Pvt Ltd</v>
      </c>
      <c r="D15" s="9" t="str">
        <v>Jamshedpur</v>
      </c>
      <c r="E15" s="9" t="str">
        <v>Store</v>
      </c>
      <c r="F15" s="9" t="str">
        <v>Mr. Tapan Sahoo</v>
      </c>
      <c r="G15" s="9">
        <v>7643991788</v>
      </c>
      <c r="H15" s="9" t="str">
        <v>tapan.sahoo@tatacummins.com</v>
      </c>
      <c r="I15" s="9" t="str">
        <v>11001751/001</v>
      </c>
      <c r="J15" s="9" t="str">
        <v>SPP</v>
      </c>
      <c r="K15" s="9" t="str">
        <v>Yes</v>
      </c>
      <c r="L15" s="9" t="str">
        <v>KXIND/E/PKS/SPP/25006</v>
      </c>
      <c r="M15" s="9">
        <v>45720</v>
      </c>
      <c r="N15" s="9">
        <v>290412</v>
      </c>
      <c r="O15" s="9" t="str">
        <v>March</v>
      </c>
      <c r="P15" s="9" t="str">
        <v>March</v>
      </c>
      <c r="Q15" s="9">
        <v>0.9</v>
      </c>
      <c r="R15" s="9">
        <v>30078346</v>
      </c>
      <c r="S15" s="9">
        <v>45742</v>
      </c>
      <c r="T15" s="9">
        <v>272987</v>
      </c>
      <c r="U15" s="9" t="str">
        <v>March</v>
      </c>
      <c r="V15" s="9">
        <v>17425</v>
      </c>
      <c r="W15" s="9" t="str">
        <v>6% discount offered</v>
      </c>
      <c r="X15" s="9">
        <v>0</v>
      </c>
      <c r="Y15" s="9">
        <v>0</v>
      </c>
      <c r="AA15" s="9" t="str">
        <v>August</v>
      </c>
      <c r="AB15" s="9">
        <v>2068998</v>
      </c>
      <c r="AC15" s="9">
        <v>0</v>
      </c>
    </row>
    <row r="16" spans="1:29">
      <c r="A16" s="9">
        <v>9</v>
      </c>
      <c r="B16" s="9">
        <v>45741</v>
      </c>
      <c r="C16" s="9" t="str">
        <v xml:space="preserve">Tata Motors LTD </v>
      </c>
      <c r="D16" s="9" t="str">
        <v>Jamshedpur</v>
      </c>
      <c r="E16" s="9" t="str">
        <v>Store</v>
      </c>
      <c r="F16" s="9" t="str">
        <v>Mr. Mukesh Singh</v>
      </c>
      <c r="G16" s="9">
        <v>9234623645</v>
      </c>
      <c r="H16" s="9" t="str">
        <v>mukesh.s@tatamotors.com</v>
      </c>
      <c r="I16" s="9" t="str">
        <v>12002500/001</v>
      </c>
      <c r="J16" s="9" t="str">
        <v>Contract</v>
      </c>
      <c r="K16" s="9" t="str">
        <v>No</v>
      </c>
      <c r="L16" s="9" t="str">
        <v>KXIND/E/MC/PKS24009</v>
      </c>
      <c r="M16" s="9">
        <v>45741</v>
      </c>
      <c r="N16" s="9">
        <v>640330</v>
      </c>
      <c r="O16" s="9" t="str">
        <v>March</v>
      </c>
      <c r="P16" s="9" t="str">
        <v>May</v>
      </c>
      <c r="Q16" s="9">
        <v>0.9</v>
      </c>
      <c r="R16" s="9">
        <v>3430061224</v>
      </c>
      <c r="S16" s="9">
        <v>45800</v>
      </c>
      <c r="T16" s="9">
        <v>582120</v>
      </c>
      <c r="U16" s="9" t="str">
        <v>May</v>
      </c>
      <c r="V16" s="9">
        <v>0</v>
      </c>
      <c r="W16" s="9" t="str">
        <v>LPO rate Po</v>
      </c>
      <c r="X16" s="9">
        <v>0</v>
      </c>
      <c r="Y16" s="9">
        <v>0</v>
      </c>
      <c r="AA16" s="9" t="str">
        <v>September</v>
      </c>
      <c r="AB16" s="9">
        <v>1673785</v>
      </c>
      <c r="AC16" s="9">
        <v>160800</v>
      </c>
    </row>
    <row r="17" spans="1:29">
      <c r="A17" s="9">
        <v>10</v>
      </c>
      <c r="B17" s="9">
        <v>45755</v>
      </c>
      <c r="C17" s="9" t="str">
        <v>The Tata Power Company Limited</v>
      </c>
      <c r="D17" s="9" t="str">
        <v>Jamshedpur</v>
      </c>
      <c r="E17" s="9" t="str">
        <v>Store</v>
      </c>
      <c r="F17" s="9" t="str">
        <v>Mr. Sushil Choubey</v>
      </c>
      <c r="G17" s="9">
        <v>9234653642</v>
      </c>
      <c r="H17" s="9" t="str">
        <v>sushilchoubey@tatapower.com</v>
      </c>
      <c r="I17" s="9" t="str">
        <v>09005105/001</v>
      </c>
      <c r="J17" s="9" t="str">
        <v>Contract</v>
      </c>
      <c r="K17" s="9" t="str">
        <v>No</v>
      </c>
      <c r="L17" s="9" t="str">
        <v>KRIND/PKS/MC/250010</v>
      </c>
      <c r="M17" s="9">
        <v>45743</v>
      </c>
      <c r="N17" s="9">
        <v>139698</v>
      </c>
      <c r="O17" s="9" t="str">
        <v>March</v>
      </c>
      <c r="P17" s="9" t="str">
        <v>August</v>
      </c>
      <c r="Q17" s="9">
        <v>0.7</v>
      </c>
      <c r="R17" s="9">
        <v>0</v>
      </c>
      <c r="S17" s="9">
        <v>0</v>
      </c>
      <c r="T17" s="9">
        <v>0</v>
      </c>
      <c r="U17" s="9" t="str">
        <v>January</v>
      </c>
      <c r="V17" s="9">
        <v>139698</v>
      </c>
      <c r="W17" s="9">
        <v>0</v>
      </c>
      <c r="X17" s="9">
        <v>0</v>
      </c>
      <c r="Y17" s="9">
        <v>0</v>
      </c>
      <c r="AA17" s="9" t="str">
        <v>October</v>
      </c>
      <c r="AB17" s="9">
        <v>1986767</v>
      </c>
      <c r="AC17" s="9">
        <v>0</v>
      </c>
    </row>
    <row r="18" spans="1:29">
      <c r="A18" s="9">
        <v>11</v>
      </c>
      <c r="B18" s="9">
        <v>45755</v>
      </c>
      <c r="C18" s="9" t="str">
        <v>Tata Cummins Pvt Ltd</v>
      </c>
      <c r="D18" s="9" t="str">
        <v>Jamshedpur</v>
      </c>
      <c r="E18" s="9" t="str">
        <v>Store</v>
      </c>
      <c r="F18" s="9" t="str">
        <v>Mr. Tapan Sahoo</v>
      </c>
      <c r="G18" s="9">
        <v>7643991788</v>
      </c>
      <c r="H18" s="9" t="str">
        <v>tapan.sahoo@tatacummins.com</v>
      </c>
      <c r="I18" s="9" t="str">
        <v>11001751/001</v>
      </c>
      <c r="J18" s="9" t="str">
        <v>SPP</v>
      </c>
      <c r="K18" s="9" t="str">
        <v>Yes</v>
      </c>
      <c r="L18" s="9" t="str">
        <v>KXIND/E/PKS/SPP/25011</v>
      </c>
      <c r="M18" s="9">
        <v>45753</v>
      </c>
      <c r="N18" s="9">
        <v>264000</v>
      </c>
      <c r="O18" s="9" t="str">
        <v>April</v>
      </c>
      <c r="P18" s="9" t="str">
        <v>April</v>
      </c>
      <c r="Q18" s="9">
        <v>0.9</v>
      </c>
      <c r="R18" s="9">
        <v>30078733</v>
      </c>
      <c r="S18" s="9">
        <v>45765</v>
      </c>
      <c r="T18" s="9">
        <v>168960</v>
      </c>
      <c r="U18" s="9" t="str">
        <v>April</v>
      </c>
      <c r="V18" s="9">
        <v>95040</v>
      </c>
      <c r="W18" s="9">
        <v>0</v>
      </c>
      <c r="X18" s="9">
        <v>0</v>
      </c>
      <c r="Y18" s="9">
        <v>0</v>
      </c>
      <c r="AA18" s="9" t="str">
        <v>November</v>
      </c>
      <c r="AB18" s="9">
        <v>100000</v>
      </c>
      <c r="AC18" s="9">
        <v>989251</v>
      </c>
    </row>
    <row r="19" spans="1:29">
      <c r="A19" s="9">
        <v>12</v>
      </c>
      <c r="B19" s="9">
        <v>45781</v>
      </c>
      <c r="C19" s="9" t="str">
        <v>Tata Cummins Pvt Ltd</v>
      </c>
      <c r="D19" s="9" t="str">
        <v>Jamshedpur</v>
      </c>
      <c r="E19" s="9" t="str">
        <v>Store</v>
      </c>
      <c r="F19" s="9" t="str">
        <v>Mr. Tapan Sahoo</v>
      </c>
      <c r="G19" s="9">
        <v>7643991788</v>
      </c>
      <c r="H19" s="9" t="str">
        <v>tapan.sahoo@tatacummins.com</v>
      </c>
      <c r="I19" s="9" t="str">
        <v>11001751/001</v>
      </c>
      <c r="J19" s="9" t="str">
        <v>SPP</v>
      </c>
      <c r="K19" s="9" t="str">
        <v>Yes</v>
      </c>
      <c r="L19" s="9" t="str">
        <v>KXIND/E/PKS/SPP/25012</v>
      </c>
      <c r="M19" s="9">
        <v>45772</v>
      </c>
      <c r="N19" s="9">
        <v>310000</v>
      </c>
      <c r="O19" s="9" t="str">
        <v>May</v>
      </c>
      <c r="P19" s="9" t="str">
        <v>July</v>
      </c>
      <c r="Q19" s="9">
        <v>0.9</v>
      </c>
      <c r="R19" s="9">
        <v>30079277</v>
      </c>
      <c r="S19" s="9">
        <v>45805</v>
      </c>
      <c r="T19" s="9">
        <v>291400</v>
      </c>
      <c r="U19" s="9" t="str">
        <v>May</v>
      </c>
      <c r="V19" s="9">
        <v>18600</v>
      </c>
      <c r="W19" s="9">
        <v>0</v>
      </c>
      <c r="X19" s="9">
        <v>0</v>
      </c>
      <c r="Y19" s="9">
        <v>0</v>
      </c>
    </row>
    <row r="20" spans="1:29">
      <c r="A20" s="9">
        <v>13</v>
      </c>
      <c r="B20" s="9">
        <v>45781</v>
      </c>
      <c r="C20" s="9" t="str">
        <v>Tata Cummins Pvt Ltd</v>
      </c>
      <c r="D20" s="9" t="str">
        <v>Jamshedpur</v>
      </c>
      <c r="E20" s="9" t="str">
        <v>Store</v>
      </c>
      <c r="F20" s="9" t="str">
        <v>Mr. Tapan Sahoo</v>
      </c>
      <c r="G20" s="9">
        <v>7643991788</v>
      </c>
      <c r="H20" s="9" t="str">
        <v>tapan.sahoo@tatacummins.com</v>
      </c>
      <c r="I20" s="9" t="str">
        <v>11001751/001</v>
      </c>
      <c r="J20" s="9" t="str">
        <v>SPP</v>
      </c>
      <c r="K20" s="9" t="str">
        <v>Yes</v>
      </c>
      <c r="L20" s="9" t="str">
        <v>KXIND/E/PKS/SPP/25013</v>
      </c>
      <c r="M20" s="9">
        <v>45778</v>
      </c>
      <c r="N20" s="9">
        <v>22440</v>
      </c>
      <c r="O20" s="9" t="str">
        <v>May</v>
      </c>
      <c r="P20" s="9" t="str">
        <v>May</v>
      </c>
      <c r="Q20" s="9">
        <v>0.9</v>
      </c>
      <c r="R20" s="9">
        <v>30079005</v>
      </c>
      <c r="S20" s="9">
        <v>45784</v>
      </c>
      <c r="T20" s="9">
        <v>21542.400000000001</v>
      </c>
      <c r="U20" s="9" t="str">
        <v>May</v>
      </c>
      <c r="V20" s="9">
        <v>897.59999999999854</v>
      </c>
      <c r="W20" s="9">
        <v>0</v>
      </c>
      <c r="X20" s="9">
        <v>0</v>
      </c>
      <c r="Y20" s="9">
        <v>0</v>
      </c>
    </row>
    <row r="21" spans="1:29">
      <c r="A21" s="9">
        <v>14</v>
      </c>
      <c r="B21" s="9">
        <v>45804</v>
      </c>
      <c r="C21" s="9" t="str">
        <v>Surya Nepal Pvt Ltd</v>
      </c>
      <c r="D21" s="9" t="str">
        <v>Nepal</v>
      </c>
      <c r="E21" s="9" t="str">
        <v>Store</v>
      </c>
      <c r="F21" s="9" t="str">
        <v>Mr. Shiva Kharel</v>
      </c>
      <c r="G21" s="9">
        <v>9802902507</v>
      </c>
      <c r="H21" s="9" t="str">
        <v>shiva.kharel@snpl.com.np</v>
      </c>
      <c r="I21" s="9" t="str">
        <v>11005649/001</v>
      </c>
      <c r="J21" s="9" t="str">
        <v>SPP</v>
      </c>
      <c r="K21" s="9" t="str">
        <v>Yes</v>
      </c>
      <c r="L21" s="9" t="str">
        <v>KXIND/E/PKS/SPP/25015</v>
      </c>
      <c r="M21" s="9">
        <v>45802</v>
      </c>
      <c r="N21" s="9">
        <v>44000</v>
      </c>
      <c r="O21" s="9" t="str">
        <v>May</v>
      </c>
      <c r="P21" s="9" t="str">
        <v>December</v>
      </c>
      <c r="Q21" s="9">
        <v>0.8</v>
      </c>
      <c r="R21" s="9">
        <v>0</v>
      </c>
      <c r="S21" s="9">
        <v>0</v>
      </c>
      <c r="T21" s="9">
        <v>0</v>
      </c>
      <c r="U21" s="9" t="str">
        <v>January</v>
      </c>
      <c r="V21" s="9">
        <v>44000</v>
      </c>
      <c r="W21" s="9">
        <v>0</v>
      </c>
      <c r="X21" s="9">
        <v>0</v>
      </c>
      <c r="Y21" s="9">
        <v>0</v>
      </c>
    </row>
    <row r="22" spans="1:29">
      <c r="A22" s="9">
        <v>15</v>
      </c>
      <c r="B22" s="9">
        <v>45804</v>
      </c>
      <c r="C22" s="9" t="str">
        <v xml:space="preserve">Tata Motors LTD </v>
      </c>
      <c r="D22" s="9" t="str">
        <v>Jamshedpur</v>
      </c>
      <c r="E22" s="9" t="str">
        <v>Store</v>
      </c>
      <c r="F22" s="9" t="str">
        <v>Mr. Mukesh Singh</v>
      </c>
      <c r="G22" s="9">
        <v>923462345</v>
      </c>
      <c r="H22" s="9" t="str">
        <v>mukesh.s@tatamotors.com</v>
      </c>
      <c r="I22" s="9" t="str">
        <v>12002500/001</v>
      </c>
      <c r="J22" s="9" t="str">
        <v>SPP</v>
      </c>
      <c r="K22" s="9" t="str">
        <v>Yes</v>
      </c>
      <c r="L22" s="9" t="str">
        <v>KXIND/E/PKS/SPP/25014</v>
      </c>
      <c r="M22" s="9">
        <v>45801</v>
      </c>
      <c r="N22" s="9">
        <v>1214610</v>
      </c>
      <c r="O22" s="9" t="str">
        <v>May</v>
      </c>
      <c r="P22" s="9" t="str">
        <v>December</v>
      </c>
      <c r="Q22" s="9">
        <v>0.7</v>
      </c>
      <c r="R22" s="9">
        <v>0</v>
      </c>
      <c r="S22" s="9">
        <v>0</v>
      </c>
      <c r="T22" s="9">
        <v>0</v>
      </c>
      <c r="U22" s="9" t="str">
        <v>January</v>
      </c>
      <c r="V22" s="9">
        <v>1214610</v>
      </c>
      <c r="W22" s="9">
        <v>0</v>
      </c>
      <c r="X22" s="9">
        <v>0</v>
      </c>
      <c r="Y22" s="9">
        <v>0</v>
      </c>
    </row>
    <row r="23" spans="1:29">
      <c r="A23" s="9">
        <v>0</v>
      </c>
      <c r="B23" s="9">
        <v>45804</v>
      </c>
      <c r="C23" s="9" t="str">
        <v xml:space="preserve">Tata Motors LTD </v>
      </c>
      <c r="D23" s="9" t="str">
        <v>Jamshedpur</v>
      </c>
      <c r="E23" s="9" t="str">
        <v>Store</v>
      </c>
      <c r="F23" s="9" t="str">
        <v>Mr. Mukesh Singh</v>
      </c>
      <c r="G23" s="9">
        <v>9234623645</v>
      </c>
      <c r="H23" s="9" t="str">
        <v>mukesh.s@tatamotors.com</v>
      </c>
      <c r="I23" s="9" t="str">
        <v>11004682/001</v>
      </c>
      <c r="J23" s="9" t="str">
        <v>SPP</v>
      </c>
      <c r="K23" s="9" t="str">
        <v>Yes</v>
      </c>
      <c r="L23" s="9" t="str">
        <v>KXIND/E/PKS/SPP/25014</v>
      </c>
      <c r="M23" s="9">
        <v>45801</v>
      </c>
      <c r="N23" s="9">
        <v>319896</v>
      </c>
      <c r="O23" s="9" t="str">
        <v>May</v>
      </c>
      <c r="P23" s="9" t="str">
        <v>December</v>
      </c>
      <c r="Q23" s="9">
        <v>0.9</v>
      </c>
      <c r="R23" s="9">
        <v>0</v>
      </c>
      <c r="S23" s="9">
        <v>0</v>
      </c>
      <c r="T23" s="9">
        <v>0</v>
      </c>
      <c r="U23" s="9" t="str">
        <v>January</v>
      </c>
      <c r="V23" s="9">
        <v>319896</v>
      </c>
      <c r="W23" s="9">
        <v>0</v>
      </c>
      <c r="X23" s="9">
        <v>0</v>
      </c>
      <c r="Y23" s="9">
        <v>0</v>
      </c>
    </row>
    <row r="24" spans="1:29">
      <c r="A24" s="9">
        <v>16</v>
      </c>
      <c r="B24" s="9">
        <v>45861</v>
      </c>
      <c r="C24" s="9" t="str">
        <v>Surya Nepal Pvt Ltd</v>
      </c>
      <c r="D24" s="9" t="str">
        <v>Nepal</v>
      </c>
      <c r="E24" s="9" t="str">
        <v>Store</v>
      </c>
      <c r="F24" s="9" t="str">
        <v>Mr. Shiva Kharel</v>
      </c>
      <c r="G24" s="9" t="str">
        <v>977-9802902507</v>
      </c>
      <c r="H24" s="9" t="str">
        <v>shiva.kharel@snpl.com.np</v>
      </c>
      <c r="I24" s="9" t="str">
        <v>11005649/001</v>
      </c>
      <c r="J24" s="9" t="str">
        <v>Contract</v>
      </c>
      <c r="K24" s="9" t="str">
        <v>No</v>
      </c>
      <c r="L24" s="9" t="str">
        <v>KXIND/E/MC/PKS25016</v>
      </c>
      <c r="M24" s="9">
        <v>45838</v>
      </c>
      <c r="N24" s="9">
        <v>361152</v>
      </c>
      <c r="O24" s="9" t="str">
        <v>June</v>
      </c>
      <c r="P24" s="9" t="str">
        <v>November</v>
      </c>
      <c r="Q24" s="9">
        <v>0.9</v>
      </c>
      <c r="R24" s="9" t="str">
        <v>4500035464/465</v>
      </c>
      <c r="S24" s="9">
        <v>45943</v>
      </c>
      <c r="T24" s="9">
        <v>350000</v>
      </c>
      <c r="U24" s="9" t="str">
        <v>November</v>
      </c>
      <c r="V24" s="9">
        <v>0</v>
      </c>
      <c r="W24" s="9" t="str">
        <v>PO received on 13/11/25, Po in two part</v>
      </c>
      <c r="X24" s="9">
        <v>0</v>
      </c>
      <c r="Y24" s="9">
        <v>0</v>
      </c>
    </row>
    <row r="25" spans="1:29">
      <c r="A25" s="9">
        <v>17</v>
      </c>
      <c r="B25" s="9">
        <v>45861</v>
      </c>
      <c r="C25" s="9" t="str">
        <v>Surya Nepal Pvt Ltd</v>
      </c>
      <c r="D25" s="9" t="str">
        <v>Nepal</v>
      </c>
      <c r="E25" s="9" t="str">
        <v>Store</v>
      </c>
      <c r="F25" s="9" t="str">
        <v>Mr. Badrinath Jha</v>
      </c>
      <c r="G25" s="9" t="str">
        <v>977-9855022773</v>
      </c>
      <c r="H25" s="9" t="str">
        <v>badrinath.jha@snpl.com.np</v>
      </c>
      <c r="I25" s="9" t="str">
        <v>14006317/001</v>
      </c>
      <c r="J25" s="9" t="str">
        <v>Contract</v>
      </c>
      <c r="K25" s="9" t="str">
        <v>No</v>
      </c>
      <c r="L25" s="9" t="str">
        <v>KXIND/E/MC/PKS25017</v>
      </c>
      <c r="M25" s="9">
        <v>45838</v>
      </c>
      <c r="N25" s="9">
        <v>180576</v>
      </c>
      <c r="O25" s="9" t="str">
        <v>June</v>
      </c>
      <c r="P25" s="9" t="str">
        <v>September</v>
      </c>
      <c r="Q25" s="9">
        <v>0.9</v>
      </c>
      <c r="R25" s="9">
        <v>4500035457</v>
      </c>
      <c r="S25" s="9">
        <v>45940</v>
      </c>
      <c r="T25" s="9">
        <v>175000</v>
      </c>
      <c r="U25" s="9" t="str">
        <v>November</v>
      </c>
      <c r="V25" s="9">
        <v>5576</v>
      </c>
      <c r="W25" s="9">
        <v>0</v>
      </c>
      <c r="X25" s="9">
        <v>0</v>
      </c>
      <c r="Y25" s="9">
        <v>0</v>
      </c>
    </row>
    <row r="26" spans="1:29">
      <c r="A26" s="9">
        <v>18</v>
      </c>
      <c r="B26" s="9">
        <v>45728</v>
      </c>
      <c r="C26" s="9" t="str">
        <v>Tata Steel Growth Shop Ltd</v>
      </c>
      <c r="D26" s="9" t="str">
        <v>Jamshedpur</v>
      </c>
      <c r="E26" s="9" t="str">
        <v>Store</v>
      </c>
      <c r="F26" s="9" t="str">
        <v>Sanjeev Mishra</v>
      </c>
      <c r="G26" s="9">
        <v>6572227315</v>
      </c>
      <c r="H26" s="9" t="str">
        <v>Info.nrsales@gmail.com</v>
      </c>
      <c r="I26" s="9" t="str">
        <v>11006636/001</v>
      </c>
      <c r="J26" s="9" t="str">
        <v>SPP</v>
      </c>
      <c r="K26" s="9" t="str">
        <v>No</v>
      </c>
      <c r="L26" s="9" t="str">
        <v>KXIND/E/PKS/SPP/25007</v>
      </c>
      <c r="M26" s="9">
        <v>45728</v>
      </c>
      <c r="N26" s="9">
        <v>363925</v>
      </c>
      <c r="O26" s="9" t="str">
        <v>March</v>
      </c>
      <c r="P26" s="9" t="str">
        <v>April</v>
      </c>
      <c r="Q26" s="9">
        <v>0.9</v>
      </c>
      <c r="R26" s="9" t="str">
        <v>NRS/ 094 /24-25</v>
      </c>
      <c r="S26" s="9">
        <v>45742</v>
      </c>
      <c r="T26" s="9">
        <v>356427</v>
      </c>
      <c r="U26" s="9" t="str">
        <v>March</v>
      </c>
      <c r="V26" s="9">
        <v>7498</v>
      </c>
      <c r="W26" s="9" t="str">
        <v>PO n offer to third party - N.R.Sales</v>
      </c>
      <c r="X26" s="9">
        <v>0</v>
      </c>
      <c r="Y26" s="9">
        <v>0</v>
      </c>
    </row>
    <row r="27" spans="1:29">
      <c r="A27" s="9">
        <v>19</v>
      </c>
      <c r="B27" s="9">
        <v>45900</v>
      </c>
      <c r="C27" s="9">
        <v>0</v>
      </c>
      <c r="D27" s="9" t="str">
        <v>Kolkata</v>
      </c>
      <c r="E27" s="9" t="str">
        <v>Store</v>
      </c>
      <c r="F27" s="9" t="str">
        <v>Mr. Barun Panda</v>
      </c>
      <c r="G27" s="9">
        <v>9937996877</v>
      </c>
      <c r="H27" s="9" t="str">
        <v>barun.panda@addverb.com</v>
      </c>
      <c r="I27" s="9" t="str">
        <v>23000845/001</v>
      </c>
      <c r="J27" s="9" t="str">
        <v>SPP</v>
      </c>
      <c r="K27" s="9" t="str">
        <v>Yes</v>
      </c>
      <c r="L27" s="9" t="str">
        <v>KXIND/E/PKS/SPP/25018</v>
      </c>
      <c r="M27" s="9">
        <v>45899</v>
      </c>
      <c r="N27" s="9">
        <v>869988</v>
      </c>
      <c r="O27" s="9" t="str">
        <v>August</v>
      </c>
      <c r="P27" s="9" t="str">
        <v>October</v>
      </c>
      <c r="Q27" s="9">
        <v>0.8</v>
      </c>
      <c r="R27" s="9">
        <v>252620377</v>
      </c>
      <c r="S27" s="9">
        <v>45901</v>
      </c>
      <c r="T27" s="9">
        <v>160800</v>
      </c>
      <c r="U27" s="9" t="str">
        <v>September</v>
      </c>
      <c r="V27" s="9">
        <v>709188</v>
      </c>
      <c r="W27" s="9" t="str">
        <v>Part PO</v>
      </c>
      <c r="X27" s="9">
        <v>0</v>
      </c>
      <c r="Y27" s="9">
        <v>0</v>
      </c>
    </row>
    <row r="28" spans="1:29">
      <c r="A28" s="9">
        <v>20</v>
      </c>
      <c r="B28" s="9">
        <v>45900</v>
      </c>
      <c r="C28" s="9">
        <v>0</v>
      </c>
      <c r="D28" s="9" t="str">
        <v>Kolkata</v>
      </c>
      <c r="E28" s="9" t="str">
        <v>Store</v>
      </c>
      <c r="F28" s="9" t="str">
        <v>Mr. Barun Panda</v>
      </c>
      <c r="G28" s="9">
        <v>9937996877</v>
      </c>
      <c r="H28" s="9" t="str">
        <v>barun.panda@addverb.com</v>
      </c>
      <c r="I28" s="9" t="str">
        <v>23000845/001</v>
      </c>
      <c r="J28" s="9" t="str">
        <v>Contract</v>
      </c>
      <c r="K28" s="9" t="str">
        <v>Yes</v>
      </c>
      <c r="L28" s="9" t="str">
        <v>KXIND/E/PKS/SPP/25020</v>
      </c>
      <c r="M28" s="9">
        <v>45882</v>
      </c>
      <c r="N28" s="9">
        <v>696000</v>
      </c>
      <c r="O28" s="9" t="str">
        <v>August</v>
      </c>
      <c r="P28" s="9" t="str">
        <v>November</v>
      </c>
      <c r="Q28" s="9">
        <v>0.7</v>
      </c>
      <c r="R28" s="9">
        <v>0</v>
      </c>
      <c r="S28" s="9">
        <v>0</v>
      </c>
      <c r="T28" s="9">
        <v>0</v>
      </c>
      <c r="U28" s="9" t="str">
        <v>January</v>
      </c>
      <c r="V28" s="9">
        <v>696000</v>
      </c>
      <c r="W28" s="9" t="str">
        <v>PO process after all issue resolved</v>
      </c>
      <c r="X28" s="9">
        <v>0</v>
      </c>
      <c r="Y28" s="9">
        <v>0</v>
      </c>
    </row>
    <row r="29" spans="1:29">
      <c r="A29" s="9">
        <v>21</v>
      </c>
      <c r="B29" s="9">
        <v>45900</v>
      </c>
      <c r="C29" s="9" t="str">
        <v>Tata Cummins Pvt Ltd</v>
      </c>
      <c r="D29" s="9" t="str">
        <v>Jamshedpur</v>
      </c>
      <c r="E29" s="9" t="str">
        <v>Store</v>
      </c>
      <c r="F29" s="9" t="str">
        <v>Mr. Tapan Sahoo</v>
      </c>
      <c r="G29" s="9">
        <v>7643991788</v>
      </c>
      <c r="H29" s="9" t="str">
        <v>tapan.sahoo@tatacummins.com</v>
      </c>
      <c r="I29" s="9" t="str">
        <v>11001751/001</v>
      </c>
      <c r="J29" s="9" t="str">
        <v>SPP</v>
      </c>
      <c r="K29" s="9" t="str">
        <v>Yes</v>
      </c>
      <c r="L29" s="9" t="str">
        <v>KXIND/E/PKS/SPP/25021</v>
      </c>
      <c r="M29" s="9">
        <v>45863</v>
      </c>
      <c r="N29" s="9">
        <v>20478</v>
      </c>
      <c r="O29" s="9" t="str">
        <v>July</v>
      </c>
      <c r="P29" s="9" t="str">
        <v>August</v>
      </c>
      <c r="Q29" s="9">
        <v>0.9</v>
      </c>
      <c r="R29" s="9">
        <v>30080060</v>
      </c>
      <c r="S29" s="9">
        <v>45867</v>
      </c>
      <c r="T29" s="9">
        <v>0</v>
      </c>
      <c r="U29" s="9" t="str">
        <v>July</v>
      </c>
      <c r="V29" s="9">
        <v>20478</v>
      </c>
      <c r="W29" s="9" t="str">
        <v>Received PO on 23/8/25</v>
      </c>
      <c r="X29" s="9">
        <v>0</v>
      </c>
      <c r="Y29" s="9">
        <v>0</v>
      </c>
    </row>
    <row r="30" spans="1:29">
      <c r="A30" s="9">
        <v>22</v>
      </c>
      <c r="B30" s="9">
        <v>45900</v>
      </c>
      <c r="C30" s="9" t="str">
        <v xml:space="preserve">Hindustan Aeronautics LTD </v>
      </c>
      <c r="D30" s="9" t="str">
        <v>Koraput</v>
      </c>
      <c r="E30" s="9" t="str">
        <v>Store</v>
      </c>
      <c r="F30" s="9" t="str">
        <v>Mr. Pravat Panda</v>
      </c>
      <c r="G30" s="9">
        <v>9438221361</v>
      </c>
      <c r="H30" s="9" t="str">
        <v>pravat.kumar@hal-india.co.in</v>
      </c>
      <c r="I30" s="9" t="str">
        <v>10002336/001</v>
      </c>
      <c r="J30" s="9" t="str">
        <v>Contract</v>
      </c>
      <c r="K30" s="9" t="str">
        <v>No</v>
      </c>
      <c r="L30" s="9" t="str">
        <v>KXIND/E/PKS/SPP/25022</v>
      </c>
      <c r="M30" s="9">
        <v>45899</v>
      </c>
      <c r="N30" s="9">
        <v>503010</v>
      </c>
      <c r="O30" s="9" t="str">
        <v>August</v>
      </c>
      <c r="P30" s="9" t="str">
        <v>November</v>
      </c>
      <c r="Q30" s="9">
        <v>0.9</v>
      </c>
      <c r="R30" s="9">
        <v>0</v>
      </c>
      <c r="S30" s="9">
        <v>0</v>
      </c>
      <c r="T30" s="9">
        <v>0</v>
      </c>
      <c r="U30" s="9" t="str">
        <v>January</v>
      </c>
      <c r="V30" s="9">
        <v>503010</v>
      </c>
      <c r="W30" s="9">
        <v>0</v>
      </c>
      <c r="X30" s="9">
        <v>0</v>
      </c>
      <c r="Y30" s="9">
        <v>0</v>
      </c>
    </row>
    <row r="31" spans="1:29">
      <c r="A31" s="9">
        <v>23</v>
      </c>
      <c r="B31" s="9">
        <v>45918</v>
      </c>
      <c r="C31" s="9" t="str">
        <v>Tata Cummins Pvt Ltd</v>
      </c>
      <c r="D31" s="9" t="str">
        <v>Jamshedpur</v>
      </c>
      <c r="E31" s="9" t="str">
        <v>Store</v>
      </c>
      <c r="F31" s="9" t="str">
        <v>Mr. Tapan Sahoo</v>
      </c>
      <c r="G31" s="9">
        <v>7643991788</v>
      </c>
      <c r="H31" s="9" t="str">
        <v>tapan.sahoo@tatacummins.com</v>
      </c>
      <c r="I31" s="9" t="str">
        <v>11001751/001</v>
      </c>
      <c r="J31" s="9" t="str">
        <v>SPP</v>
      </c>
      <c r="K31" s="9" t="str">
        <v>Yes</v>
      </c>
      <c r="L31" s="9" t="str">
        <v>KXIND/E/PKS/SPP/250023</v>
      </c>
      <c r="M31" s="9">
        <v>45907</v>
      </c>
      <c r="N31" s="9">
        <v>985754</v>
      </c>
      <c r="O31" s="9" t="str">
        <v>September</v>
      </c>
      <c r="P31" s="9" t="str">
        <v>November</v>
      </c>
      <c r="Q31" s="9">
        <v>0.9</v>
      </c>
      <c r="R31" s="9">
        <v>30080489</v>
      </c>
      <c r="S31" s="9">
        <v>45908</v>
      </c>
      <c r="T31" s="9">
        <v>92675</v>
      </c>
      <c r="U31" s="9" t="str">
        <v>November</v>
      </c>
      <c r="V31" s="9">
        <v>893079</v>
      </c>
      <c r="W31" s="9">
        <v>0</v>
      </c>
      <c r="X31" s="9">
        <v>0</v>
      </c>
      <c r="Y31" s="9">
        <v>0</v>
      </c>
    </row>
    <row r="32" spans="1:29">
      <c r="A32" s="9">
        <v>24</v>
      </c>
      <c r="B32" s="9">
        <v>45918</v>
      </c>
      <c r="C32" s="9" t="str">
        <v xml:space="preserve">Tata Motors LTD </v>
      </c>
      <c r="D32" s="9" t="str">
        <v>Jamshedpur</v>
      </c>
      <c r="E32" s="9" t="str">
        <v>Store</v>
      </c>
      <c r="F32" s="9" t="str">
        <v>Mr. Mukesh Singh</v>
      </c>
      <c r="G32" s="9">
        <v>9234623645</v>
      </c>
      <c r="H32" s="9" t="str">
        <v>mukesh.s@tatamotors.com</v>
      </c>
      <c r="I32" s="9" t="str">
        <v>11004682/001</v>
      </c>
      <c r="J32" s="9" t="str">
        <v>SPP</v>
      </c>
      <c r="K32" s="9" t="str">
        <v>Yes</v>
      </c>
      <c r="L32" s="9" t="str">
        <v>KXIND/E/PKS/SPP/250024</v>
      </c>
      <c r="M32" s="9">
        <v>45902</v>
      </c>
      <c r="N32" s="9">
        <v>296200</v>
      </c>
      <c r="O32" s="9" t="str">
        <v>September</v>
      </c>
      <c r="P32" s="9" t="str">
        <v>November</v>
      </c>
      <c r="Q32" s="9">
        <v>0.9</v>
      </c>
      <c r="R32" s="9">
        <v>3410432865</v>
      </c>
      <c r="S32" s="9">
        <v>45936</v>
      </c>
      <c r="T32" s="9">
        <v>275576</v>
      </c>
      <c r="U32" s="9" t="str">
        <v>November</v>
      </c>
      <c r="V32" s="9">
        <v>20624</v>
      </c>
      <c r="W32" s="9">
        <v>0</v>
      </c>
      <c r="X32" s="9">
        <v>0</v>
      </c>
      <c r="Y32" s="9">
        <v>0</v>
      </c>
    </row>
    <row r="33" spans="1:25">
      <c r="A33" s="9">
        <v>25</v>
      </c>
      <c r="B33" s="9">
        <v>45918</v>
      </c>
      <c r="C33" s="9" t="str">
        <v>Tata Hitachi Construction Machinery Company Limited (THCM)</v>
      </c>
      <c r="D33" s="9" t="str">
        <v>Kharagpur</v>
      </c>
      <c r="E33" s="9" t="str">
        <v>Store</v>
      </c>
      <c r="F33" s="9" t="str">
        <v>Mr. Sandip Das</v>
      </c>
      <c r="G33" s="9">
        <v>9232122264</v>
      </c>
      <c r="H33" s="9" t="str">
        <v>sandip.das@tatahitachi.co.in</v>
      </c>
      <c r="I33" s="9" t="str">
        <v>09004398/001</v>
      </c>
      <c r="J33" s="9" t="str">
        <v>SPP</v>
      </c>
      <c r="K33" s="9" t="str">
        <v>Yes</v>
      </c>
      <c r="L33" s="9" t="str">
        <v>KXIND/E/PKS/SPP/250008a</v>
      </c>
      <c r="M33" s="9">
        <v>45908</v>
      </c>
      <c r="N33" s="9">
        <v>125271</v>
      </c>
      <c r="O33" s="9" t="str">
        <v>September</v>
      </c>
      <c r="P33" s="9" t="str">
        <v>January</v>
      </c>
      <c r="Q33" s="9">
        <v>0.5</v>
      </c>
      <c r="R33" s="9">
        <v>0</v>
      </c>
      <c r="S33" s="9">
        <v>0</v>
      </c>
      <c r="T33" s="9">
        <v>0</v>
      </c>
      <c r="U33" s="9" t="str">
        <v>January</v>
      </c>
      <c r="V33" s="9">
        <v>125271</v>
      </c>
      <c r="W33" s="9" t="str">
        <v>small amendment in offer</v>
      </c>
      <c r="X33" s="9">
        <v>0</v>
      </c>
      <c r="Y33" s="9">
        <v>0</v>
      </c>
    </row>
    <row r="34" spans="1:25">
      <c r="A34" s="9">
        <v>26</v>
      </c>
      <c r="B34" s="9">
        <v>45937</v>
      </c>
      <c r="C34" s="9" t="str">
        <v xml:space="preserve">Hindustan Aeronautics LTD </v>
      </c>
      <c r="D34" s="9" t="str">
        <v>Koraput</v>
      </c>
      <c r="E34" s="9" t="str">
        <v>Store</v>
      </c>
      <c r="F34" s="9" t="str">
        <v>Mr.Dhabaleswar Naik</v>
      </c>
      <c r="G34" s="9">
        <v>9437599462</v>
      </c>
      <c r="H34" s="9" t="str">
        <v>dhabaleswar.naik@hal-india.co.in</v>
      </c>
      <c r="I34" s="9" t="str">
        <v>05000254/001</v>
      </c>
      <c r="J34" s="9" t="str">
        <v>SPP</v>
      </c>
      <c r="K34" s="9" t="str">
        <v>Yes</v>
      </c>
      <c r="L34" s="9" t="str">
        <v>KXIND/E/PKS/SPP/25027</v>
      </c>
      <c r="M34" s="9">
        <v>45932</v>
      </c>
      <c r="N34" s="9">
        <v>1986767</v>
      </c>
      <c r="O34" s="9" t="str">
        <v>October</v>
      </c>
      <c r="P34" s="9" t="str">
        <v>December</v>
      </c>
      <c r="Q34" s="9">
        <v>0.8</v>
      </c>
      <c r="R34" s="9">
        <v>0</v>
      </c>
      <c r="S34" s="9">
        <v>0</v>
      </c>
      <c r="T34" s="9">
        <v>0</v>
      </c>
      <c r="U34" s="9" t="str">
        <v>January</v>
      </c>
      <c r="V34" s="9">
        <v>1986767</v>
      </c>
      <c r="W34" s="9">
        <v>0</v>
      </c>
      <c r="X34" s="9">
        <v>0</v>
      </c>
      <c r="Y34" s="9">
        <v>0</v>
      </c>
    </row>
    <row r="35" spans="1:25">
      <c r="A35" s="9">
        <v>27</v>
      </c>
      <c r="B35" s="9">
        <v>45937</v>
      </c>
      <c r="C35" s="9" t="str">
        <v>Tata Steel Growth Shop Ltd</v>
      </c>
      <c r="D35" s="9" t="str">
        <v>Jamshedpur</v>
      </c>
      <c r="E35" s="9" t="str">
        <v>Store</v>
      </c>
      <c r="F35" s="9" t="str">
        <v xml:space="preserve">Mr. Manoj Mandal </v>
      </c>
      <c r="G35" s="9">
        <v>6299200456</v>
      </c>
      <c r="H35" s="9" t="str">
        <v>manoj.mandal1@tatasteel.com</v>
      </c>
      <c r="I35" s="9" t="str">
        <v>11006636/001</v>
      </c>
      <c r="J35" s="9" t="str">
        <v>SPP</v>
      </c>
      <c r="K35" s="9" t="str">
        <v>Yes</v>
      </c>
      <c r="L35" s="9" t="str">
        <v>KXIND/E/PKS/SPP/25026</v>
      </c>
      <c r="M35" s="9">
        <v>45924</v>
      </c>
      <c r="N35" s="9">
        <v>266560</v>
      </c>
      <c r="O35" s="9" t="str">
        <v>September</v>
      </c>
      <c r="P35" s="9" t="str">
        <v>November</v>
      </c>
      <c r="Q35" s="9">
        <v>0.7</v>
      </c>
      <c r="R35" s="9">
        <v>0</v>
      </c>
      <c r="S35" s="9">
        <v>0</v>
      </c>
      <c r="T35" s="9">
        <v>0</v>
      </c>
      <c r="U35" s="9" t="str">
        <v>January</v>
      </c>
      <c r="V35" s="9">
        <v>266560</v>
      </c>
      <c r="W35" s="9">
        <v>0</v>
      </c>
      <c r="X35" s="9">
        <v>0</v>
      </c>
      <c r="Y35" s="9">
        <v>0</v>
      </c>
    </row>
    <row r="36" spans="1:25">
      <c r="A36" s="9">
        <v>28</v>
      </c>
      <c r="B36" s="9">
        <v>45978</v>
      </c>
      <c r="C36" s="9" t="str">
        <v>ITC Ltd</v>
      </c>
      <c r="D36" s="9" t="str">
        <v>Munger</v>
      </c>
      <c r="E36" s="9" t="str">
        <v>Store</v>
      </c>
      <c r="F36" s="9" t="str">
        <v xml:space="preserve">Mr. Anurag </v>
      </c>
      <c r="G36" s="9">
        <v>9798766882</v>
      </c>
      <c r="H36" s="9" t="str">
        <v>anuraag.ghosh@itc.in</v>
      </c>
      <c r="I36" s="9" t="str">
        <v>07000030/001</v>
      </c>
      <c r="J36" s="9" t="str">
        <v>BD Charges</v>
      </c>
      <c r="K36" s="9" t="str">
        <v>No</v>
      </c>
      <c r="L36" s="9" t="str">
        <v>KXIND/E/OTHER/PKS25028</v>
      </c>
      <c r="M36" s="9">
        <v>45972</v>
      </c>
      <c r="N36" s="9">
        <v>100000</v>
      </c>
      <c r="O36" s="9" t="str">
        <v>November</v>
      </c>
      <c r="P36" s="9" t="str">
        <v>November</v>
      </c>
      <c r="Q36" s="9">
        <v>0.9</v>
      </c>
      <c r="R36" s="9">
        <v>4200369833</v>
      </c>
      <c r="S36" s="9">
        <v>45972</v>
      </c>
      <c r="T36" s="9">
        <v>96000</v>
      </c>
      <c r="U36" s="9" t="str">
        <v>November</v>
      </c>
      <c r="V36" s="9">
        <v>4000</v>
      </c>
      <c r="W36" s="9">
        <v>0</v>
      </c>
      <c r="X36" s="9">
        <v>0</v>
      </c>
      <c r="Y36" s="9">
        <v>0</v>
      </c>
    </row>
    <row r="37" spans="1:25">
      <c r="A37" s="9">
        <v>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 t="str">
        <v>January</v>
      </c>
      <c r="V37" s="9">
        <v>0</v>
      </c>
      <c r="W37" s="9">
        <v>0</v>
      </c>
      <c r="X37" s="9">
        <v>0</v>
      </c>
      <c r="Y37" s="9">
        <v>0</v>
      </c>
    </row>
    <row r="38" spans="1:25">
      <c r="A38" s="9">
        <v>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 t="str">
        <v>January</v>
      </c>
      <c r="V38" s="9">
        <v>0</v>
      </c>
      <c r="W38" s="9">
        <v>0</v>
      </c>
      <c r="X38" s="9">
        <v>0</v>
      </c>
      <c r="Y38" s="9">
        <v>0</v>
      </c>
    </row>
    <row r="39" spans="1:25">
      <c r="A39" s="9">
        <v>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 t="str">
        <v>January</v>
      </c>
      <c r="V39" s="9">
        <v>0</v>
      </c>
      <c r="W39" s="9">
        <v>0</v>
      </c>
      <c r="X39" s="9">
        <v>0</v>
      </c>
      <c r="Y39" s="9">
        <v>0</v>
      </c>
    </row>
    <row r="40" spans="1:25">
      <c r="A40" s="9">
        <v>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 t="str">
        <v>January</v>
      </c>
      <c r="V40" s="9">
        <v>0</v>
      </c>
      <c r="W40" s="9">
        <v>0</v>
      </c>
      <c r="X40" s="9">
        <v>0</v>
      </c>
      <c r="Y40" s="9">
        <v>0</v>
      </c>
    </row>
    <row r="41" spans="1:25">
      <c r="A41" s="9">
        <v>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 t="str">
        <v>January</v>
      </c>
      <c r="V41" s="9">
        <v>0</v>
      </c>
      <c r="W41" s="9">
        <v>0</v>
      </c>
      <c r="X41" s="9">
        <v>0</v>
      </c>
      <c r="Y41" s="9">
        <v>0</v>
      </c>
    </row>
    <row r="42" spans="1:25">
      <c r="A42" s="9">
        <v>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 t="str">
        <v>January</v>
      </c>
      <c r="V42" s="9">
        <v>0</v>
      </c>
      <c r="W42" s="9">
        <v>0</v>
      </c>
      <c r="X42" s="9">
        <v>0</v>
      </c>
      <c r="Y42" s="9">
        <v>0</v>
      </c>
    </row>
    <row r="43" spans="1:25">
      <c r="A43" s="9">
        <v>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 t="str">
        <v>January</v>
      </c>
      <c r="V43" s="9">
        <v>0</v>
      </c>
      <c r="W43" s="9">
        <v>0</v>
      </c>
      <c r="X43" s="9">
        <v>0</v>
      </c>
      <c r="Y43" s="9">
        <v>0</v>
      </c>
    </row>
    <row r="44" spans="1:25">
      <c r="A44" s="9">
        <v>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 t="str">
        <v>January</v>
      </c>
      <c r="V44" s="9">
        <v>0</v>
      </c>
      <c r="W44" s="9">
        <v>0</v>
      </c>
      <c r="X44" s="9">
        <v>0</v>
      </c>
      <c r="Y44" s="9">
        <v>0</v>
      </c>
    </row>
    <row r="45" spans="1:25">
      <c r="A45" s="9">
        <v>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 t="str">
        <v>January</v>
      </c>
      <c r="V45" s="9">
        <v>0</v>
      </c>
      <c r="W45" s="9">
        <v>0</v>
      </c>
      <c r="X45" s="9">
        <v>0</v>
      </c>
      <c r="Y45" s="9">
        <v>0</v>
      </c>
    </row>
    <row r="46" spans="1:25">
      <c r="A46" s="9">
        <v>0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 t="str">
        <v>January</v>
      </c>
      <c r="V46" s="9">
        <v>0</v>
      </c>
      <c r="W46" s="9">
        <v>0</v>
      </c>
      <c r="X46" s="9">
        <v>0</v>
      </c>
      <c r="Y46" s="9">
        <v>0</v>
      </c>
    </row>
    <row r="47" spans="1:25">
      <c r="A47" s="9">
        <v>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 t="str">
        <v>January</v>
      </c>
      <c r="V47" s="9">
        <v>0</v>
      </c>
      <c r="W47" s="9">
        <v>0</v>
      </c>
      <c r="X47" s="9">
        <v>0</v>
      </c>
      <c r="Y47" s="9">
        <v>0</v>
      </c>
    </row>
    <row r="48" spans="1:25">
      <c r="A48" s="9">
        <v>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 t="str">
        <v>January</v>
      </c>
      <c r="V48" s="9">
        <v>0</v>
      </c>
      <c r="W48" s="9">
        <v>0</v>
      </c>
      <c r="X48" s="9">
        <v>0</v>
      </c>
      <c r="Y48" s="9">
        <v>0</v>
      </c>
    </row>
    <row r="49" spans="1:25">
      <c r="A49" s="9">
        <v>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 t="str">
        <v>January</v>
      </c>
      <c r="V49" s="9">
        <v>0</v>
      </c>
      <c r="W49" s="9">
        <v>0</v>
      </c>
      <c r="X49" s="9">
        <v>0</v>
      </c>
      <c r="Y49" s="9">
        <v>0</v>
      </c>
    </row>
    <row r="50" spans="1:25">
      <c r="A50" s="9">
        <v>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 t="str">
        <v>January</v>
      </c>
      <c r="V50" s="9">
        <v>0</v>
      </c>
      <c r="W50" s="9">
        <v>0</v>
      </c>
      <c r="X50" s="9">
        <v>0</v>
      </c>
      <c r="Y50" s="9">
        <v>0</v>
      </c>
    </row>
    <row r="51" spans="1:25">
      <c r="A51" s="9">
        <v>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 t="str">
        <v>January</v>
      </c>
      <c r="V51" s="9">
        <v>0</v>
      </c>
      <c r="W51" s="9">
        <v>0</v>
      </c>
      <c r="X51" s="9">
        <v>0</v>
      </c>
      <c r="Y51" s="9">
        <v>0</v>
      </c>
    </row>
    <row r="52" spans="1:25">
      <c r="A52" s="9">
        <v>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 t="str">
        <v>January</v>
      </c>
      <c r="V52" s="9">
        <v>0</v>
      </c>
      <c r="W52" s="9">
        <v>0</v>
      </c>
      <c r="X52" s="9">
        <v>0</v>
      </c>
      <c r="Y52" s="9">
        <v>0</v>
      </c>
    </row>
    <row r="53" spans="1:25">
      <c r="A53" s="9">
        <v>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 t="str">
        <v>January</v>
      </c>
      <c r="V53" s="9">
        <v>0</v>
      </c>
      <c r="W53" s="9">
        <v>0</v>
      </c>
      <c r="X53" s="9">
        <v>0</v>
      </c>
      <c r="Y53" s="9">
        <v>0</v>
      </c>
    </row>
    <row r="54" spans="1:25">
      <c r="A54" s="9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 t="str">
        <v>January</v>
      </c>
      <c r="V54" s="9">
        <v>0</v>
      </c>
      <c r="W54" s="9">
        <v>0</v>
      </c>
      <c r="X54" s="9">
        <v>0</v>
      </c>
      <c r="Y54" s="9">
        <v>0</v>
      </c>
    </row>
    <row r="55" spans="1:25">
      <c r="A55" s="9">
        <v>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 t="str">
        <v>January</v>
      </c>
      <c r="V55" s="9">
        <v>0</v>
      </c>
      <c r="W55" s="9">
        <v>0</v>
      </c>
      <c r="X55" s="9">
        <v>0</v>
      </c>
      <c r="Y55" s="9">
        <v>0</v>
      </c>
    </row>
    <row r="56" spans="1:25">
      <c r="A56" s="9">
        <v>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 t="str">
        <v>January</v>
      </c>
      <c r="V56" s="9">
        <v>0</v>
      </c>
      <c r="W56" s="9">
        <v>0</v>
      </c>
      <c r="X56" s="9">
        <v>0</v>
      </c>
      <c r="Y56" s="9">
        <v>0</v>
      </c>
    </row>
    <row r="57" spans="1:25">
      <c r="A57" s="9">
        <v>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 t="str">
        <v>January</v>
      </c>
      <c r="V57" s="9">
        <v>0</v>
      </c>
      <c r="W57" s="9">
        <v>0</v>
      </c>
      <c r="X57" s="9">
        <v>0</v>
      </c>
      <c r="Y57" s="9">
        <v>0</v>
      </c>
    </row>
    <row r="58" spans="1:25">
      <c r="A58" s="9">
        <v>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 t="str">
        <v>January</v>
      </c>
      <c r="V58" s="9">
        <v>0</v>
      </c>
      <c r="W58" s="9">
        <v>0</v>
      </c>
      <c r="X58" s="9">
        <v>0</v>
      </c>
      <c r="Y58" s="9">
        <v>0</v>
      </c>
    </row>
    <row r="59" spans="1:25">
      <c r="A59" s="9">
        <v>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 t="str">
        <v>January</v>
      </c>
      <c r="V59" s="9">
        <v>0</v>
      </c>
      <c r="W59" s="9">
        <v>0</v>
      </c>
      <c r="X59" s="9">
        <v>0</v>
      </c>
      <c r="Y59" s="9">
        <v>0</v>
      </c>
    </row>
    <row r="60" spans="1:25">
      <c r="A60" s="9">
        <v>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 t="str">
        <v>January</v>
      </c>
      <c r="V60" s="9">
        <v>0</v>
      </c>
      <c r="W60" s="9">
        <v>0</v>
      </c>
      <c r="X60" s="9">
        <v>0</v>
      </c>
      <c r="Y60" s="9">
        <v>0</v>
      </c>
    </row>
    <row r="61" spans="1:25">
      <c r="A61" s="9">
        <v>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 t="str">
        <v>January</v>
      </c>
      <c r="V61" s="9">
        <v>0</v>
      </c>
      <c r="W61" s="9">
        <v>0</v>
      </c>
      <c r="X61" s="9">
        <v>0</v>
      </c>
      <c r="Y61" s="9">
        <v>0</v>
      </c>
    </row>
    <row r="62" spans="1:25">
      <c r="A62" s="9">
        <v>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 t="str">
        <v>January</v>
      </c>
      <c r="V62" s="9">
        <v>0</v>
      </c>
      <c r="W62" s="9">
        <v>0</v>
      </c>
      <c r="X62" s="9">
        <v>0</v>
      </c>
      <c r="Y62" s="9">
        <v>0</v>
      </c>
    </row>
    <row r="63" spans="1:25">
      <c r="A63" s="9">
        <v>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 t="str">
        <v>January</v>
      </c>
      <c r="V63" s="9">
        <v>0</v>
      </c>
      <c r="W63" s="9">
        <v>0</v>
      </c>
      <c r="X63" s="9">
        <v>0</v>
      </c>
      <c r="Y63" s="9">
        <v>0</v>
      </c>
    </row>
    <row r="64" spans="1:25">
      <c r="A64" s="9">
        <v>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 t="str">
        <v>January</v>
      </c>
      <c r="V64" s="9">
        <v>0</v>
      </c>
      <c r="W64" s="9">
        <v>0</v>
      </c>
      <c r="X64" s="9">
        <v>0</v>
      </c>
      <c r="Y64" s="9">
        <v>0</v>
      </c>
    </row>
    <row r="65" spans="1:25">
      <c r="A65" s="9">
        <v>0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 t="str">
        <v>January</v>
      </c>
      <c r="V65" s="9">
        <v>0</v>
      </c>
      <c r="W65" s="9">
        <v>0</v>
      </c>
      <c r="X65" s="9">
        <v>0</v>
      </c>
      <c r="Y65" s="9">
        <v>0</v>
      </c>
    </row>
    <row r="66" spans="1:25">
      <c r="A66" s="9">
        <v>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 t="str">
        <v>January</v>
      </c>
      <c r="V66" s="9">
        <v>0</v>
      </c>
      <c r="W66" s="9">
        <v>0</v>
      </c>
      <c r="X66" s="9">
        <v>0</v>
      </c>
      <c r="Y66" s="9">
        <v>0</v>
      </c>
    </row>
    <row r="67" spans="1:25">
      <c r="A67" s="9">
        <v>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 t="str">
        <v>January</v>
      </c>
      <c r="V67" s="9">
        <v>0</v>
      </c>
      <c r="W67" s="9">
        <v>0</v>
      </c>
      <c r="X67" s="9">
        <v>0</v>
      </c>
      <c r="Y67" s="9">
        <v>0</v>
      </c>
    </row>
    <row r="68" spans="1:25">
      <c r="A68" s="9">
        <v>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 t="str">
        <v>January</v>
      </c>
      <c r="V68" s="9">
        <v>0</v>
      </c>
      <c r="W68" s="9">
        <v>0</v>
      </c>
      <c r="X68" s="9">
        <v>0</v>
      </c>
      <c r="Y68" s="9">
        <v>0</v>
      </c>
    </row>
    <row r="69" spans="1:25">
      <c r="A69" s="9">
        <v>0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 t="str">
        <v>January</v>
      </c>
      <c r="V69" s="9">
        <v>0</v>
      </c>
      <c r="W69" s="9">
        <v>0</v>
      </c>
      <c r="X69" s="9">
        <v>0</v>
      </c>
      <c r="Y69" s="9">
        <v>0</v>
      </c>
    </row>
    <row r="70" spans="1:25">
      <c r="A70" s="9">
        <v>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 t="str">
        <v>January</v>
      </c>
      <c r="V70" s="9">
        <v>0</v>
      </c>
      <c r="W70" s="9">
        <v>0</v>
      </c>
      <c r="X70" s="9">
        <v>0</v>
      </c>
      <c r="Y70" s="9">
        <v>0</v>
      </c>
    </row>
    <row r="71" spans="1:25">
      <c r="A71" s="9">
        <v>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 t="str">
        <v>January</v>
      </c>
      <c r="V71" s="9">
        <v>0</v>
      </c>
      <c r="W71" s="9">
        <v>0</v>
      </c>
      <c r="X71" s="9">
        <v>0</v>
      </c>
      <c r="Y71" s="9">
        <v>0</v>
      </c>
    </row>
    <row r="72" spans="1:25">
      <c r="A72" s="9">
        <v>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 t="str">
        <v>January</v>
      </c>
      <c r="V72" s="9">
        <v>0</v>
      </c>
      <c r="W72" s="9">
        <v>0</v>
      </c>
      <c r="X72" s="9">
        <v>0</v>
      </c>
      <c r="Y72" s="9">
        <v>0</v>
      </c>
    </row>
    <row r="73" spans="1:25">
      <c r="A73" s="9">
        <v>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 t="str">
        <v>January</v>
      </c>
      <c r="V73" s="9">
        <v>0</v>
      </c>
      <c r="W73" s="9">
        <v>0</v>
      </c>
      <c r="X73" s="9">
        <v>0</v>
      </c>
      <c r="Y73" s="9">
        <v>0</v>
      </c>
    </row>
    <row r="74" spans="1:25">
      <c r="A74" s="9">
        <v>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 t="str">
        <v>January</v>
      </c>
      <c r="V74" s="9">
        <v>0</v>
      </c>
      <c r="W74" s="9">
        <v>0</v>
      </c>
      <c r="X74" s="9">
        <v>0</v>
      </c>
      <c r="Y74" s="9">
        <v>0</v>
      </c>
    </row>
    <row r="75" spans="1:25">
      <c r="A75" s="9">
        <v>0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 t="str">
        <v>January</v>
      </c>
      <c r="V75" s="9">
        <v>0</v>
      </c>
      <c r="W75" s="9">
        <v>0</v>
      </c>
      <c r="X75" s="9">
        <v>0</v>
      </c>
      <c r="Y75" s="9">
        <v>0</v>
      </c>
    </row>
    <row r="76" spans="1:25">
      <c r="A76" s="9">
        <v>0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 t="str">
        <v>January</v>
      </c>
      <c r="V76" s="9">
        <v>0</v>
      </c>
      <c r="W76" s="9">
        <v>0</v>
      </c>
      <c r="X76" s="9">
        <v>0</v>
      </c>
      <c r="Y76" s="9">
        <v>0</v>
      </c>
    </row>
    <row r="77" spans="1:25">
      <c r="A77" s="9">
        <v>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 t="str">
        <v>January</v>
      </c>
      <c r="V77" s="9">
        <v>0</v>
      </c>
      <c r="W77" s="9">
        <v>0</v>
      </c>
      <c r="X77" s="9">
        <v>0</v>
      </c>
      <c r="Y77" s="9">
        <v>0</v>
      </c>
    </row>
    <row r="78" spans="1:25">
      <c r="A78" s="9">
        <v>0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 t="str">
        <v>January</v>
      </c>
      <c r="V78" s="9">
        <v>0</v>
      </c>
      <c r="W78" s="9">
        <v>0</v>
      </c>
      <c r="X78" s="9">
        <v>0</v>
      </c>
      <c r="Y78" s="9">
        <v>0</v>
      </c>
    </row>
    <row r="79" spans="1:25">
      <c r="A79" s="9">
        <v>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 t="str">
        <v>January</v>
      </c>
      <c r="V79" s="9">
        <v>0</v>
      </c>
      <c r="W79" s="9">
        <v>0</v>
      </c>
      <c r="X79" s="9">
        <v>0</v>
      </c>
      <c r="Y79" s="9">
        <v>0</v>
      </c>
    </row>
    <row r="80" spans="1:25">
      <c r="A80" s="9">
        <v>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 t="str">
        <v>January</v>
      </c>
      <c r="V80" s="9">
        <v>0</v>
      </c>
      <c r="W80" s="9">
        <v>0</v>
      </c>
      <c r="X80" s="9">
        <v>0</v>
      </c>
      <c r="Y80" s="9">
        <v>0</v>
      </c>
    </row>
    <row r="81" spans="1:25">
      <c r="A81" s="9">
        <v>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 t="str">
        <v>January</v>
      </c>
      <c r="V81" s="9">
        <v>0</v>
      </c>
      <c r="W81" s="9">
        <v>0</v>
      </c>
      <c r="X81" s="9">
        <v>0</v>
      </c>
      <c r="Y81" s="9">
        <v>0</v>
      </c>
    </row>
    <row r="82" spans="1:25">
      <c r="A82" s="9">
        <v>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 t="str">
        <v>January</v>
      </c>
      <c r="V82" s="9">
        <v>0</v>
      </c>
      <c r="W82" s="9">
        <v>0</v>
      </c>
      <c r="X82" s="9">
        <v>0</v>
      </c>
      <c r="Y82" s="9">
        <v>0</v>
      </c>
    </row>
    <row r="83" spans="1:25">
      <c r="A83" s="9">
        <v>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 t="str">
        <v>January</v>
      </c>
      <c r="V83" s="9">
        <v>0</v>
      </c>
      <c r="W83" s="9">
        <v>0</v>
      </c>
      <c r="X83" s="9">
        <v>0</v>
      </c>
      <c r="Y83" s="9">
        <v>0</v>
      </c>
    </row>
    <row r="84" spans="1:25">
      <c r="A84" s="9">
        <v>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 t="str">
        <v>January</v>
      </c>
      <c r="V84" s="9">
        <v>0</v>
      </c>
      <c r="W84" s="9">
        <v>0</v>
      </c>
      <c r="X84" s="9">
        <v>0</v>
      </c>
      <c r="Y84" s="9">
        <v>0</v>
      </c>
    </row>
    <row r="85" spans="1:25">
      <c r="A85" s="9">
        <v>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 t="str">
        <v>January</v>
      </c>
      <c r="V85" s="9">
        <v>0</v>
      </c>
      <c r="W85" s="9">
        <v>0</v>
      </c>
      <c r="X85" s="9">
        <v>0</v>
      </c>
      <c r="Y85" s="9">
        <v>0</v>
      </c>
    </row>
    <row r="86" spans="1:25">
      <c r="A86" s="9">
        <v>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 t="str">
        <v>January</v>
      </c>
      <c r="V86" s="9">
        <v>0</v>
      </c>
      <c r="W86" s="9">
        <v>0</v>
      </c>
      <c r="X86" s="9">
        <v>0</v>
      </c>
      <c r="Y86" s="9">
        <v>0</v>
      </c>
    </row>
    <row r="87" spans="1:25">
      <c r="A87" s="9">
        <v>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 t="str">
        <v>January</v>
      </c>
      <c r="V87" s="9">
        <v>0</v>
      </c>
      <c r="W87" s="9">
        <v>0</v>
      </c>
      <c r="X87" s="9">
        <v>0</v>
      </c>
      <c r="Y87" s="9">
        <v>0</v>
      </c>
    </row>
    <row r="88" spans="1:25">
      <c r="A88" s="9">
        <v>0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 t="str">
        <v>January</v>
      </c>
      <c r="V88" s="9">
        <v>0</v>
      </c>
      <c r="W88" s="9">
        <v>0</v>
      </c>
      <c r="X88" s="9">
        <v>0</v>
      </c>
      <c r="Y88" s="9">
        <v>0</v>
      </c>
    </row>
    <row r="89" spans="1:25">
      <c r="A89" s="9">
        <v>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 t="str">
        <v>January</v>
      </c>
      <c r="V89" s="9">
        <v>0</v>
      </c>
      <c r="W89" s="9">
        <v>0</v>
      </c>
      <c r="X89" s="9">
        <v>0</v>
      </c>
      <c r="Y89" s="9">
        <v>0</v>
      </c>
    </row>
    <row r="90" spans="1:25">
      <c r="A90" s="9">
        <v>0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 t="str">
        <v>January</v>
      </c>
      <c r="V90" s="9">
        <v>0</v>
      </c>
      <c r="W90" s="9">
        <v>0</v>
      </c>
      <c r="X90" s="9">
        <v>0</v>
      </c>
      <c r="Y90" s="9">
        <v>0</v>
      </c>
    </row>
    <row r="91" spans="1:25">
      <c r="A91" s="9">
        <v>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 t="str">
        <v>January</v>
      </c>
      <c r="V91" s="9">
        <v>0</v>
      </c>
      <c r="W91" s="9">
        <v>0</v>
      </c>
      <c r="X91" s="9">
        <v>0</v>
      </c>
      <c r="Y91" s="9">
        <v>0</v>
      </c>
    </row>
    <row r="92" spans="1:25">
      <c r="A92" s="9">
        <v>0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 t="str">
        <v>January</v>
      </c>
      <c r="V92" s="9">
        <v>0</v>
      </c>
      <c r="W92" s="9">
        <v>0</v>
      </c>
      <c r="X92" s="9">
        <v>0</v>
      </c>
      <c r="Y92" s="9">
        <v>0</v>
      </c>
    </row>
    <row r="93" spans="1:25">
      <c r="A93" s="9">
        <v>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 t="str">
        <v>January</v>
      </c>
      <c r="V93" s="9">
        <v>0</v>
      </c>
      <c r="W93" s="9">
        <v>0</v>
      </c>
      <c r="X93" s="9">
        <v>0</v>
      </c>
      <c r="Y93" s="9">
        <v>0</v>
      </c>
    </row>
    <row r="94" spans="1:25">
      <c r="A94" s="9">
        <v>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 t="str">
        <v>January</v>
      </c>
      <c r="V94" s="9">
        <v>0</v>
      </c>
      <c r="W94" s="9">
        <v>0</v>
      </c>
      <c r="X94" s="9">
        <v>0</v>
      </c>
      <c r="Y94" s="9">
        <v>0</v>
      </c>
    </row>
    <row r="95" spans="1:25">
      <c r="A95" s="9">
        <v>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 t="str">
        <v>January</v>
      </c>
      <c r="V95" s="9">
        <v>0</v>
      </c>
      <c r="W95" s="9">
        <v>0</v>
      </c>
      <c r="X95" s="9">
        <v>0</v>
      </c>
      <c r="Y95" s="9">
        <v>0</v>
      </c>
    </row>
    <row r="96" spans="1:25">
      <c r="A96" s="9">
        <v>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 t="str">
        <v>January</v>
      </c>
      <c r="V96" s="9">
        <v>0</v>
      </c>
      <c r="W96" s="9">
        <v>0</v>
      </c>
      <c r="X96" s="9">
        <v>0</v>
      </c>
      <c r="Y96" s="9">
        <v>0</v>
      </c>
    </row>
    <row r="97" spans="1:25">
      <c r="A97" s="9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 t="str">
        <v>January</v>
      </c>
      <c r="V97" s="9">
        <v>0</v>
      </c>
      <c r="W97" s="9">
        <v>0</v>
      </c>
      <c r="X97" s="9">
        <v>0</v>
      </c>
      <c r="Y97" s="9">
        <v>0</v>
      </c>
    </row>
    <row r="98" spans="1:25">
      <c r="A98" s="9">
        <v>0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 t="str">
        <v>January</v>
      </c>
      <c r="V98" s="9">
        <v>0</v>
      </c>
      <c r="W98" s="9">
        <v>0</v>
      </c>
      <c r="X98" s="9">
        <v>0</v>
      </c>
      <c r="Y98" s="9">
        <v>0</v>
      </c>
    </row>
    <row r="99" spans="1:25">
      <c r="A99" s="9">
        <v>0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 t="str">
        <v>January</v>
      </c>
      <c r="V99" s="9">
        <v>0</v>
      </c>
      <c r="W99" s="9">
        <v>0</v>
      </c>
      <c r="X99" s="9">
        <v>0</v>
      </c>
      <c r="Y99" s="9">
        <v>0</v>
      </c>
    </row>
    <row r="100" spans="1:25">
      <c r="A100" s="9">
        <v>0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 t="str">
        <v>January</v>
      </c>
      <c r="V100" s="9">
        <v>0</v>
      </c>
      <c r="W100" s="9">
        <v>0</v>
      </c>
      <c r="X100" s="9">
        <v>0</v>
      </c>
      <c r="Y100" s="9">
        <v>0</v>
      </c>
    </row>
    <row r="101" spans="1:25">
      <c r="A101" s="9">
        <v>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 t="str">
        <v>January</v>
      </c>
      <c r="V101" s="9">
        <v>0</v>
      </c>
      <c r="W101" s="9">
        <v>0</v>
      </c>
      <c r="X101" s="9">
        <v>0</v>
      </c>
      <c r="Y101" s="9">
        <v>0</v>
      </c>
    </row>
    <row r="102" spans="1:25">
      <c r="A102" s="9">
        <v>0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 t="str">
        <v>January</v>
      </c>
      <c r="V102" s="9">
        <v>0</v>
      </c>
      <c r="W102" s="9">
        <v>0</v>
      </c>
      <c r="X102" s="9">
        <v>0</v>
      </c>
      <c r="Y102" s="9">
        <v>0</v>
      </c>
    </row>
    <row r="103" spans="1:25">
      <c r="A103" s="9">
        <v>0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 t="str">
        <v>January</v>
      </c>
      <c r="V103" s="9">
        <v>0</v>
      </c>
      <c r="W103" s="9">
        <v>0</v>
      </c>
      <c r="X103" s="9">
        <v>0</v>
      </c>
      <c r="Y103" s="9">
        <v>0</v>
      </c>
    </row>
    <row r="104" spans="1:25">
      <c r="A104" s="9">
        <v>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 t="str">
        <v>January</v>
      </c>
      <c r="V104" s="9">
        <v>0</v>
      </c>
      <c r="W104" s="9">
        <v>0</v>
      </c>
      <c r="X104" s="9">
        <v>0</v>
      </c>
      <c r="Y104" s="9">
        <v>0</v>
      </c>
    </row>
    <row r="105" spans="1:25">
      <c r="A105" s="9">
        <v>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 t="str">
        <v>January</v>
      </c>
      <c r="V105" s="9">
        <v>0</v>
      </c>
      <c r="W105" s="9">
        <v>0</v>
      </c>
      <c r="X105" s="9">
        <v>0</v>
      </c>
      <c r="Y105" s="9">
        <v>0</v>
      </c>
    </row>
    <row r="106" spans="1:25">
      <c r="A106" s="9">
        <v>0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 t="str">
        <v>January</v>
      </c>
      <c r="V106" s="9">
        <v>0</v>
      </c>
      <c r="W106" s="9">
        <v>0</v>
      </c>
      <c r="X106" s="9">
        <v>0</v>
      </c>
      <c r="Y106" s="9">
        <v>0</v>
      </c>
    </row>
    <row r="107" spans="1:25">
      <c r="A107" s="9">
        <v>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 t="str">
        <v>January</v>
      </c>
      <c r="V107" s="9">
        <v>0</v>
      </c>
      <c r="W107" s="9">
        <v>0</v>
      </c>
      <c r="X107" s="9">
        <v>0</v>
      </c>
      <c r="Y107" s="9">
        <v>0</v>
      </c>
    </row>
    <row r="108" spans="1:25">
      <c r="A108" s="9">
        <v>0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 t="str">
        <v>January</v>
      </c>
      <c r="V108" s="9">
        <v>0</v>
      </c>
      <c r="W108" s="9">
        <v>0</v>
      </c>
      <c r="X108" s="9">
        <v>0</v>
      </c>
      <c r="Y108" s="9">
        <v>0</v>
      </c>
    </row>
    <row r="109" spans="1:25">
      <c r="A109" s="9">
        <v>0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 t="str">
        <v>January</v>
      </c>
      <c r="V109" s="9">
        <v>0</v>
      </c>
      <c r="W109" s="9">
        <v>0</v>
      </c>
      <c r="X109" s="9">
        <v>0</v>
      </c>
      <c r="Y109" s="9">
        <v>0</v>
      </c>
    </row>
    <row r="110" spans="1:25">
      <c r="A110" s="9">
        <v>0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 t="str">
        <v>January</v>
      </c>
      <c r="V110" s="9">
        <v>0</v>
      </c>
      <c r="W110" s="9">
        <v>0</v>
      </c>
      <c r="X110" s="9">
        <v>0</v>
      </c>
      <c r="Y110" s="9">
        <v>0</v>
      </c>
    </row>
    <row r="111" spans="1:25">
      <c r="A111" s="9">
        <v>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 t="str">
        <v>January</v>
      </c>
      <c r="V111" s="9">
        <v>0</v>
      </c>
      <c r="W111" s="9">
        <v>0</v>
      </c>
      <c r="X111" s="9">
        <v>0</v>
      </c>
      <c r="Y111" s="9">
        <v>0</v>
      </c>
    </row>
    <row r="112" spans="1:25">
      <c r="A112" s="9">
        <v>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 t="str">
        <v>January</v>
      </c>
      <c r="V112" s="9">
        <v>0</v>
      </c>
      <c r="W112" s="9">
        <v>0</v>
      </c>
      <c r="X112" s="9">
        <v>0</v>
      </c>
      <c r="Y112" s="9">
        <v>0</v>
      </c>
    </row>
    <row r="113" spans="1:25">
      <c r="A113" s="9">
        <v>0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 t="str">
        <v>January</v>
      </c>
      <c r="V113" s="9">
        <v>0</v>
      </c>
      <c r="W113" s="9">
        <v>0</v>
      </c>
      <c r="X113" s="9">
        <v>0</v>
      </c>
      <c r="Y113" s="9">
        <v>0</v>
      </c>
    </row>
    <row r="114" spans="1:25">
      <c r="A114" s="9">
        <v>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 t="str">
        <v>January</v>
      </c>
      <c r="V114" s="9">
        <v>0</v>
      </c>
      <c r="W114" s="9">
        <v>0</v>
      </c>
      <c r="X114" s="9">
        <v>0</v>
      </c>
      <c r="Y114" s="9">
        <v>0</v>
      </c>
    </row>
    <row r="115" spans="1:25">
      <c r="A115" s="9">
        <v>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 t="str">
        <v>January</v>
      </c>
      <c r="V115" s="9">
        <v>0</v>
      </c>
      <c r="W115" s="9">
        <v>0</v>
      </c>
      <c r="X115" s="9">
        <v>0</v>
      </c>
      <c r="Y115" s="9">
        <v>0</v>
      </c>
    </row>
    <row r="116" spans="1:25">
      <c r="A116" s="9">
        <v>0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 t="str">
        <v>January</v>
      </c>
      <c r="V116" s="9">
        <v>0</v>
      </c>
      <c r="W116" s="9">
        <v>0</v>
      </c>
      <c r="X116" s="9">
        <v>0</v>
      </c>
      <c r="Y116" s="9">
        <v>0</v>
      </c>
    </row>
    <row r="117" spans="1:25">
      <c r="A117" s="9">
        <v>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 t="str">
        <v>January</v>
      </c>
      <c r="V117" s="9">
        <v>0</v>
      </c>
      <c r="W117" s="9">
        <v>0</v>
      </c>
      <c r="X117" s="9">
        <v>0</v>
      </c>
      <c r="Y117" s="9">
        <v>0</v>
      </c>
    </row>
    <row r="118" spans="1:25">
      <c r="A118" s="9">
        <v>0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 t="str">
        <v>January</v>
      </c>
      <c r="V118" s="9">
        <v>0</v>
      </c>
      <c r="W118" s="9">
        <v>0</v>
      </c>
      <c r="X118" s="9">
        <v>0</v>
      </c>
      <c r="Y118" s="9">
        <v>0</v>
      </c>
    </row>
    <row r="119" spans="1:25">
      <c r="A119" s="9">
        <v>0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 t="str">
        <v>January</v>
      </c>
      <c r="V119" s="9">
        <v>0</v>
      </c>
      <c r="W119" s="9">
        <v>0</v>
      </c>
      <c r="X119" s="9">
        <v>0</v>
      </c>
      <c r="Y119" s="9">
        <v>0</v>
      </c>
    </row>
    <row r="120" spans="1:25">
      <c r="A120" s="9">
        <v>0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 t="str">
        <v>January</v>
      </c>
      <c r="V120" s="9">
        <v>0</v>
      </c>
      <c r="W120" s="9">
        <v>0</v>
      </c>
      <c r="X120" s="9">
        <v>0</v>
      </c>
      <c r="Y120" s="9">
        <v>0</v>
      </c>
    </row>
    <row r="121" spans="1:25">
      <c r="A121" s="9">
        <v>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 t="str">
        <v>January</v>
      </c>
      <c r="V121" s="9">
        <v>0</v>
      </c>
      <c r="W121" s="9">
        <v>0</v>
      </c>
      <c r="X121" s="9">
        <v>0</v>
      </c>
      <c r="Y121" s="9">
        <v>0</v>
      </c>
    </row>
    <row r="122" spans="1:25">
      <c r="A122" s="9">
        <v>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 t="str">
        <v>January</v>
      </c>
      <c r="V122" s="9">
        <v>0</v>
      </c>
      <c r="W122" s="9">
        <v>0</v>
      </c>
      <c r="X122" s="9">
        <v>0</v>
      </c>
      <c r="Y122" s="9">
        <v>0</v>
      </c>
    </row>
    <row r="123" spans="1:25">
      <c r="A123" s="9">
        <v>0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 t="str">
        <v>January</v>
      </c>
      <c r="V123" s="9">
        <v>0</v>
      </c>
      <c r="W123" s="9">
        <v>0</v>
      </c>
      <c r="X123" s="9">
        <v>0</v>
      </c>
      <c r="Y123" s="9">
        <v>0</v>
      </c>
    </row>
    <row r="124" spans="1:25">
      <c r="A124" s="9">
        <v>0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 t="str">
        <v>January</v>
      </c>
      <c r="V124" s="9">
        <v>0</v>
      </c>
      <c r="W124" s="9">
        <v>0</v>
      </c>
      <c r="X124" s="9">
        <v>0</v>
      </c>
      <c r="Y124" s="9">
        <v>0</v>
      </c>
    </row>
    <row r="125" spans="1:25">
      <c r="A125" s="9">
        <v>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 t="str">
        <v>January</v>
      </c>
      <c r="V125" s="9">
        <v>0</v>
      </c>
      <c r="W125" s="9">
        <v>0</v>
      </c>
      <c r="X125" s="9">
        <v>0</v>
      </c>
      <c r="Y125" s="9">
        <v>0</v>
      </c>
    </row>
    <row r="126" spans="1:25">
      <c r="A126" s="9">
        <v>0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 t="str">
        <v>January</v>
      </c>
      <c r="V126" s="9">
        <v>0</v>
      </c>
      <c r="W126" s="9">
        <v>0</v>
      </c>
      <c r="X126" s="9">
        <v>0</v>
      </c>
      <c r="Y126" s="9">
        <v>0</v>
      </c>
    </row>
    <row r="127" spans="1:25">
      <c r="A127" s="9">
        <v>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 t="str">
        <v>January</v>
      </c>
      <c r="V127" s="9">
        <v>0</v>
      </c>
      <c r="W127" s="9">
        <v>0</v>
      </c>
      <c r="X127" s="9">
        <v>0</v>
      </c>
      <c r="Y127" s="9">
        <v>0</v>
      </c>
    </row>
    <row r="128" spans="1:25">
      <c r="A128" s="9">
        <v>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 t="str">
        <v>January</v>
      </c>
      <c r="V128" s="9">
        <v>0</v>
      </c>
      <c r="W128" s="9">
        <v>0</v>
      </c>
      <c r="X128" s="9">
        <v>0</v>
      </c>
      <c r="Y128" s="9">
        <v>0</v>
      </c>
    </row>
    <row r="129" spans="1:25">
      <c r="A129" s="9">
        <v>0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 t="str">
        <v>January</v>
      </c>
      <c r="V129" s="9">
        <v>0</v>
      </c>
      <c r="W129" s="9">
        <v>0</v>
      </c>
      <c r="X129" s="9">
        <v>0</v>
      </c>
      <c r="Y129" s="9">
        <v>0</v>
      </c>
    </row>
    <row r="130" spans="1:25">
      <c r="A130" s="9">
        <v>0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 t="str">
        <v>January</v>
      </c>
      <c r="V130" s="9">
        <v>0</v>
      </c>
      <c r="W130" s="9">
        <v>0</v>
      </c>
      <c r="X130" s="9">
        <v>0</v>
      </c>
      <c r="Y130" s="9">
        <v>0</v>
      </c>
    </row>
    <row r="131" spans="1:25">
      <c r="A131" s="9">
        <v>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 t="str">
        <v>January</v>
      </c>
      <c r="V131" s="9">
        <v>0</v>
      </c>
      <c r="W131" s="9">
        <v>0</v>
      </c>
      <c r="X131" s="9">
        <v>0</v>
      </c>
      <c r="Y131" s="9">
        <v>0</v>
      </c>
    </row>
    <row r="132" spans="1:25">
      <c r="A132" s="9">
        <v>0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 t="str">
        <v>January</v>
      </c>
      <c r="V132" s="9">
        <v>0</v>
      </c>
      <c r="W132" s="9">
        <v>0</v>
      </c>
      <c r="X132" s="9">
        <v>0</v>
      </c>
      <c r="Y132" s="9">
        <v>0</v>
      </c>
    </row>
    <row r="133" spans="1:25">
      <c r="A133" s="9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 t="str">
        <v>January</v>
      </c>
      <c r="V133" s="9">
        <v>0</v>
      </c>
      <c r="W133" s="9">
        <v>0</v>
      </c>
      <c r="X133" s="9">
        <v>0</v>
      </c>
      <c r="Y133" s="9">
        <v>0</v>
      </c>
    </row>
    <row r="134" spans="1:25">
      <c r="A134" s="9">
        <v>0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 t="str">
        <v>January</v>
      </c>
      <c r="V134" s="9">
        <v>0</v>
      </c>
      <c r="W134" s="9">
        <v>0</v>
      </c>
      <c r="X134" s="9">
        <v>0</v>
      </c>
      <c r="Y134" s="9">
        <v>0</v>
      </c>
    </row>
    <row r="135" spans="1:25">
      <c r="A135" s="9">
        <v>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 t="str">
        <v>January</v>
      </c>
      <c r="V135" s="9">
        <v>0</v>
      </c>
      <c r="W135" s="9">
        <v>0</v>
      </c>
      <c r="X135" s="9">
        <v>0</v>
      </c>
      <c r="Y135" s="9">
        <v>0</v>
      </c>
    </row>
    <row r="136" spans="1:25">
      <c r="A136" s="9">
        <v>0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 t="str">
        <v>January</v>
      </c>
      <c r="V136" s="9">
        <v>0</v>
      </c>
      <c r="W136" s="9">
        <v>0</v>
      </c>
      <c r="X136" s="9">
        <v>0</v>
      </c>
      <c r="Y136" s="9">
        <v>0</v>
      </c>
    </row>
    <row r="137" spans="1:25">
      <c r="A137" s="9">
        <v>0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 t="str">
        <v>January</v>
      </c>
      <c r="V137" s="9">
        <v>0</v>
      </c>
      <c r="W137" s="9">
        <v>0</v>
      </c>
      <c r="X137" s="9">
        <v>0</v>
      </c>
      <c r="Y137" s="9">
        <v>0</v>
      </c>
    </row>
    <row r="138" spans="1:25">
      <c r="A138" s="9">
        <v>0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 t="str">
        <v>January</v>
      </c>
      <c r="V138" s="9">
        <v>0</v>
      </c>
      <c r="W138" s="9">
        <v>0</v>
      </c>
      <c r="X138" s="9">
        <v>0</v>
      </c>
      <c r="Y138" s="9">
        <v>0</v>
      </c>
    </row>
    <row r="139" spans="1:25">
      <c r="A139" s="9">
        <v>0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 t="str">
        <v>January</v>
      </c>
      <c r="V139" s="9">
        <v>0</v>
      </c>
      <c r="W139" s="9">
        <v>0</v>
      </c>
      <c r="X139" s="9">
        <v>0</v>
      </c>
      <c r="Y139" s="9">
        <v>0</v>
      </c>
    </row>
    <row r="140" spans="1:25">
      <c r="A140" s="9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 t="str">
        <v>January</v>
      </c>
      <c r="V140" s="9">
        <v>0</v>
      </c>
      <c r="W140" s="9">
        <v>0</v>
      </c>
      <c r="X140" s="9">
        <v>0</v>
      </c>
      <c r="Y140" s="9">
        <v>0</v>
      </c>
    </row>
    <row r="141" spans="1:25">
      <c r="A141" s="9">
        <v>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 t="str">
        <v>January</v>
      </c>
      <c r="V141" s="9">
        <v>0</v>
      </c>
      <c r="W141" s="9">
        <v>0</v>
      </c>
      <c r="X141" s="9">
        <v>0</v>
      </c>
      <c r="Y141" s="9">
        <v>0</v>
      </c>
    </row>
    <row r="142" spans="1:25">
      <c r="A142" s="9">
        <v>0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 t="str">
        <v>January</v>
      </c>
      <c r="V142" s="9">
        <v>0</v>
      </c>
      <c r="W142" s="9">
        <v>0</v>
      </c>
      <c r="X142" s="9">
        <v>0</v>
      </c>
      <c r="Y142" s="9">
        <v>0</v>
      </c>
    </row>
    <row r="143" spans="1:25">
      <c r="A143" s="9">
        <v>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 t="str">
        <v>January</v>
      </c>
      <c r="V143" s="9">
        <v>0</v>
      </c>
      <c r="W143" s="9">
        <v>0</v>
      </c>
      <c r="X143" s="9">
        <v>0</v>
      </c>
      <c r="Y143" s="9">
        <v>0</v>
      </c>
    </row>
    <row r="144" spans="1:25">
      <c r="A144" s="9">
        <v>0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 t="str">
        <v>January</v>
      </c>
      <c r="V144" s="9">
        <v>0</v>
      </c>
      <c r="W144" s="9">
        <v>0</v>
      </c>
      <c r="X144" s="9">
        <v>0</v>
      </c>
      <c r="Y144" s="9">
        <v>0</v>
      </c>
    </row>
    <row r="145" spans="1:25">
      <c r="A145" s="9">
        <v>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 t="str">
        <v>January</v>
      </c>
      <c r="V145" s="9">
        <v>0</v>
      </c>
      <c r="W145" s="9">
        <v>0</v>
      </c>
      <c r="X145" s="9">
        <v>0</v>
      </c>
      <c r="Y145" s="9">
        <v>0</v>
      </c>
    </row>
    <row r="146" spans="1:25">
      <c r="A146" s="9">
        <v>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 t="str">
        <v>January</v>
      </c>
      <c r="V146" s="9">
        <v>0</v>
      </c>
      <c r="W146" s="9">
        <v>0</v>
      </c>
      <c r="X146" s="9">
        <v>0</v>
      </c>
      <c r="Y146" s="9">
        <v>0</v>
      </c>
    </row>
    <row r="147" spans="1:25">
      <c r="A147" s="9">
        <v>0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 t="str">
        <v>January</v>
      </c>
      <c r="V147" s="9">
        <v>0</v>
      </c>
      <c r="W147" s="9">
        <v>0</v>
      </c>
      <c r="X147" s="9">
        <v>0</v>
      </c>
      <c r="Y147" s="9">
        <v>0</v>
      </c>
    </row>
    <row r="148" spans="1:25">
      <c r="A148" s="9">
        <v>0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 t="str">
        <v>January</v>
      </c>
      <c r="V148" s="9">
        <v>0</v>
      </c>
      <c r="W148" s="9">
        <v>0</v>
      </c>
      <c r="X148" s="9">
        <v>0</v>
      </c>
      <c r="Y148" s="9">
        <v>0</v>
      </c>
    </row>
    <row r="149" spans="1:25">
      <c r="A149" s="9">
        <v>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 t="str">
        <v>January</v>
      </c>
      <c r="V149" s="9">
        <v>0</v>
      </c>
      <c r="W149" s="9">
        <v>0</v>
      </c>
      <c r="X149" s="9">
        <v>0</v>
      </c>
      <c r="Y149" s="9">
        <v>0</v>
      </c>
    </row>
    <row r="150" spans="1:25">
      <c r="A150" s="9">
        <v>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 t="str">
        <v>January</v>
      </c>
      <c r="V150" s="9">
        <v>0</v>
      </c>
      <c r="W150" s="9">
        <v>0</v>
      </c>
      <c r="X150" s="9">
        <v>0</v>
      </c>
      <c r="Y150" s="9">
        <v>0</v>
      </c>
    </row>
    <row r="151" spans="1:25">
      <c r="A151" s="9">
        <v>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 t="str">
        <v>January</v>
      </c>
      <c r="V151" s="9">
        <v>0</v>
      </c>
      <c r="W151" s="9">
        <v>0</v>
      </c>
      <c r="X151" s="9">
        <v>0</v>
      </c>
      <c r="Y151" s="9">
        <v>0</v>
      </c>
    </row>
    <row r="152" spans="1:25">
      <c r="A152" s="9">
        <v>0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 t="str">
        <v>January</v>
      </c>
      <c r="V152" s="9">
        <v>0</v>
      </c>
      <c r="W152" s="9">
        <v>0</v>
      </c>
      <c r="X152" s="9">
        <v>0</v>
      </c>
      <c r="Y152" s="9">
        <v>0</v>
      </c>
    </row>
    <row r="153" spans="1:25">
      <c r="A153" s="9">
        <v>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 t="str">
        <v>January</v>
      </c>
      <c r="V153" s="9">
        <v>0</v>
      </c>
      <c r="W153" s="9">
        <v>0</v>
      </c>
      <c r="X153" s="9">
        <v>0</v>
      </c>
      <c r="Y153" s="9">
        <v>0</v>
      </c>
    </row>
    <row r="154" spans="1:25">
      <c r="A154" s="9">
        <v>0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 t="str">
        <v>January</v>
      </c>
      <c r="V154" s="9">
        <v>0</v>
      </c>
      <c r="W154" s="9">
        <v>0</v>
      </c>
      <c r="X154" s="9">
        <v>0</v>
      </c>
      <c r="Y154" s="9">
        <v>0</v>
      </c>
    </row>
    <row r="155" spans="1:25">
      <c r="A155" s="9">
        <v>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 t="str">
        <v>January</v>
      </c>
      <c r="V155" s="9">
        <v>0</v>
      </c>
      <c r="W155" s="9">
        <v>0</v>
      </c>
      <c r="X155" s="9">
        <v>0</v>
      </c>
      <c r="Y155" s="9">
        <v>0</v>
      </c>
    </row>
    <row r="156" spans="1:25">
      <c r="A156" s="9">
        <v>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 t="str">
        <v>January</v>
      </c>
      <c r="V156" s="9">
        <v>0</v>
      </c>
      <c r="W156" s="9">
        <v>0</v>
      </c>
      <c r="X156" s="9">
        <v>0</v>
      </c>
      <c r="Y156" s="9">
        <v>0</v>
      </c>
    </row>
    <row r="157" spans="1: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 t="str">
        <v>January</v>
      </c>
      <c r="V157" s="9">
        <v>0</v>
      </c>
      <c r="W157" s="9">
        <v>0</v>
      </c>
      <c r="X157" s="9">
        <v>0</v>
      </c>
      <c r="Y157" s="9">
        <v>0</v>
      </c>
    </row>
    <row r="158" spans="1: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 t="str">
        <v>January</v>
      </c>
      <c r="V158" s="9">
        <v>0</v>
      </c>
      <c r="W158" s="9">
        <v>0</v>
      </c>
      <c r="X158" s="9">
        <v>0</v>
      </c>
      <c r="Y158" s="9">
        <v>0</v>
      </c>
    </row>
    <row r="159" spans="1: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 t="str">
        <v>January</v>
      </c>
      <c r="V159" s="9">
        <v>0</v>
      </c>
      <c r="W159" s="9">
        <v>0</v>
      </c>
      <c r="X159" s="9">
        <v>0</v>
      </c>
      <c r="Y159" s="9">
        <v>0</v>
      </c>
    </row>
    <row r="160" spans="1: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 t="str">
        <v>January</v>
      </c>
      <c r="V160" s="9">
        <v>0</v>
      </c>
      <c r="W160" s="9">
        <v>0</v>
      </c>
      <c r="X160" s="9">
        <v>0</v>
      </c>
      <c r="Y160" s="9">
        <v>0</v>
      </c>
    </row>
    <row r="161" spans="1: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 t="str">
        <v>January</v>
      </c>
      <c r="V161" s="9">
        <v>0</v>
      </c>
      <c r="W161" s="9">
        <v>0</v>
      </c>
      <c r="X161" s="9">
        <v>0</v>
      </c>
      <c r="Y161" s="9">
        <v>0</v>
      </c>
    </row>
    <row r="162" spans="1: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 t="str">
        <v>January</v>
      </c>
      <c r="V162" s="9">
        <v>0</v>
      </c>
      <c r="W162" s="9">
        <v>0</v>
      </c>
      <c r="X162" s="9">
        <v>0</v>
      </c>
      <c r="Y162" s="9">
        <v>0</v>
      </c>
    </row>
    <row r="163" spans="1: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 t="str">
        <v>January</v>
      </c>
      <c r="V163" s="9">
        <v>0</v>
      </c>
      <c r="W163" s="9">
        <v>0</v>
      </c>
      <c r="X163" s="9">
        <v>0</v>
      </c>
      <c r="Y163" s="9">
        <v>0</v>
      </c>
    </row>
    <row r="164" spans="1: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 t="str">
        <v>January</v>
      </c>
      <c r="V164" s="9">
        <v>0</v>
      </c>
      <c r="W164" s="9">
        <v>0</v>
      </c>
      <c r="X164" s="9">
        <v>0</v>
      </c>
      <c r="Y164" s="9">
        <v>0</v>
      </c>
    </row>
    <row r="165" spans="1: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 t="str">
        <v>January</v>
      </c>
      <c r="V165" s="9">
        <v>0</v>
      </c>
      <c r="W165" s="9">
        <v>0</v>
      </c>
      <c r="X165" s="9">
        <v>0</v>
      </c>
      <c r="Y165" s="9">
        <v>0</v>
      </c>
    </row>
    <row r="166" spans="1: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 t="str">
        <v>January</v>
      </c>
      <c r="V166" s="9">
        <v>0</v>
      </c>
      <c r="W166" s="9">
        <v>0</v>
      </c>
      <c r="X166" s="9">
        <v>0</v>
      </c>
      <c r="Y166" s="9">
        <v>0</v>
      </c>
    </row>
    <row r="167" spans="1: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 t="str">
        <v>January</v>
      </c>
      <c r="V167" s="9">
        <v>0</v>
      </c>
      <c r="W167" s="9">
        <v>0</v>
      </c>
      <c r="X167" s="9">
        <v>0</v>
      </c>
      <c r="Y167" s="9">
        <v>0</v>
      </c>
    </row>
    <row r="168" spans="1: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 t="str">
        <v>January</v>
      </c>
      <c r="V168" s="9">
        <v>0</v>
      </c>
      <c r="W168" s="9">
        <v>0</v>
      </c>
      <c r="X168" s="9">
        <v>0</v>
      </c>
      <c r="Y168" s="9">
        <v>0</v>
      </c>
    </row>
    <row r="169" spans="1: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 t="str">
        <v>January</v>
      </c>
      <c r="V169" s="9">
        <v>0</v>
      </c>
      <c r="W169" s="9">
        <v>0</v>
      </c>
      <c r="X169" s="9">
        <v>0</v>
      </c>
      <c r="Y169" s="9">
        <v>0</v>
      </c>
    </row>
    <row r="170" spans="1: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 t="str">
        <v>January</v>
      </c>
      <c r="V170" s="9">
        <v>0</v>
      </c>
      <c r="W170" s="9">
        <v>0</v>
      </c>
      <c r="X170" s="9">
        <v>0</v>
      </c>
      <c r="Y170" s="9">
        <v>0</v>
      </c>
    </row>
    <row r="171" spans="1: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 t="str">
        <v>January</v>
      </c>
      <c r="V171" s="9">
        <v>0</v>
      </c>
      <c r="W171" s="9">
        <v>0</v>
      </c>
      <c r="X171" s="9">
        <v>0</v>
      </c>
      <c r="Y171" s="9">
        <v>0</v>
      </c>
    </row>
    <row r="172" spans="1: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 t="str">
        <v>January</v>
      </c>
      <c r="V172" s="9">
        <v>0</v>
      </c>
      <c r="W172" s="9">
        <v>0</v>
      </c>
      <c r="X172" s="9">
        <v>0</v>
      </c>
      <c r="Y172" s="9">
        <v>0</v>
      </c>
    </row>
    <row r="173" spans="1: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 t="str">
        <v>January</v>
      </c>
      <c r="V173" s="9">
        <v>0</v>
      </c>
      <c r="W173" s="9">
        <v>0</v>
      </c>
      <c r="X173" s="9">
        <v>0</v>
      </c>
      <c r="Y173" s="9">
        <v>0</v>
      </c>
    </row>
    <row r="174" spans="1: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 t="str">
        <v>January</v>
      </c>
      <c r="V174" s="9">
        <v>0</v>
      </c>
      <c r="W174" s="9">
        <v>0</v>
      </c>
      <c r="X174" s="9">
        <v>0</v>
      </c>
      <c r="Y174" s="9">
        <v>0</v>
      </c>
    </row>
    <row r="175" spans="1: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 t="str">
        <v>January</v>
      </c>
      <c r="V175" s="9">
        <v>0</v>
      </c>
      <c r="W175" s="9">
        <v>0</v>
      </c>
      <c r="X175" s="9">
        <v>0</v>
      </c>
      <c r="Y175" s="9">
        <v>0</v>
      </c>
    </row>
    <row r="176" spans="1: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 t="str">
        <v>January</v>
      </c>
      <c r="V176" s="9">
        <v>0</v>
      </c>
      <c r="W176" s="9">
        <v>0</v>
      </c>
      <c r="X176" s="9">
        <v>0</v>
      </c>
      <c r="Y176" s="9">
        <v>0</v>
      </c>
    </row>
    <row r="177" spans="1: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 t="str">
        <v>January</v>
      </c>
      <c r="V177" s="9">
        <v>0</v>
      </c>
      <c r="W177" s="9">
        <v>0</v>
      </c>
      <c r="X177" s="9">
        <v>0</v>
      </c>
      <c r="Y177" s="9">
        <v>0</v>
      </c>
    </row>
    <row r="178" spans="1: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 t="str">
        <v>January</v>
      </c>
      <c r="V178" s="9">
        <v>0</v>
      </c>
      <c r="W178" s="9">
        <v>0</v>
      </c>
      <c r="X178" s="9">
        <v>0</v>
      </c>
      <c r="Y178" s="9">
        <v>0</v>
      </c>
    </row>
    <row r="179" spans="1: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 t="str">
        <v>January</v>
      </c>
      <c r="V179" s="9">
        <v>0</v>
      </c>
      <c r="W179" s="9">
        <v>0</v>
      </c>
      <c r="X179" s="9">
        <v>0</v>
      </c>
      <c r="Y179" s="9">
        <v>0</v>
      </c>
    </row>
    <row r="180" spans="1: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 t="str">
        <v>January</v>
      </c>
      <c r="V180" s="9">
        <v>0</v>
      </c>
      <c r="W180" s="9">
        <v>0</v>
      </c>
      <c r="X180" s="9">
        <v>0</v>
      </c>
      <c r="Y180" s="9">
        <v>0</v>
      </c>
    </row>
    <row r="181" spans="1: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 t="str">
        <v>January</v>
      </c>
      <c r="V181" s="9">
        <v>0</v>
      </c>
      <c r="W181" s="9">
        <v>0</v>
      </c>
      <c r="X181" s="9">
        <v>0</v>
      </c>
      <c r="Y181" s="9">
        <v>0</v>
      </c>
    </row>
    <row r="182" spans="1: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 t="str">
        <v>January</v>
      </c>
      <c r="V182" s="9">
        <v>0</v>
      </c>
      <c r="W182" s="9">
        <v>0</v>
      </c>
      <c r="X182" s="9">
        <v>0</v>
      </c>
      <c r="Y182" s="9">
        <v>0</v>
      </c>
    </row>
    <row r="183" spans="1: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 t="str">
        <v>January</v>
      </c>
      <c r="V183" s="9">
        <v>0</v>
      </c>
      <c r="W183" s="9">
        <v>0</v>
      </c>
      <c r="X183" s="9">
        <v>0</v>
      </c>
      <c r="Y183" s="9">
        <v>0</v>
      </c>
    </row>
    <row r="184" spans="1: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 t="str">
        <v>January</v>
      </c>
      <c r="V184" s="9">
        <v>0</v>
      </c>
      <c r="W184" s="9">
        <v>0</v>
      </c>
      <c r="X184" s="9">
        <v>0</v>
      </c>
      <c r="Y184" s="9">
        <v>0</v>
      </c>
    </row>
    <row r="185" spans="1: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 t="str">
        <v>January</v>
      </c>
      <c r="V185" s="9">
        <v>0</v>
      </c>
      <c r="W185" s="9">
        <v>0</v>
      </c>
      <c r="X185" s="9">
        <v>0</v>
      </c>
      <c r="Y185" s="9">
        <v>0</v>
      </c>
    </row>
    <row r="186" spans="1: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 t="str">
        <v>January</v>
      </c>
      <c r="V186" s="9">
        <v>0</v>
      </c>
      <c r="W186" s="9">
        <v>0</v>
      </c>
      <c r="X186" s="9">
        <v>0</v>
      </c>
      <c r="Y186" s="9">
        <v>0</v>
      </c>
    </row>
    <row r="187" spans="1: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 t="str">
        <v>January</v>
      </c>
      <c r="V187" s="9">
        <v>0</v>
      </c>
      <c r="W187" s="9">
        <v>0</v>
      </c>
      <c r="X187" s="9">
        <v>0</v>
      </c>
      <c r="Y187" s="9">
        <v>0</v>
      </c>
    </row>
    <row r="188" spans="1: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 t="str">
        <v>January</v>
      </c>
      <c r="V188" s="9">
        <v>0</v>
      </c>
      <c r="W188" s="9">
        <v>0</v>
      </c>
      <c r="X188" s="9">
        <v>0</v>
      </c>
      <c r="Y188" s="9">
        <v>0</v>
      </c>
    </row>
    <row r="189" spans="1: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 t="str">
        <v>January</v>
      </c>
      <c r="V189" s="9">
        <v>0</v>
      </c>
      <c r="W189" s="9">
        <v>0</v>
      </c>
      <c r="X189" s="9">
        <v>0</v>
      </c>
      <c r="Y189" s="9">
        <v>0</v>
      </c>
    </row>
    <row r="190" spans="1: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 t="str">
        <v>January</v>
      </c>
      <c r="V190" s="9">
        <v>0</v>
      </c>
      <c r="W190" s="9">
        <v>0</v>
      </c>
      <c r="X190" s="9">
        <v>0</v>
      </c>
      <c r="Y190" s="9">
        <v>0</v>
      </c>
    </row>
    <row r="191" spans="1: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 t="str">
        <v>January</v>
      </c>
      <c r="V191" s="9">
        <v>0</v>
      </c>
      <c r="W191" s="9">
        <v>0</v>
      </c>
      <c r="X191" s="9">
        <v>0</v>
      </c>
      <c r="Y191" s="9">
        <v>0</v>
      </c>
    </row>
    <row r="192" spans="1: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 t="str">
        <v>January</v>
      </c>
      <c r="V192" s="9">
        <v>0</v>
      </c>
      <c r="W192" s="9">
        <v>0</v>
      </c>
      <c r="X192" s="9">
        <v>0</v>
      </c>
      <c r="Y192" s="9">
        <v>0</v>
      </c>
    </row>
    <row r="193" spans="1: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 t="str">
        <v>January</v>
      </c>
      <c r="V193" s="9">
        <v>0</v>
      </c>
      <c r="W193" s="9">
        <v>0</v>
      </c>
      <c r="X193" s="9">
        <v>0</v>
      </c>
      <c r="Y193" s="9">
        <v>0</v>
      </c>
    </row>
    <row r="194" spans="1: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 t="str">
        <v>January</v>
      </c>
      <c r="V194" s="9">
        <v>0</v>
      </c>
      <c r="W194" s="9">
        <v>0</v>
      </c>
      <c r="X194" s="9">
        <v>0</v>
      </c>
      <c r="Y194" s="9">
        <v>0</v>
      </c>
    </row>
    <row r="195" spans="1: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 t="str">
        <v>January</v>
      </c>
      <c r="V195" s="9">
        <v>0</v>
      </c>
      <c r="W195" s="9">
        <v>0</v>
      </c>
      <c r="X195" s="9">
        <v>0</v>
      </c>
      <c r="Y195" s="9">
        <v>0</v>
      </c>
    </row>
    <row r="196" spans="1: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 t="str">
        <v>January</v>
      </c>
      <c r="V196" s="9">
        <v>0</v>
      </c>
      <c r="W196" s="9">
        <v>0</v>
      </c>
      <c r="X196" s="9">
        <v>0</v>
      </c>
      <c r="Y196" s="9">
        <v>0</v>
      </c>
    </row>
    <row r="197" spans="1: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 t="str">
        <v>January</v>
      </c>
      <c r="V197" s="9">
        <v>0</v>
      </c>
      <c r="W197" s="9">
        <v>0</v>
      </c>
      <c r="X197" s="9">
        <v>0</v>
      </c>
      <c r="Y197" s="9">
        <v>0</v>
      </c>
    </row>
    <row r="198" spans="1: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 t="str">
        <v>January</v>
      </c>
      <c r="V198" s="9">
        <v>0</v>
      </c>
      <c r="W198" s="9">
        <v>0</v>
      </c>
      <c r="X198" s="9">
        <v>0</v>
      </c>
      <c r="Y198" s="9">
        <v>0</v>
      </c>
    </row>
    <row r="199" spans="1: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 t="str">
        <v>January</v>
      </c>
      <c r="V199" s="9">
        <v>0</v>
      </c>
      <c r="W199" s="9">
        <v>0</v>
      </c>
      <c r="X199" s="9">
        <v>0</v>
      </c>
      <c r="Y199" s="9">
        <v>0</v>
      </c>
    </row>
    <row r="200" spans="1: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 t="str">
        <v>January</v>
      </c>
      <c r="V200" s="9">
        <v>0</v>
      </c>
      <c r="W200" s="9">
        <v>0</v>
      </c>
      <c r="X200" s="9">
        <v>0</v>
      </c>
      <c r="Y200" s="9">
        <v>0</v>
      </c>
    </row>
    <row r="201" spans="1: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 t="str">
        <v>January</v>
      </c>
      <c r="V201" s="9">
        <v>0</v>
      </c>
      <c r="W201" s="9">
        <v>0</v>
      </c>
      <c r="X201" s="9">
        <v>0</v>
      </c>
      <c r="Y201" s="9">
        <v>0</v>
      </c>
    </row>
    <row r="202" spans="1: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 t="str">
        <v>January</v>
      </c>
      <c r="V202" s="9">
        <v>0</v>
      </c>
      <c r="W202" s="9">
        <v>0</v>
      </c>
      <c r="X202" s="9">
        <v>0</v>
      </c>
      <c r="Y202" s="9">
        <v>0</v>
      </c>
    </row>
    <row r="203" spans="1: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 t="str">
        <v>January</v>
      </c>
      <c r="V203" s="9">
        <v>0</v>
      </c>
      <c r="W203" s="9">
        <v>0</v>
      </c>
      <c r="X203" s="9">
        <v>0</v>
      </c>
      <c r="Y203" s="9">
        <v>0</v>
      </c>
    </row>
    <row r="204" spans="1: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 t="str">
        <v>January</v>
      </c>
      <c r="V204" s="9">
        <v>0</v>
      </c>
      <c r="W204" s="9">
        <v>0</v>
      </c>
      <c r="X204" s="9">
        <v>0</v>
      </c>
      <c r="Y204" s="9">
        <v>0</v>
      </c>
    </row>
    <row r="205" spans="1: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 t="str">
        <v>January</v>
      </c>
      <c r="V205" s="9">
        <v>0</v>
      </c>
      <c r="W205" s="9">
        <v>0</v>
      </c>
      <c r="X205" s="9">
        <v>0</v>
      </c>
      <c r="Y205" s="9">
        <v>0</v>
      </c>
    </row>
    <row r="206" spans="1: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 t="str">
        <v>January</v>
      </c>
      <c r="V206" s="9">
        <v>0</v>
      </c>
      <c r="W206" s="9">
        <v>0</v>
      </c>
      <c r="X206" s="9">
        <v>0</v>
      </c>
      <c r="Y206" s="9">
        <v>0</v>
      </c>
    </row>
    <row r="207" spans="1: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 t="str">
        <v>January</v>
      </c>
      <c r="V207" s="9">
        <v>0</v>
      </c>
      <c r="W207" s="9">
        <v>0</v>
      </c>
      <c r="X207" s="9">
        <v>0</v>
      </c>
      <c r="Y207" s="9">
        <v>0</v>
      </c>
    </row>
    <row r="208" spans="1: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 t="str">
        <v>January</v>
      </c>
      <c r="V208" s="9">
        <v>0</v>
      </c>
      <c r="W208" s="9">
        <v>0</v>
      </c>
      <c r="X208" s="9">
        <v>0</v>
      </c>
      <c r="Y208" s="9">
        <v>0</v>
      </c>
    </row>
    <row r="209" spans="1: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 t="str">
        <v>January</v>
      </c>
      <c r="V209" s="9">
        <v>0</v>
      </c>
      <c r="W209" s="9">
        <v>0</v>
      </c>
      <c r="X209" s="9">
        <v>0</v>
      </c>
      <c r="Y209" s="9">
        <v>0</v>
      </c>
    </row>
    <row r="210" spans="1: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 t="str">
        <v>January</v>
      </c>
      <c r="V210" s="9">
        <v>0</v>
      </c>
      <c r="W210" s="9">
        <v>0</v>
      </c>
      <c r="X210" s="9">
        <v>0</v>
      </c>
      <c r="Y210" s="9">
        <v>0</v>
      </c>
    </row>
    <row r="211" spans="1: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 t="str">
        <v>January</v>
      </c>
      <c r="V211" s="9">
        <v>0</v>
      </c>
      <c r="W211" s="9">
        <v>0</v>
      </c>
      <c r="X211" s="9">
        <v>0</v>
      </c>
      <c r="Y211" s="9">
        <v>0</v>
      </c>
    </row>
    <row r="212" spans="1: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 t="str">
        <v>January</v>
      </c>
      <c r="V212" s="9">
        <v>0</v>
      </c>
      <c r="W212" s="9">
        <v>0</v>
      </c>
      <c r="X212" s="9">
        <v>0</v>
      </c>
      <c r="Y212" s="9">
        <v>0</v>
      </c>
    </row>
    <row r="213" spans="1: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 t="str">
        <v>January</v>
      </c>
      <c r="V213" s="9">
        <v>0</v>
      </c>
      <c r="W213" s="9">
        <v>0</v>
      </c>
      <c r="X213" s="9">
        <v>0</v>
      </c>
      <c r="Y213" s="9">
        <v>0</v>
      </c>
    </row>
    <row r="214" spans="1: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 t="str">
        <v>January</v>
      </c>
      <c r="V214" s="9">
        <v>0</v>
      </c>
      <c r="W214" s="9">
        <v>0</v>
      </c>
      <c r="X214" s="9">
        <v>0</v>
      </c>
      <c r="Y214" s="9">
        <v>0</v>
      </c>
    </row>
    <row r="215" spans="1: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 t="str">
        <v>January</v>
      </c>
      <c r="V215" s="9">
        <v>0</v>
      </c>
      <c r="W215" s="9">
        <v>0</v>
      </c>
      <c r="X215" s="9">
        <v>0</v>
      </c>
      <c r="Y215" s="9">
        <v>0</v>
      </c>
    </row>
    <row r="216" spans="1: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 t="str">
        <v>January</v>
      </c>
      <c r="V216" s="9">
        <v>0</v>
      </c>
      <c r="W216" s="9">
        <v>0</v>
      </c>
      <c r="X216" s="9">
        <v>0</v>
      </c>
      <c r="Y216" s="9">
        <v>0</v>
      </c>
    </row>
    <row r="217" spans="1: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 t="str">
        <v>January</v>
      </c>
      <c r="V217" s="9">
        <v>0</v>
      </c>
      <c r="W217" s="9">
        <v>0</v>
      </c>
      <c r="X217" s="9">
        <v>0</v>
      </c>
      <c r="Y217" s="9">
        <v>0</v>
      </c>
    </row>
    <row r="218" spans="1: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 t="str">
        <v>January</v>
      </c>
      <c r="V218" s="9">
        <v>0</v>
      </c>
      <c r="W218" s="9">
        <v>0</v>
      </c>
      <c r="X218" s="9">
        <v>0</v>
      </c>
      <c r="Y218" s="9">
        <v>0</v>
      </c>
    </row>
    <row r="219" spans="1: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 t="str">
        <v>January</v>
      </c>
      <c r="V219" s="9">
        <v>0</v>
      </c>
      <c r="W219" s="9">
        <v>0</v>
      </c>
      <c r="X219" s="9">
        <v>0</v>
      </c>
      <c r="Y219" s="9">
        <v>0</v>
      </c>
    </row>
    <row r="220" spans="1: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 t="str">
        <v>January</v>
      </c>
      <c r="V220" s="9">
        <v>0</v>
      </c>
      <c r="W220" s="9">
        <v>0</v>
      </c>
      <c r="X220" s="9">
        <v>0</v>
      </c>
      <c r="Y220" s="9">
        <v>0</v>
      </c>
    </row>
    <row r="221" spans="1: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 t="str">
        <v>January</v>
      </c>
      <c r="V221" s="9">
        <v>0</v>
      </c>
      <c r="W221" s="9">
        <v>0</v>
      </c>
      <c r="X221" s="9">
        <v>0</v>
      </c>
      <c r="Y221" s="9">
        <v>0</v>
      </c>
    </row>
    <row r="222" spans="1: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 t="str">
        <v>January</v>
      </c>
      <c r="V222" s="9">
        <v>0</v>
      </c>
      <c r="W222" s="9">
        <v>0</v>
      </c>
      <c r="X222" s="9">
        <v>0</v>
      </c>
      <c r="Y222" s="9">
        <v>0</v>
      </c>
    </row>
    <row r="223" spans="1: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 t="str">
        <v>January</v>
      </c>
      <c r="V223" s="9">
        <v>0</v>
      </c>
      <c r="W223" s="9">
        <v>0</v>
      </c>
      <c r="X223" s="9">
        <v>0</v>
      </c>
      <c r="Y223" s="9">
        <v>0</v>
      </c>
    </row>
    <row r="224" spans="1: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 t="str">
        <v>January</v>
      </c>
      <c r="V224" s="9">
        <v>0</v>
      </c>
      <c r="W224" s="9">
        <v>0</v>
      </c>
      <c r="X224" s="9">
        <v>0</v>
      </c>
      <c r="Y224" s="9">
        <v>0</v>
      </c>
    </row>
    <row r="225" spans="1: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 t="str">
        <v>January</v>
      </c>
      <c r="V225" s="9">
        <v>0</v>
      </c>
      <c r="W225" s="9">
        <v>0</v>
      </c>
      <c r="X225" s="9">
        <v>0</v>
      </c>
      <c r="Y225" s="9">
        <v>0</v>
      </c>
    </row>
    <row r="226" spans="1: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 t="str">
        <v>January</v>
      </c>
      <c r="V226" s="9">
        <v>0</v>
      </c>
      <c r="W226" s="9">
        <v>0</v>
      </c>
      <c r="X226" s="9">
        <v>0</v>
      </c>
      <c r="Y226" s="9">
        <v>0</v>
      </c>
    </row>
    <row r="227" spans="1: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 t="str">
        <v>January</v>
      </c>
      <c r="V227" s="9">
        <v>0</v>
      </c>
      <c r="W227" s="9">
        <v>0</v>
      </c>
      <c r="X227" s="9">
        <v>0</v>
      </c>
      <c r="Y227" s="9">
        <v>0</v>
      </c>
    </row>
    <row r="228" spans="1: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 t="str">
        <v>January</v>
      </c>
      <c r="V228" s="9">
        <v>0</v>
      </c>
      <c r="W228" s="9">
        <v>0</v>
      </c>
      <c r="X228" s="9">
        <v>0</v>
      </c>
      <c r="Y228" s="9">
        <v>0</v>
      </c>
    </row>
    <row r="229" spans="1: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 t="str">
        <v>January</v>
      </c>
      <c r="V229" s="9">
        <v>0</v>
      </c>
      <c r="W229" s="9">
        <v>0</v>
      </c>
      <c r="X229" s="9">
        <v>0</v>
      </c>
      <c r="Y229" s="9">
        <v>0</v>
      </c>
    </row>
    <row r="230" spans="1: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 t="str">
        <v>January</v>
      </c>
      <c r="V230" s="9">
        <v>0</v>
      </c>
      <c r="W230" s="9">
        <v>0</v>
      </c>
      <c r="X230" s="9">
        <v>0</v>
      </c>
      <c r="Y230" s="9">
        <v>0</v>
      </c>
    </row>
    <row r="231" spans="1: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 t="str">
        <v>January</v>
      </c>
      <c r="V231" s="9">
        <v>0</v>
      </c>
      <c r="W231" s="9">
        <v>0</v>
      </c>
      <c r="X231" s="9">
        <v>0</v>
      </c>
      <c r="Y231" s="9">
        <v>0</v>
      </c>
    </row>
    <row r="232" spans="1: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 t="str">
        <v>January</v>
      </c>
      <c r="V232" s="9">
        <v>0</v>
      </c>
      <c r="W232" s="9">
        <v>0</v>
      </c>
      <c r="X232" s="9">
        <v>0</v>
      </c>
      <c r="Y232" s="9">
        <v>0</v>
      </c>
    </row>
    <row r="233" spans="1: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 t="str">
        <v>January</v>
      </c>
      <c r="V233" s="9">
        <v>0</v>
      </c>
      <c r="W233" s="9">
        <v>0</v>
      </c>
      <c r="X233" s="9">
        <v>0</v>
      </c>
      <c r="Y233" s="9">
        <v>0</v>
      </c>
    </row>
    <row r="234" spans="1: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 t="str">
        <v>January</v>
      </c>
      <c r="V234" s="9">
        <v>0</v>
      </c>
      <c r="W234" s="9">
        <v>0</v>
      </c>
      <c r="X234" s="9">
        <v>0</v>
      </c>
      <c r="Y234" s="9">
        <v>0</v>
      </c>
    </row>
    <row r="235" spans="1: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 t="str">
        <v>January</v>
      </c>
      <c r="V235" s="9">
        <v>0</v>
      </c>
      <c r="W235" s="9">
        <v>0</v>
      </c>
      <c r="X235" s="9">
        <v>0</v>
      </c>
      <c r="Y235" s="9">
        <v>0</v>
      </c>
    </row>
    <row r="236" spans="1: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 t="str">
        <v>January</v>
      </c>
      <c r="V236" s="9">
        <v>0</v>
      </c>
      <c r="W236" s="9">
        <v>0</v>
      </c>
      <c r="X236" s="9">
        <v>0</v>
      </c>
      <c r="Y236" s="9">
        <v>0</v>
      </c>
    </row>
    <row r="237" spans="1: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 t="str">
        <v>January</v>
      </c>
      <c r="V237" s="9">
        <v>0</v>
      </c>
      <c r="W237" s="9">
        <v>0</v>
      </c>
      <c r="X237" s="9">
        <v>0</v>
      </c>
      <c r="Y237" s="9">
        <v>0</v>
      </c>
    </row>
    <row r="238" spans="1: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 t="str">
        <v>January</v>
      </c>
      <c r="V238" s="9">
        <v>0</v>
      </c>
      <c r="W238" s="9">
        <v>0</v>
      </c>
      <c r="X238" s="9">
        <v>0</v>
      </c>
      <c r="Y238" s="9">
        <v>0</v>
      </c>
    </row>
    <row r="239" spans="1: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 t="str">
        <v>January</v>
      </c>
      <c r="V239" s="9">
        <v>0</v>
      </c>
      <c r="W239" s="9">
        <v>0</v>
      </c>
      <c r="X239" s="9">
        <v>0</v>
      </c>
      <c r="Y239" s="9">
        <v>0</v>
      </c>
    </row>
    <row r="240" spans="1: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 t="str">
        <v>January</v>
      </c>
      <c r="V240" s="9">
        <v>0</v>
      </c>
      <c r="W240" s="9">
        <v>0</v>
      </c>
      <c r="X240" s="9">
        <v>0</v>
      </c>
      <c r="Y240" s="9">
        <v>0</v>
      </c>
    </row>
    <row r="241" spans="1: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 t="str">
        <v>January</v>
      </c>
      <c r="V241" s="9">
        <v>0</v>
      </c>
      <c r="W241" s="9">
        <v>0</v>
      </c>
      <c r="X241" s="9">
        <v>0</v>
      </c>
      <c r="Y241" s="9">
        <v>0</v>
      </c>
    </row>
    <row r="242" spans="1: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 t="str">
        <v>January</v>
      </c>
      <c r="V242" s="9">
        <v>0</v>
      </c>
      <c r="W242" s="9">
        <v>0</v>
      </c>
      <c r="X242" s="9">
        <v>0</v>
      </c>
      <c r="Y242" s="9">
        <v>0</v>
      </c>
    </row>
    <row r="243" spans="1: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 t="str">
        <v>January</v>
      </c>
      <c r="V243" s="9">
        <v>0</v>
      </c>
      <c r="W243" s="9">
        <v>0</v>
      </c>
      <c r="X243" s="9">
        <v>0</v>
      </c>
      <c r="Y243" s="9">
        <v>0</v>
      </c>
    </row>
    <row r="244" spans="1: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 t="str">
        <v>January</v>
      </c>
      <c r="V244" s="9">
        <v>0</v>
      </c>
      <c r="W244" s="9">
        <v>0</v>
      </c>
      <c r="X244" s="9">
        <v>0</v>
      </c>
      <c r="Y244" s="9">
        <v>0</v>
      </c>
    </row>
    <row r="245" spans="1: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 t="str">
        <v>January</v>
      </c>
      <c r="V245" s="9">
        <v>0</v>
      </c>
      <c r="W245" s="9">
        <v>0</v>
      </c>
      <c r="X245" s="9">
        <v>0</v>
      </c>
      <c r="Y245" s="9">
        <v>0</v>
      </c>
    </row>
    <row r="246" spans="1: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 t="str">
        <v>January</v>
      </c>
      <c r="V246" s="9">
        <v>0</v>
      </c>
      <c r="W246" s="9">
        <v>0</v>
      </c>
      <c r="X246" s="9">
        <v>0</v>
      </c>
      <c r="Y246" s="9">
        <v>0</v>
      </c>
    </row>
    <row r="247" spans="1: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 t="str">
        <v>January</v>
      </c>
      <c r="V247" s="9">
        <v>0</v>
      </c>
      <c r="W247" s="9">
        <v>0</v>
      </c>
      <c r="X247" s="9">
        <v>0</v>
      </c>
      <c r="Y247" s="9">
        <v>0</v>
      </c>
    </row>
    <row r="248" spans="1: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 t="str">
        <v>January</v>
      </c>
      <c r="V248" s="9">
        <v>0</v>
      </c>
      <c r="W248" s="9">
        <v>0</v>
      </c>
      <c r="X248" s="9">
        <v>0</v>
      </c>
      <c r="Y248" s="9">
        <v>0</v>
      </c>
    </row>
    <row r="249" spans="1: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 t="str">
        <v>January</v>
      </c>
      <c r="V249" s="9">
        <v>0</v>
      </c>
      <c r="W249" s="9">
        <v>0</v>
      </c>
      <c r="X249" s="9">
        <v>0</v>
      </c>
      <c r="Y249" s="9">
        <v>0</v>
      </c>
    </row>
    <row r="250" spans="1: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 t="str">
        <v>January</v>
      </c>
      <c r="V250" s="9">
        <v>0</v>
      </c>
      <c r="W250" s="9">
        <v>0</v>
      </c>
      <c r="X250" s="9">
        <v>0</v>
      </c>
      <c r="Y250" s="9">
        <v>0</v>
      </c>
    </row>
    <row r="251" spans="1: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 t="str">
        <v>January</v>
      </c>
      <c r="V251" s="9">
        <v>0</v>
      </c>
      <c r="W251" s="9">
        <v>0</v>
      </c>
      <c r="X251" s="9">
        <v>0</v>
      </c>
      <c r="Y251" s="9">
        <v>0</v>
      </c>
    </row>
    <row r="252" spans="1: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 t="str">
        <v>January</v>
      </c>
      <c r="V252" s="9">
        <v>0</v>
      </c>
      <c r="W252" s="9">
        <v>0</v>
      </c>
      <c r="X252" s="9">
        <v>0</v>
      </c>
      <c r="Y252" s="9">
        <v>0</v>
      </c>
    </row>
    <row r="253" spans="1: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 t="str">
        <v>January</v>
      </c>
      <c r="V253" s="9">
        <v>0</v>
      </c>
      <c r="W253" s="9">
        <v>0</v>
      </c>
      <c r="X253" s="9">
        <v>0</v>
      </c>
      <c r="Y253" s="9">
        <v>0</v>
      </c>
    </row>
    <row r="254" spans="1: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 t="str">
        <v>January</v>
      </c>
      <c r="V254" s="9">
        <v>0</v>
      </c>
      <c r="W254" s="9">
        <v>0</v>
      </c>
      <c r="X254" s="9">
        <v>0</v>
      </c>
      <c r="Y254" s="9">
        <v>0</v>
      </c>
    </row>
    <row r="255" spans="1: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 t="str">
        <v>January</v>
      </c>
      <c r="V255" s="9">
        <v>0</v>
      </c>
      <c r="W255" s="9">
        <v>0</v>
      </c>
      <c r="X255" s="9">
        <v>0</v>
      </c>
      <c r="Y255" s="9">
        <v>0</v>
      </c>
    </row>
    <row r="256" spans="1: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 t="str">
        <v>January</v>
      </c>
      <c r="V256" s="9">
        <v>0</v>
      </c>
      <c r="W256" s="9">
        <v>0</v>
      </c>
      <c r="X256" s="9">
        <v>0</v>
      </c>
      <c r="Y256" s="9">
        <v>0</v>
      </c>
    </row>
    <row r="257" spans="1: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 t="str">
        <v>January</v>
      </c>
      <c r="V257" s="9">
        <v>0</v>
      </c>
      <c r="W257" s="9">
        <v>0</v>
      </c>
      <c r="X257" s="9">
        <v>0</v>
      </c>
      <c r="Y257" s="9">
        <v>0</v>
      </c>
    </row>
    <row r="258" spans="1: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 t="str">
        <v>January</v>
      </c>
      <c r="V258" s="9">
        <v>0</v>
      </c>
      <c r="W258" s="9">
        <v>0</v>
      </c>
      <c r="X258" s="9">
        <v>0</v>
      </c>
      <c r="Y258" s="9">
        <v>0</v>
      </c>
    </row>
    <row r="259" spans="1: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 t="str">
        <v>January</v>
      </c>
      <c r="V259" s="9">
        <v>0</v>
      </c>
      <c r="W259" s="9">
        <v>0</v>
      </c>
      <c r="X259" s="9">
        <v>0</v>
      </c>
      <c r="Y259" s="9">
        <v>0</v>
      </c>
    </row>
    <row r="260" spans="1: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 t="str">
        <v>January</v>
      </c>
      <c r="V260" s="9">
        <v>0</v>
      </c>
      <c r="W260" s="9">
        <v>0</v>
      </c>
      <c r="X260" s="9">
        <v>0</v>
      </c>
      <c r="Y260" s="9">
        <v>0</v>
      </c>
    </row>
    <row r="261" spans="1: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 t="str">
        <v>January</v>
      </c>
      <c r="V261" s="9">
        <v>0</v>
      </c>
      <c r="W261" s="9">
        <v>0</v>
      </c>
      <c r="X261" s="9">
        <v>0</v>
      </c>
      <c r="Y261" s="9">
        <v>0</v>
      </c>
    </row>
    <row r="262" spans="1: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 t="str">
        <v>January</v>
      </c>
      <c r="V262" s="9">
        <v>0</v>
      </c>
      <c r="W262" s="9">
        <v>0</v>
      </c>
      <c r="X262" s="9">
        <v>0</v>
      </c>
      <c r="Y262" s="9">
        <v>0</v>
      </c>
    </row>
    <row r="263" spans="1: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 t="str">
        <v>January</v>
      </c>
      <c r="V263" s="9">
        <v>0</v>
      </c>
      <c r="W263" s="9">
        <v>0</v>
      </c>
      <c r="X263" s="9">
        <v>0</v>
      </c>
      <c r="Y263" s="9">
        <v>0</v>
      </c>
    </row>
    <row r="264" spans="1: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 t="str">
        <v>January</v>
      </c>
      <c r="V264" s="9">
        <v>0</v>
      </c>
      <c r="W264" s="9">
        <v>0</v>
      </c>
      <c r="X264" s="9">
        <v>0</v>
      </c>
      <c r="Y264" s="9">
        <v>0</v>
      </c>
    </row>
    <row r="265" spans="1: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 t="str">
        <v>January</v>
      </c>
      <c r="V265" s="9">
        <v>0</v>
      </c>
      <c r="W265" s="9">
        <v>0</v>
      </c>
      <c r="X265" s="9">
        <v>0</v>
      </c>
      <c r="Y265" s="9">
        <v>0</v>
      </c>
    </row>
    <row r="266" spans="1: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 t="str">
        <v>January</v>
      </c>
      <c r="V266" s="9">
        <v>0</v>
      </c>
      <c r="W266" s="9">
        <v>0</v>
      </c>
      <c r="X266" s="9">
        <v>0</v>
      </c>
      <c r="Y266" s="9">
        <v>0</v>
      </c>
    </row>
    <row r="267" spans="1: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 t="str">
        <v>January</v>
      </c>
      <c r="V267" s="9">
        <v>0</v>
      </c>
      <c r="W267" s="9">
        <v>0</v>
      </c>
      <c r="X267" s="9">
        <v>0</v>
      </c>
      <c r="Y267" s="9">
        <v>0</v>
      </c>
    </row>
    <row r="268" spans="1: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 t="str">
        <v>January</v>
      </c>
      <c r="V268" s="9">
        <v>0</v>
      </c>
      <c r="W268" s="9">
        <v>0</v>
      </c>
      <c r="X268" s="9">
        <v>0</v>
      </c>
      <c r="Y268" s="9">
        <v>0</v>
      </c>
    </row>
    <row r="269" spans="1: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 t="str">
        <v>January</v>
      </c>
      <c r="V269" s="9">
        <v>0</v>
      </c>
      <c r="W269" s="9">
        <v>0</v>
      </c>
      <c r="X269" s="9">
        <v>0</v>
      </c>
      <c r="Y269" s="9">
        <v>0</v>
      </c>
    </row>
    <row r="270" spans="1: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 t="str">
        <v>January</v>
      </c>
      <c r="V270" s="9">
        <v>0</v>
      </c>
      <c r="W270" s="9">
        <v>0</v>
      </c>
      <c r="X270" s="9">
        <v>0</v>
      </c>
      <c r="Y270" s="9">
        <v>0</v>
      </c>
    </row>
    <row r="271" spans="1: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 t="str">
        <v>January</v>
      </c>
      <c r="V271" s="9">
        <v>0</v>
      </c>
      <c r="W271" s="9">
        <v>0</v>
      </c>
      <c r="X271" s="9">
        <v>0</v>
      </c>
      <c r="Y271" s="9">
        <v>0</v>
      </c>
    </row>
    <row r="272" spans="1: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 t="str">
        <v>January</v>
      </c>
      <c r="V272" s="9">
        <v>0</v>
      </c>
      <c r="W272" s="9">
        <v>0</v>
      </c>
      <c r="X272" s="9">
        <v>0</v>
      </c>
      <c r="Y272" s="9">
        <v>0</v>
      </c>
    </row>
    <row r="273" spans="1: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 t="str">
        <v>January</v>
      </c>
      <c r="V273" s="9">
        <v>0</v>
      </c>
      <c r="W273" s="9">
        <v>0</v>
      </c>
      <c r="X273" s="9">
        <v>0</v>
      </c>
      <c r="Y273" s="9">
        <v>0</v>
      </c>
    </row>
    <row r="274" spans="1: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 t="str">
        <v>January</v>
      </c>
      <c r="V274" s="9">
        <v>0</v>
      </c>
      <c r="W274" s="9">
        <v>0</v>
      </c>
      <c r="X274" s="9">
        <v>0</v>
      </c>
      <c r="Y274" s="9">
        <v>0</v>
      </c>
    </row>
    <row r="275" spans="1: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 t="str">
        <v>January</v>
      </c>
      <c r="V275" s="9">
        <v>0</v>
      </c>
      <c r="W275" s="9">
        <v>0</v>
      </c>
      <c r="X275" s="9">
        <v>0</v>
      </c>
      <c r="Y275" s="9">
        <v>0</v>
      </c>
    </row>
    <row r="276" spans="1: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 t="str">
        <v>January</v>
      </c>
      <c r="V276" s="9">
        <v>0</v>
      </c>
      <c r="W276" s="9">
        <v>0</v>
      </c>
      <c r="X276" s="9">
        <v>0</v>
      </c>
      <c r="Y276" s="9">
        <v>0</v>
      </c>
    </row>
    <row r="277" spans="1: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 t="str">
        <v>January</v>
      </c>
      <c r="V277" s="9">
        <v>0</v>
      </c>
      <c r="W277" s="9">
        <v>0</v>
      </c>
      <c r="X277" s="9">
        <v>0</v>
      </c>
      <c r="Y277" s="9">
        <v>0</v>
      </c>
    </row>
    <row r="278" spans="1: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 t="str">
        <v>January</v>
      </c>
      <c r="V278" s="9">
        <v>0</v>
      </c>
      <c r="W278" s="9">
        <v>0</v>
      </c>
      <c r="X278" s="9">
        <v>0</v>
      </c>
      <c r="Y278" s="9">
        <v>0</v>
      </c>
    </row>
    <row r="279" spans="1: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 t="str">
        <v>January</v>
      </c>
      <c r="V279" s="9">
        <v>0</v>
      </c>
      <c r="W279" s="9">
        <v>0</v>
      </c>
      <c r="X279" s="9">
        <v>0</v>
      </c>
      <c r="Y279" s="9">
        <v>0</v>
      </c>
    </row>
    <row r="280" spans="1: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 t="str">
        <v>January</v>
      </c>
      <c r="V280" s="9">
        <v>0</v>
      </c>
      <c r="W280" s="9">
        <v>0</v>
      </c>
      <c r="X280" s="9">
        <v>0</v>
      </c>
      <c r="Y280" s="9">
        <v>0</v>
      </c>
    </row>
    <row r="281" spans="1: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 t="str">
        <v>January</v>
      </c>
      <c r="V281" s="9">
        <v>0</v>
      </c>
      <c r="W281" s="9">
        <v>0</v>
      </c>
      <c r="X281" s="9">
        <v>0</v>
      </c>
      <c r="Y281" s="9">
        <v>0</v>
      </c>
    </row>
    <row r="282" spans="1: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 t="str">
        <v>January</v>
      </c>
      <c r="V282" s="9">
        <v>0</v>
      </c>
      <c r="W282" s="9">
        <v>0</v>
      </c>
      <c r="X282" s="9">
        <v>0</v>
      </c>
      <c r="Y282" s="9">
        <v>0</v>
      </c>
    </row>
    <row r="283" spans="1: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 t="str">
        <v>January</v>
      </c>
      <c r="V283" s="9">
        <v>0</v>
      </c>
      <c r="W283" s="9">
        <v>0</v>
      </c>
      <c r="X283" s="9">
        <v>0</v>
      </c>
      <c r="Y283" s="9">
        <v>0</v>
      </c>
    </row>
    <row r="284" spans="1: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 t="str">
        <v>January</v>
      </c>
      <c r="V284" s="9">
        <v>0</v>
      </c>
      <c r="W284" s="9">
        <v>0</v>
      </c>
      <c r="X284" s="9">
        <v>0</v>
      </c>
      <c r="Y284" s="9">
        <v>0</v>
      </c>
    </row>
    <row r="285" spans="1: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 t="str">
        <v>January</v>
      </c>
      <c r="V285" s="9">
        <v>0</v>
      </c>
      <c r="W285" s="9">
        <v>0</v>
      </c>
      <c r="X285" s="9">
        <v>0</v>
      </c>
      <c r="Y285" s="9">
        <v>0</v>
      </c>
    </row>
    <row r="286" spans="1: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 t="str">
        <v>January</v>
      </c>
      <c r="V286" s="9">
        <v>0</v>
      </c>
      <c r="W286" s="9">
        <v>0</v>
      </c>
      <c r="X286" s="9">
        <v>0</v>
      </c>
      <c r="Y286" s="9">
        <v>0</v>
      </c>
    </row>
    <row r="287" spans="1: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 t="str">
        <v>January</v>
      </c>
      <c r="V287" s="9">
        <v>0</v>
      </c>
      <c r="W287" s="9">
        <v>0</v>
      </c>
      <c r="X287" s="9">
        <v>0</v>
      </c>
      <c r="Y287" s="9">
        <v>0</v>
      </c>
    </row>
    <row r="288" spans="1: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 t="str">
        <v>January</v>
      </c>
      <c r="V288" s="9">
        <v>0</v>
      </c>
      <c r="W288" s="9">
        <v>0</v>
      </c>
      <c r="X288" s="9">
        <v>0</v>
      </c>
      <c r="Y288" s="9">
        <v>0</v>
      </c>
    </row>
    <row r="289" spans="1: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 t="str">
        <v>January</v>
      </c>
      <c r="V289" s="9">
        <v>0</v>
      </c>
      <c r="W289" s="9">
        <v>0</v>
      </c>
      <c r="X289" s="9">
        <v>0</v>
      </c>
      <c r="Y289" s="9">
        <v>0</v>
      </c>
    </row>
    <row r="290" spans="1: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 t="str">
        <v>January</v>
      </c>
      <c r="V290" s="9">
        <v>0</v>
      </c>
      <c r="W290" s="9">
        <v>0</v>
      </c>
      <c r="X290" s="9">
        <v>0</v>
      </c>
      <c r="Y290" s="9">
        <v>0</v>
      </c>
    </row>
    <row r="291" spans="1: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 t="str">
        <v>January</v>
      </c>
      <c r="V291" s="9">
        <v>0</v>
      </c>
      <c r="W291" s="9">
        <v>0</v>
      </c>
      <c r="X291" s="9">
        <v>0</v>
      </c>
      <c r="Y291" s="9">
        <v>0</v>
      </c>
    </row>
    <row r="292" spans="1: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 t="str">
        <v>January</v>
      </c>
      <c r="V292" s="9">
        <v>0</v>
      </c>
      <c r="W292" s="9">
        <v>0</v>
      </c>
      <c r="X292" s="9">
        <v>0</v>
      </c>
      <c r="Y292" s="9">
        <v>0</v>
      </c>
    </row>
    <row r="293" spans="1: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 t="str">
        <v>January</v>
      </c>
      <c r="V293" s="9">
        <v>0</v>
      </c>
      <c r="W293" s="9">
        <v>0</v>
      </c>
      <c r="X293" s="9">
        <v>0</v>
      </c>
      <c r="Y293" s="9">
        <v>0</v>
      </c>
    </row>
    <row r="294" spans="1: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 t="str">
        <v>January</v>
      </c>
      <c r="V294" s="9">
        <v>0</v>
      </c>
      <c r="W294" s="9">
        <v>0</v>
      </c>
      <c r="X294" s="9">
        <v>0</v>
      </c>
      <c r="Y294" s="9">
        <v>0</v>
      </c>
    </row>
    <row r="295" spans="1: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 t="str">
        <v>January</v>
      </c>
      <c r="V295" s="9">
        <v>0</v>
      </c>
      <c r="W295" s="9">
        <v>0</v>
      </c>
      <c r="X295" s="9">
        <v>0</v>
      </c>
      <c r="Y295" s="9">
        <v>0</v>
      </c>
    </row>
    <row r="296" spans="1: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 t="str">
        <v>January</v>
      </c>
      <c r="V296" s="9">
        <v>0</v>
      </c>
      <c r="W296" s="9">
        <v>0</v>
      </c>
      <c r="X296" s="9">
        <v>0</v>
      </c>
      <c r="Y296" s="9">
        <v>0</v>
      </c>
    </row>
    <row r="297" spans="1: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 t="str">
        <v>January</v>
      </c>
      <c r="V297" s="9">
        <v>0</v>
      </c>
      <c r="W297" s="9">
        <v>0</v>
      </c>
      <c r="X297" s="9">
        <v>0</v>
      </c>
      <c r="Y297" s="9">
        <v>0</v>
      </c>
    </row>
    <row r="298" spans="1: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 t="str">
        <v>January</v>
      </c>
      <c r="V298" s="9">
        <v>0</v>
      </c>
      <c r="W298" s="9">
        <v>0</v>
      </c>
      <c r="X298" s="9">
        <v>0</v>
      </c>
      <c r="Y298" s="9">
        <v>0</v>
      </c>
    </row>
    <row r="299" spans="1: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 t="str">
        <v>January</v>
      </c>
      <c r="V299" s="9">
        <v>0</v>
      </c>
      <c r="W299" s="9">
        <v>0</v>
      </c>
      <c r="X299" s="9">
        <v>0</v>
      </c>
      <c r="Y299" s="9">
        <v>0</v>
      </c>
    </row>
    <row r="300" spans="1: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 t="str">
        <v>January</v>
      </c>
      <c r="V300" s="9">
        <v>0</v>
      </c>
      <c r="W300" s="9">
        <v>0</v>
      </c>
      <c r="X300" s="9">
        <v>0</v>
      </c>
      <c r="Y300" s="9">
        <v>0</v>
      </c>
    </row>
    <row r="301" spans="1: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 t="str">
        <v>January</v>
      </c>
      <c r="V301" s="9">
        <v>0</v>
      </c>
      <c r="W301" s="9">
        <v>0</v>
      </c>
      <c r="X301" s="9">
        <v>0</v>
      </c>
      <c r="Y301" s="9">
        <v>0</v>
      </c>
    </row>
    <row r="302" spans="1: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 t="str">
        <v>January</v>
      </c>
      <c r="V302" s="9">
        <v>0</v>
      </c>
      <c r="W302" s="9">
        <v>0</v>
      </c>
      <c r="X302" s="9">
        <v>0</v>
      </c>
      <c r="Y302" s="9">
        <v>0</v>
      </c>
    </row>
    <row r="303" spans="1: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 t="str">
        <v>January</v>
      </c>
      <c r="V303" s="9">
        <v>0</v>
      </c>
      <c r="W303" s="9">
        <v>0</v>
      </c>
      <c r="X303" s="9">
        <v>0</v>
      </c>
      <c r="Y303" s="9">
        <v>0</v>
      </c>
    </row>
    <row r="304" spans="1: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 t="str">
        <v>January</v>
      </c>
      <c r="V304" s="9">
        <v>0</v>
      </c>
      <c r="W304" s="9">
        <v>0</v>
      </c>
      <c r="X304" s="9">
        <v>0</v>
      </c>
      <c r="Y304" s="9">
        <v>0</v>
      </c>
    </row>
    <row r="305" spans="1: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 t="str">
        <v>January</v>
      </c>
      <c r="V305" s="9">
        <v>0</v>
      </c>
      <c r="W305" s="9">
        <v>0</v>
      </c>
      <c r="X305" s="9">
        <v>0</v>
      </c>
      <c r="Y305" s="9">
        <v>0</v>
      </c>
    </row>
    <row r="306" spans="1: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 t="str">
        <v>January</v>
      </c>
      <c r="V306" s="9">
        <v>0</v>
      </c>
      <c r="W306" s="9">
        <v>0</v>
      </c>
      <c r="X306" s="9">
        <v>0</v>
      </c>
      <c r="Y306" s="9">
        <v>0</v>
      </c>
    </row>
    <row r="307" spans="1: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 t="str">
        <v>January</v>
      </c>
      <c r="V307" s="9">
        <v>0</v>
      </c>
      <c r="W307" s="9">
        <v>0</v>
      </c>
      <c r="X307" s="9">
        <v>0</v>
      </c>
      <c r="Y307" s="9">
        <v>0</v>
      </c>
    </row>
    <row r="308" spans="1: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 t="str">
        <v>January</v>
      </c>
      <c r="V308" s="9">
        <v>0</v>
      </c>
      <c r="W308" s="9">
        <v>0</v>
      </c>
      <c r="X308" s="9">
        <v>0</v>
      </c>
      <c r="Y308" s="9">
        <v>0</v>
      </c>
    </row>
    <row r="309" spans="1: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 t="str">
        <v>January</v>
      </c>
      <c r="V309" s="9">
        <v>0</v>
      </c>
      <c r="W309" s="9">
        <v>0</v>
      </c>
      <c r="X309" s="9">
        <v>0</v>
      </c>
      <c r="Y309" s="9">
        <v>0</v>
      </c>
    </row>
    <row r="310" spans="1: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 t="str">
        <v>January</v>
      </c>
      <c r="V310" s="9">
        <v>0</v>
      </c>
      <c r="W310" s="9">
        <v>0</v>
      </c>
      <c r="X310" s="9">
        <v>0</v>
      </c>
      <c r="Y310" s="9">
        <v>0</v>
      </c>
    </row>
    <row r="311" spans="1: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 t="str">
        <v>January</v>
      </c>
      <c r="V311" s="9">
        <v>0</v>
      </c>
      <c r="W311" s="9">
        <v>0</v>
      </c>
      <c r="X311" s="9">
        <v>0</v>
      </c>
      <c r="Y311" s="9">
        <v>0</v>
      </c>
    </row>
    <row r="312" spans="1: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 t="str">
        <v>January</v>
      </c>
      <c r="V312" s="9">
        <v>0</v>
      </c>
      <c r="W312" s="9">
        <v>0</v>
      </c>
      <c r="X312" s="9">
        <v>0</v>
      </c>
      <c r="Y312" s="9">
        <v>0</v>
      </c>
    </row>
    <row r="313" spans="1: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 t="str">
        <v>January</v>
      </c>
      <c r="V313" s="9">
        <v>0</v>
      </c>
      <c r="W313" s="9">
        <v>0</v>
      </c>
      <c r="X313" s="9">
        <v>0</v>
      </c>
      <c r="Y313" s="9">
        <v>0</v>
      </c>
    </row>
    <row r="314" spans="1: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 t="str">
        <v>January</v>
      </c>
      <c r="V314" s="9">
        <v>0</v>
      </c>
      <c r="W314" s="9">
        <v>0</v>
      </c>
      <c r="X314" s="9">
        <v>0</v>
      </c>
      <c r="Y314" s="9">
        <v>0</v>
      </c>
    </row>
    <row r="315" spans="1: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 t="str">
        <v>January</v>
      </c>
      <c r="V315" s="9">
        <v>0</v>
      </c>
      <c r="W315" s="9">
        <v>0</v>
      </c>
      <c r="X315" s="9">
        <v>0</v>
      </c>
      <c r="Y315" s="9">
        <v>0</v>
      </c>
    </row>
    <row r="316" spans="1: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 t="str">
        <v>January</v>
      </c>
      <c r="V316" s="9">
        <v>0</v>
      </c>
      <c r="W316" s="9">
        <v>0</v>
      </c>
      <c r="X316" s="9">
        <v>0</v>
      </c>
      <c r="Y316" s="9">
        <v>0</v>
      </c>
    </row>
    <row r="317" spans="1: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 t="str">
        <v>January</v>
      </c>
      <c r="V317" s="9">
        <v>0</v>
      </c>
      <c r="W317" s="9">
        <v>0</v>
      </c>
      <c r="X317" s="9">
        <v>0</v>
      </c>
      <c r="Y317" s="9">
        <v>0</v>
      </c>
    </row>
    <row r="318" spans="1: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 t="str">
        <v>January</v>
      </c>
      <c r="V318" s="9">
        <v>0</v>
      </c>
      <c r="W318" s="9">
        <v>0</v>
      </c>
      <c r="X318" s="9">
        <v>0</v>
      </c>
      <c r="Y318" s="9">
        <v>0</v>
      </c>
    </row>
    <row r="319" spans="1: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 t="str">
        <v>January</v>
      </c>
      <c r="V319" s="9">
        <v>0</v>
      </c>
      <c r="W319" s="9">
        <v>0</v>
      </c>
      <c r="X319" s="9">
        <v>0</v>
      </c>
      <c r="Y319" s="9">
        <v>0</v>
      </c>
    </row>
    <row r="320" spans="1: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 t="str">
        <v>January</v>
      </c>
      <c r="V320" s="9">
        <v>0</v>
      </c>
      <c r="W320" s="9">
        <v>0</v>
      </c>
      <c r="X320" s="9">
        <v>0</v>
      </c>
      <c r="Y320" s="9">
        <v>0</v>
      </c>
    </row>
    <row r="321" spans="1: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 t="str">
        <v>January</v>
      </c>
      <c r="V321" s="9">
        <v>0</v>
      </c>
      <c r="W321" s="9">
        <v>0</v>
      </c>
      <c r="X321" s="9">
        <v>0</v>
      </c>
      <c r="Y321" s="9">
        <v>0</v>
      </c>
    </row>
    <row r="322" spans="1: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 t="str">
        <v>January</v>
      </c>
      <c r="V322" s="9">
        <v>0</v>
      </c>
      <c r="W322" s="9">
        <v>0</v>
      </c>
      <c r="X322" s="9">
        <v>0</v>
      </c>
      <c r="Y322" s="9">
        <v>0</v>
      </c>
    </row>
    <row r="323" spans="1: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 t="str">
        <v>January</v>
      </c>
      <c r="V323" s="9">
        <v>0</v>
      </c>
      <c r="W323" s="9">
        <v>0</v>
      </c>
      <c r="X323" s="9">
        <v>0</v>
      </c>
      <c r="Y323" s="9">
        <v>0</v>
      </c>
    </row>
    <row r="324" spans="1: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 t="str">
        <v>January</v>
      </c>
      <c r="V324" s="9">
        <v>0</v>
      </c>
      <c r="W324" s="9">
        <v>0</v>
      </c>
      <c r="X324" s="9">
        <v>0</v>
      </c>
      <c r="Y324" s="9">
        <v>0</v>
      </c>
    </row>
    <row r="325" spans="1: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 t="str">
        <v>January</v>
      </c>
      <c r="V325" s="9">
        <v>0</v>
      </c>
      <c r="W325" s="9">
        <v>0</v>
      </c>
      <c r="X325" s="9">
        <v>0</v>
      </c>
      <c r="Y325" s="9">
        <v>0</v>
      </c>
    </row>
    <row r="326" spans="1: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 t="str">
        <v>January</v>
      </c>
      <c r="V326" s="9">
        <v>0</v>
      </c>
      <c r="W326" s="9">
        <v>0</v>
      </c>
      <c r="X326" s="9">
        <v>0</v>
      </c>
      <c r="Y326" s="9">
        <v>0</v>
      </c>
    </row>
    <row r="327" spans="1: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 t="str">
        <v>January</v>
      </c>
      <c r="V327" s="9">
        <v>0</v>
      </c>
      <c r="W327" s="9">
        <v>0</v>
      </c>
      <c r="X327" s="9">
        <v>0</v>
      </c>
      <c r="Y327" s="9">
        <v>0</v>
      </c>
    </row>
    <row r="328" spans="1: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 t="str">
        <v>January</v>
      </c>
      <c r="V328" s="9">
        <v>0</v>
      </c>
      <c r="W328" s="9">
        <v>0</v>
      </c>
      <c r="X328" s="9">
        <v>0</v>
      </c>
      <c r="Y328" s="9">
        <v>0</v>
      </c>
    </row>
    <row r="329" spans="1: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 t="str">
        <v>January</v>
      </c>
      <c r="V329" s="9">
        <v>0</v>
      </c>
      <c r="W329" s="9">
        <v>0</v>
      </c>
      <c r="X329" s="9">
        <v>0</v>
      </c>
      <c r="Y329" s="9">
        <v>0</v>
      </c>
    </row>
    <row r="330" spans="1: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 t="str">
        <v>January</v>
      </c>
      <c r="V330" s="9">
        <v>0</v>
      </c>
      <c r="W330" s="9">
        <v>0</v>
      </c>
      <c r="X330" s="9">
        <v>0</v>
      </c>
      <c r="Y330" s="9">
        <v>0</v>
      </c>
    </row>
    <row r="331" spans="1: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 t="str">
        <v>January</v>
      </c>
      <c r="V331" s="9">
        <v>0</v>
      </c>
      <c r="W331" s="9">
        <v>0</v>
      </c>
      <c r="X331" s="9">
        <v>0</v>
      </c>
      <c r="Y331" s="9">
        <v>0</v>
      </c>
    </row>
    <row r="332" spans="1: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 t="str">
        <v>January</v>
      </c>
      <c r="V332" s="9">
        <v>0</v>
      </c>
      <c r="W332" s="9">
        <v>0</v>
      </c>
      <c r="X332" s="9">
        <v>0</v>
      </c>
      <c r="Y332" s="9">
        <v>0</v>
      </c>
    </row>
    <row r="333" spans="1: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 t="str">
        <v>January</v>
      </c>
      <c r="V333" s="9">
        <v>0</v>
      </c>
      <c r="W333" s="9">
        <v>0</v>
      </c>
      <c r="X333" s="9">
        <v>0</v>
      </c>
      <c r="Y333" s="9">
        <v>0</v>
      </c>
    </row>
    <row r="334" spans="1: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 t="str">
        <v>January</v>
      </c>
      <c r="V334" s="9">
        <v>0</v>
      </c>
      <c r="W334" s="9">
        <v>0</v>
      </c>
      <c r="X334" s="9">
        <v>0</v>
      </c>
      <c r="Y334" s="9">
        <v>0</v>
      </c>
    </row>
    <row r="335" spans="1: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 t="str">
        <v>January</v>
      </c>
      <c r="V335" s="9">
        <v>0</v>
      </c>
      <c r="W335" s="9">
        <v>0</v>
      </c>
      <c r="X335" s="9">
        <v>0</v>
      </c>
      <c r="Y335" s="9">
        <v>0</v>
      </c>
    </row>
    <row r="336" spans="1: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 t="str">
        <v>January</v>
      </c>
      <c r="V336" s="9">
        <v>0</v>
      </c>
      <c r="W336" s="9">
        <v>0</v>
      </c>
      <c r="X336" s="9">
        <v>0</v>
      </c>
      <c r="Y336" s="9">
        <v>0</v>
      </c>
    </row>
    <row r="337" spans="1: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 t="str">
        <v>January</v>
      </c>
      <c r="V337" s="9">
        <v>0</v>
      </c>
      <c r="W337" s="9">
        <v>0</v>
      </c>
      <c r="X337" s="9">
        <v>0</v>
      </c>
      <c r="Y337" s="9">
        <v>0</v>
      </c>
    </row>
    <row r="338" spans="1: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 t="str">
        <v>January</v>
      </c>
      <c r="V338" s="9">
        <v>0</v>
      </c>
      <c r="W338" s="9">
        <v>0</v>
      </c>
      <c r="X338" s="9">
        <v>0</v>
      </c>
      <c r="Y338" s="9">
        <v>0</v>
      </c>
    </row>
    <row r="339" spans="1: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 t="str">
        <v>January</v>
      </c>
      <c r="V339" s="9">
        <v>0</v>
      </c>
      <c r="W339" s="9">
        <v>0</v>
      </c>
      <c r="X339" s="9">
        <v>0</v>
      </c>
      <c r="Y339" s="9">
        <v>0</v>
      </c>
    </row>
    <row r="340" spans="1: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 t="str">
        <v>January</v>
      </c>
      <c r="V340" s="9">
        <v>0</v>
      </c>
      <c r="W340" s="9">
        <v>0</v>
      </c>
      <c r="X340" s="9">
        <v>0</v>
      </c>
      <c r="Y340" s="9">
        <v>0</v>
      </c>
    </row>
    <row r="341" spans="1: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 t="str">
        <v>January</v>
      </c>
      <c r="V341" s="9">
        <v>0</v>
      </c>
      <c r="W341" s="9">
        <v>0</v>
      </c>
      <c r="X341" s="9">
        <v>0</v>
      </c>
      <c r="Y341" s="9">
        <v>0</v>
      </c>
    </row>
    <row r="342" spans="1: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 t="str">
        <v>January</v>
      </c>
      <c r="V342" s="9">
        <v>0</v>
      </c>
      <c r="W342" s="9">
        <v>0</v>
      </c>
      <c r="X342" s="9">
        <v>0</v>
      </c>
      <c r="Y342" s="9">
        <v>0</v>
      </c>
    </row>
    <row r="343" spans="1: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 t="str">
        <v>January</v>
      </c>
      <c r="V343" s="9">
        <v>0</v>
      </c>
      <c r="W343" s="9">
        <v>0</v>
      </c>
      <c r="X343" s="9">
        <v>0</v>
      </c>
      <c r="Y343" s="9">
        <v>0</v>
      </c>
    </row>
    <row r="344" spans="1: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 t="str">
        <v>January</v>
      </c>
      <c r="V344" s="9">
        <v>0</v>
      </c>
      <c r="W344" s="9">
        <v>0</v>
      </c>
      <c r="X344" s="9">
        <v>0</v>
      </c>
      <c r="Y344" s="9">
        <v>0</v>
      </c>
    </row>
    <row r="345" spans="1: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 t="str">
        <v>January</v>
      </c>
      <c r="V345" s="9">
        <v>0</v>
      </c>
      <c r="W345" s="9">
        <v>0</v>
      </c>
      <c r="X345" s="9">
        <v>0</v>
      </c>
      <c r="Y345" s="9">
        <v>0</v>
      </c>
    </row>
    <row r="346" spans="1: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 t="str">
        <v>January</v>
      </c>
      <c r="V346" s="9">
        <v>0</v>
      </c>
      <c r="W346" s="9">
        <v>0</v>
      </c>
      <c r="X346" s="9">
        <v>0</v>
      </c>
      <c r="Y346" s="9">
        <v>0</v>
      </c>
    </row>
    <row r="347" spans="1: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 t="str">
        <v>January</v>
      </c>
      <c r="V347" s="9">
        <v>0</v>
      </c>
      <c r="W347" s="9">
        <v>0</v>
      </c>
      <c r="X347" s="9">
        <v>0</v>
      </c>
      <c r="Y347" s="9">
        <v>0</v>
      </c>
    </row>
    <row r="348" spans="1: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 t="str">
        <v>January</v>
      </c>
      <c r="V348" s="9">
        <v>0</v>
      </c>
      <c r="W348" s="9">
        <v>0</v>
      </c>
      <c r="X348" s="9">
        <v>0</v>
      </c>
      <c r="Y348" s="9">
        <v>0</v>
      </c>
    </row>
    <row r="349" spans="1: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 t="str">
        <v>January</v>
      </c>
      <c r="V349" s="9">
        <v>0</v>
      </c>
      <c r="W349" s="9">
        <v>0</v>
      </c>
      <c r="X349" s="9">
        <v>0</v>
      </c>
      <c r="Y349" s="9">
        <v>0</v>
      </c>
    </row>
    <row r="350" spans="1: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 t="str">
        <v>January</v>
      </c>
      <c r="V350" s="9">
        <v>0</v>
      </c>
      <c r="W350" s="9">
        <v>0</v>
      </c>
      <c r="X350" s="9">
        <v>0</v>
      </c>
      <c r="Y350" s="9">
        <v>0</v>
      </c>
    </row>
    <row r="351" spans="1: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 t="str">
        <v>January</v>
      </c>
      <c r="V351" s="9">
        <v>0</v>
      </c>
      <c r="W351" s="9">
        <v>0</v>
      </c>
      <c r="X351" s="9">
        <v>0</v>
      </c>
      <c r="Y351" s="9">
        <v>0</v>
      </c>
    </row>
    <row r="352" spans="1: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 t="str">
        <v>January</v>
      </c>
      <c r="V352" s="9">
        <v>0</v>
      </c>
      <c r="W352" s="9">
        <v>0</v>
      </c>
      <c r="X352" s="9">
        <v>0</v>
      </c>
      <c r="Y352" s="9">
        <v>0</v>
      </c>
    </row>
    <row r="353" spans="1: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 t="str">
        <v>January</v>
      </c>
      <c r="V353" s="9">
        <v>0</v>
      </c>
      <c r="W353" s="9">
        <v>0</v>
      </c>
      <c r="X353" s="9">
        <v>0</v>
      </c>
      <c r="Y353" s="9">
        <v>0</v>
      </c>
    </row>
    <row r="354" spans="1: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 t="str">
        <v>January</v>
      </c>
      <c r="V354" s="9">
        <v>0</v>
      </c>
      <c r="W354" s="9">
        <v>0</v>
      </c>
      <c r="X354" s="9">
        <v>0</v>
      </c>
      <c r="Y354" s="9">
        <v>0</v>
      </c>
    </row>
    <row r="355" spans="1: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 t="str">
        <v>January</v>
      </c>
      <c r="V355" s="9">
        <v>0</v>
      </c>
      <c r="W355" s="9">
        <v>0</v>
      </c>
      <c r="X355" s="9">
        <v>0</v>
      </c>
      <c r="Y355" s="9">
        <v>0</v>
      </c>
    </row>
    <row r="356" spans="1: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 t="str">
        <v>January</v>
      </c>
      <c r="V356" s="9">
        <v>0</v>
      </c>
      <c r="W356" s="9">
        <v>0</v>
      </c>
      <c r="X356" s="9">
        <v>0</v>
      </c>
      <c r="Y356" s="9">
        <v>0</v>
      </c>
    </row>
    <row r="357" spans="1: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 t="str">
        <v>January</v>
      </c>
      <c r="V357" s="9">
        <v>0</v>
      </c>
      <c r="W357" s="9">
        <v>0</v>
      </c>
      <c r="X357" s="9">
        <v>0</v>
      </c>
      <c r="Y357" s="9">
        <v>0</v>
      </c>
    </row>
    <row r="358" spans="1: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 t="str">
        <v>January</v>
      </c>
      <c r="V358" s="9">
        <v>0</v>
      </c>
      <c r="W358" s="9">
        <v>0</v>
      </c>
      <c r="X358" s="9">
        <v>0</v>
      </c>
      <c r="Y358" s="9">
        <v>0</v>
      </c>
    </row>
    <row r="359" spans="1: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 t="str">
        <v>January</v>
      </c>
      <c r="V359" s="9">
        <v>0</v>
      </c>
      <c r="W359" s="9">
        <v>0</v>
      </c>
      <c r="X359" s="9">
        <v>0</v>
      </c>
      <c r="Y359" s="9">
        <v>0</v>
      </c>
    </row>
    <row r="360" spans="1: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 t="str">
        <v>January</v>
      </c>
      <c r="V360" s="9">
        <v>0</v>
      </c>
      <c r="W360" s="9">
        <v>0</v>
      </c>
      <c r="X360" s="9">
        <v>0</v>
      </c>
      <c r="Y360" s="9">
        <v>0</v>
      </c>
    </row>
    <row r="361" spans="1: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 t="str">
        <v>January</v>
      </c>
      <c r="V361" s="9">
        <v>0</v>
      </c>
      <c r="W361" s="9">
        <v>0</v>
      </c>
      <c r="X361" s="9">
        <v>0</v>
      </c>
      <c r="Y361" s="9">
        <v>0</v>
      </c>
    </row>
    <row r="362" spans="1: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 t="str">
        <v>January</v>
      </c>
      <c r="V362" s="9">
        <v>0</v>
      </c>
      <c r="W362" s="9">
        <v>0</v>
      </c>
      <c r="X362" s="9">
        <v>0</v>
      </c>
      <c r="Y362" s="9">
        <v>0</v>
      </c>
    </row>
    <row r="363" spans="1: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 t="str">
        <v>January</v>
      </c>
      <c r="V363" s="9">
        <v>0</v>
      </c>
      <c r="W363" s="9">
        <v>0</v>
      </c>
      <c r="X363" s="9">
        <v>0</v>
      </c>
      <c r="Y363" s="9">
        <v>0</v>
      </c>
    </row>
    <row r="364" spans="1: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 t="str">
        <v>January</v>
      </c>
      <c r="V364" s="9">
        <v>0</v>
      </c>
      <c r="W364" s="9">
        <v>0</v>
      </c>
      <c r="X364" s="9">
        <v>0</v>
      </c>
      <c r="Y364" s="9">
        <v>0</v>
      </c>
    </row>
    <row r="365" spans="1: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 t="str">
        <v>January</v>
      </c>
      <c r="V365" s="9">
        <v>0</v>
      </c>
      <c r="W365" s="9">
        <v>0</v>
      </c>
      <c r="X365" s="9">
        <v>0</v>
      </c>
      <c r="Y365" s="9">
        <v>0</v>
      </c>
    </row>
    <row r="366" spans="1: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 t="str">
        <v>January</v>
      </c>
      <c r="V366" s="9">
        <v>0</v>
      </c>
      <c r="W366" s="9">
        <v>0</v>
      </c>
      <c r="X366" s="9">
        <v>0</v>
      </c>
      <c r="Y366" s="9">
        <v>0</v>
      </c>
    </row>
    <row r="367" spans="1: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 t="str">
        <v>January</v>
      </c>
      <c r="V367" s="9">
        <v>0</v>
      </c>
      <c r="W367" s="9">
        <v>0</v>
      </c>
      <c r="X367" s="9">
        <v>0</v>
      </c>
      <c r="Y367" s="9">
        <v>0</v>
      </c>
    </row>
    <row r="368" spans="1: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 t="str">
        <v>January</v>
      </c>
      <c r="V368" s="9">
        <v>0</v>
      </c>
      <c r="W368" s="9">
        <v>0</v>
      </c>
      <c r="X368" s="9">
        <v>0</v>
      </c>
      <c r="Y368" s="9">
        <v>0</v>
      </c>
    </row>
    <row r="369" spans="1: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 t="str">
        <v>January</v>
      </c>
      <c r="V369" s="9">
        <v>0</v>
      </c>
      <c r="W369" s="9">
        <v>0</v>
      </c>
      <c r="X369" s="9">
        <v>0</v>
      </c>
      <c r="Y369" s="9">
        <v>0</v>
      </c>
    </row>
    <row r="370" spans="1: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 t="str">
        <v>January</v>
      </c>
      <c r="V370" s="9">
        <v>0</v>
      </c>
      <c r="W370" s="9">
        <v>0</v>
      </c>
      <c r="X370" s="9">
        <v>0</v>
      </c>
      <c r="Y370" s="9">
        <v>0</v>
      </c>
    </row>
    <row r="371" spans="1: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 t="str">
        <v>January</v>
      </c>
      <c r="V371" s="9">
        <v>0</v>
      </c>
      <c r="W371" s="9">
        <v>0</v>
      </c>
      <c r="X371" s="9">
        <v>0</v>
      </c>
      <c r="Y371" s="9">
        <v>0</v>
      </c>
    </row>
    <row r="372" spans="1: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 t="str">
        <v>January</v>
      </c>
      <c r="V372" s="9">
        <v>0</v>
      </c>
      <c r="W372" s="9">
        <v>0</v>
      </c>
      <c r="X372" s="9">
        <v>0</v>
      </c>
      <c r="Y372" s="9">
        <v>0</v>
      </c>
    </row>
    <row r="373" spans="1: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 t="str">
        <v>January</v>
      </c>
      <c r="V373" s="9">
        <v>0</v>
      </c>
      <c r="W373" s="9">
        <v>0</v>
      </c>
      <c r="X373" s="9">
        <v>0</v>
      </c>
      <c r="Y373" s="9">
        <v>0</v>
      </c>
    </row>
    <row r="374" spans="1: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 t="str">
        <v>January</v>
      </c>
      <c r="V374" s="9">
        <v>0</v>
      </c>
      <c r="W374" s="9">
        <v>0</v>
      </c>
      <c r="X374" s="9">
        <v>0</v>
      </c>
      <c r="Y374" s="9">
        <v>0</v>
      </c>
    </row>
    <row r="375" spans="1: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 t="str">
        <v>January</v>
      </c>
      <c r="V375" s="9">
        <v>0</v>
      </c>
      <c r="W375" s="9">
        <v>0</v>
      </c>
      <c r="X375" s="9">
        <v>0</v>
      </c>
      <c r="Y375" s="9">
        <v>0</v>
      </c>
    </row>
    <row r="376" spans="1: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 t="str">
        <v>January</v>
      </c>
      <c r="V376" s="9">
        <v>0</v>
      </c>
      <c r="W376" s="9">
        <v>0</v>
      </c>
      <c r="X376" s="9">
        <v>0</v>
      </c>
      <c r="Y376" s="9">
        <v>0</v>
      </c>
    </row>
    <row r="377" spans="1: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 t="str">
        <v>January</v>
      </c>
      <c r="V377" s="9">
        <v>0</v>
      </c>
      <c r="W377" s="9">
        <v>0</v>
      </c>
      <c r="X377" s="9">
        <v>0</v>
      </c>
      <c r="Y377" s="9">
        <v>0</v>
      </c>
    </row>
    <row r="378" spans="1: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 t="str">
        <v>January</v>
      </c>
      <c r="V378" s="9">
        <v>0</v>
      </c>
      <c r="W378" s="9">
        <v>0</v>
      </c>
      <c r="X378" s="9">
        <v>0</v>
      </c>
      <c r="Y378" s="9">
        <v>0</v>
      </c>
    </row>
    <row r="379" spans="1: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 t="str">
        <v>January</v>
      </c>
      <c r="V379" s="9">
        <v>0</v>
      </c>
      <c r="W379" s="9">
        <v>0</v>
      </c>
      <c r="X379" s="9">
        <v>0</v>
      </c>
      <c r="Y379" s="9">
        <v>0</v>
      </c>
    </row>
    <row r="380" spans="1: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 t="str">
        <v>January</v>
      </c>
      <c r="V380" s="9">
        <v>0</v>
      </c>
      <c r="W380" s="9">
        <v>0</v>
      </c>
      <c r="X380" s="9">
        <v>0</v>
      </c>
      <c r="Y380" s="9">
        <v>0</v>
      </c>
    </row>
    <row r="381" spans="1: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 t="str">
        <v>January</v>
      </c>
      <c r="V381" s="9">
        <v>0</v>
      </c>
      <c r="W381" s="9">
        <v>0</v>
      </c>
      <c r="X381" s="9">
        <v>0</v>
      </c>
      <c r="Y381" s="9">
        <v>0</v>
      </c>
    </row>
    <row r="382" spans="1: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 t="str">
        <v>January</v>
      </c>
      <c r="V382" s="9">
        <v>0</v>
      </c>
      <c r="W382" s="9">
        <v>0</v>
      </c>
      <c r="X382" s="9">
        <v>0</v>
      </c>
      <c r="Y382" s="9">
        <v>0</v>
      </c>
    </row>
    <row r="383" spans="1: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 t="str">
        <v>January</v>
      </c>
      <c r="V383" s="9">
        <v>0</v>
      </c>
      <c r="W383" s="9">
        <v>0</v>
      </c>
      <c r="X383" s="9">
        <v>0</v>
      </c>
      <c r="Y383" s="9">
        <v>0</v>
      </c>
    </row>
    <row r="384" spans="1: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 t="str">
        <v>January</v>
      </c>
      <c r="V384" s="9">
        <v>0</v>
      </c>
      <c r="W384" s="9">
        <v>0</v>
      </c>
      <c r="X384" s="9">
        <v>0</v>
      </c>
      <c r="Y384" s="9">
        <v>0</v>
      </c>
    </row>
    <row r="385" spans="1: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 t="str">
        <v>January</v>
      </c>
      <c r="V385" s="9">
        <v>0</v>
      </c>
      <c r="W385" s="9">
        <v>0</v>
      </c>
      <c r="X385" s="9">
        <v>0</v>
      </c>
      <c r="Y385" s="9">
        <v>0</v>
      </c>
    </row>
    <row r="386" spans="1: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 t="str">
        <v>January</v>
      </c>
      <c r="V386" s="9">
        <v>0</v>
      </c>
      <c r="W386" s="9">
        <v>0</v>
      </c>
      <c r="X386" s="9">
        <v>0</v>
      </c>
      <c r="Y386" s="9">
        <v>0</v>
      </c>
    </row>
    <row r="387" spans="1: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 t="str">
        <v>January</v>
      </c>
      <c r="V387" s="9">
        <v>0</v>
      </c>
      <c r="W387" s="9">
        <v>0</v>
      </c>
      <c r="X387" s="9">
        <v>0</v>
      </c>
      <c r="Y387" s="9">
        <v>0</v>
      </c>
    </row>
    <row r="388" spans="1: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 t="str">
        <v>January</v>
      </c>
      <c r="V388" s="9">
        <v>0</v>
      </c>
      <c r="W388" s="9">
        <v>0</v>
      </c>
      <c r="X388" s="9">
        <v>0</v>
      </c>
      <c r="Y388" s="9">
        <v>0</v>
      </c>
    </row>
    <row r="389" spans="1: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 t="str">
        <v>January</v>
      </c>
      <c r="V389" s="9">
        <v>0</v>
      </c>
      <c r="W389" s="9">
        <v>0</v>
      </c>
      <c r="X389" s="9">
        <v>0</v>
      </c>
      <c r="Y389" s="9">
        <v>0</v>
      </c>
    </row>
    <row r="390" spans="1: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 t="str">
        <v>January</v>
      </c>
      <c r="V390" s="9">
        <v>0</v>
      </c>
      <c r="W390" s="9">
        <v>0</v>
      </c>
      <c r="X390" s="9">
        <v>0</v>
      </c>
      <c r="Y390" s="9">
        <v>0</v>
      </c>
    </row>
    <row r="391" spans="1: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 t="str">
        <v>January</v>
      </c>
      <c r="V391" s="9">
        <v>0</v>
      </c>
      <c r="W391" s="9">
        <v>0</v>
      </c>
      <c r="X391" s="9">
        <v>0</v>
      </c>
      <c r="Y391" s="9">
        <v>0</v>
      </c>
    </row>
    <row r="392" spans="1: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 t="str">
        <v>January</v>
      </c>
      <c r="V392" s="9">
        <v>0</v>
      </c>
      <c r="W392" s="9">
        <v>0</v>
      </c>
      <c r="X392" s="9">
        <v>0</v>
      </c>
      <c r="Y392" s="9">
        <v>0</v>
      </c>
    </row>
    <row r="393" spans="1: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 t="str">
        <v>January</v>
      </c>
      <c r="V393" s="9">
        <v>0</v>
      </c>
      <c r="W393" s="9">
        <v>0</v>
      </c>
      <c r="X393" s="9">
        <v>0</v>
      </c>
      <c r="Y393" s="9">
        <v>0</v>
      </c>
    </row>
    <row r="394" spans="1: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 t="str">
        <v>January</v>
      </c>
      <c r="V394" s="9">
        <v>0</v>
      </c>
      <c r="W394" s="9">
        <v>0</v>
      </c>
      <c r="X394" s="9">
        <v>0</v>
      </c>
      <c r="Y394" s="9">
        <v>0</v>
      </c>
    </row>
    <row r="395" spans="1: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 t="str">
        <v>January</v>
      </c>
      <c r="V395" s="9">
        <v>0</v>
      </c>
      <c r="W395" s="9">
        <v>0</v>
      </c>
      <c r="X395" s="9">
        <v>0</v>
      </c>
      <c r="Y395" s="9">
        <v>0</v>
      </c>
    </row>
    <row r="396" spans="1: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 t="str">
        <v>January</v>
      </c>
      <c r="V396" s="9">
        <v>0</v>
      </c>
      <c r="W396" s="9">
        <v>0</v>
      </c>
      <c r="X396" s="9">
        <v>0</v>
      </c>
      <c r="Y396" s="9">
        <v>0</v>
      </c>
    </row>
    <row r="397" spans="1: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 t="str">
        <v>January</v>
      </c>
      <c r="V397" s="9">
        <v>0</v>
      </c>
      <c r="W397" s="9">
        <v>0</v>
      </c>
      <c r="X397" s="9">
        <v>0</v>
      </c>
      <c r="Y397" s="9">
        <v>0</v>
      </c>
    </row>
    <row r="398" spans="1: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 t="str">
        <v>January</v>
      </c>
      <c r="V398" s="9">
        <v>0</v>
      </c>
      <c r="W398" s="9">
        <v>0</v>
      </c>
      <c r="X398" s="9">
        <v>0</v>
      </c>
      <c r="Y398" s="9">
        <v>0</v>
      </c>
    </row>
    <row r="399" spans="1: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 t="str">
        <v>January</v>
      </c>
      <c r="V399" s="9">
        <v>0</v>
      </c>
      <c r="W399" s="9">
        <v>0</v>
      </c>
      <c r="X399" s="9">
        <v>0</v>
      </c>
      <c r="Y399" s="9">
        <v>0</v>
      </c>
    </row>
  </sheetData>
  <sheetProtection algorithmName="SHA-512" hashValue="75LQsi2UUn+ZW5uWzBsjp24Xgu62Swboc8NHoAAIDxcAHX3r2sB8kX05ZB5Eae/ZEqnoiCJgdRUS+oPcsAp7vQ==" saltValue="vHbfmLlU3/V3C8AMGWRYQ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BC0C-B627-41ED-8468-6B081E61748C}">
  <dimension ref="B4:K37"/>
  <sheetViews>
    <sheetView zoomScaleNormal="100" zoomScalePageLayoutView="80" workbookViewId="0">
      <selection activeCell="D19" sqref="D19"/>
    </sheetView>
  </sheetViews>
  <sheetFormatPr defaultColWidth="8.44140625" defaultRowHeight="13.8"/>
  <cols>
    <col min="1" max="1" width="9.44140625" style="9" customWidth="1"/>
    <col min="2" max="3" width="8.44140625" style="9"/>
    <col min="4" max="4" width="13.5546875" style="9" bestFit="1" customWidth="1"/>
    <col min="5" max="5" width="8.44140625" style="9"/>
    <col min="6" max="6" width="6.44140625" style="9" bestFit="1" customWidth="1"/>
    <col min="7" max="7" width="8.5546875" style="9" bestFit="1" customWidth="1"/>
    <col min="8" max="8" width="4.5546875" style="9" bestFit="1" customWidth="1"/>
    <col min="9" max="9" width="9.44140625" style="9" bestFit="1" customWidth="1"/>
    <col min="10" max="10" width="8.5546875" style="9" bestFit="1" customWidth="1"/>
    <col min="11" max="11" width="10.5546875" style="9" customWidth="1"/>
    <col min="12" max="16384" width="8.44140625" style="9"/>
  </cols>
  <sheetData>
    <row r="4" spans="2:11">
      <c r="B4" s="9" t="s">
        <v>7</v>
      </c>
      <c r="D4" s="9" t="s">
        <v>73</v>
      </c>
      <c r="F4" s="9" t="s">
        <v>68</v>
      </c>
      <c r="G4" s="9" t="s">
        <v>84</v>
      </c>
      <c r="H4" s="9" t="s">
        <v>90</v>
      </c>
      <c r="I4" s="9" t="s">
        <v>91</v>
      </c>
      <c r="J4" s="9" t="s">
        <v>157</v>
      </c>
      <c r="K4" s="94">
        <v>0.1</v>
      </c>
    </row>
    <row r="5" spans="2:11">
      <c r="B5" s="9" t="s">
        <v>18</v>
      </c>
      <c r="D5" s="9" t="s">
        <v>74</v>
      </c>
      <c r="F5" s="9" t="s">
        <v>69</v>
      </c>
      <c r="G5" s="9" t="s">
        <v>85</v>
      </c>
      <c r="J5" s="9" t="s">
        <v>138</v>
      </c>
      <c r="K5" s="94">
        <v>0.2</v>
      </c>
    </row>
    <row r="6" spans="2:11">
      <c r="B6" s="9" t="s">
        <v>25</v>
      </c>
      <c r="D6" s="9" t="s">
        <v>75</v>
      </c>
      <c r="F6" s="9" t="s">
        <v>70</v>
      </c>
      <c r="G6" s="9" t="s">
        <v>86</v>
      </c>
      <c r="K6" s="94">
        <v>0.3</v>
      </c>
    </row>
    <row r="7" spans="2:11">
      <c r="B7" s="9" t="s">
        <v>28</v>
      </c>
      <c r="D7" s="9" t="s">
        <v>77</v>
      </c>
      <c r="F7" s="9" t="s">
        <v>71</v>
      </c>
      <c r="K7" s="94">
        <v>0.4</v>
      </c>
    </row>
    <row r="8" spans="2:11">
      <c r="B8" s="9" t="s">
        <v>30</v>
      </c>
      <c r="D8" s="9" t="s">
        <v>78</v>
      </c>
      <c r="K8" s="94">
        <v>0.5</v>
      </c>
    </row>
    <row r="9" spans="2:11">
      <c r="B9" s="9" t="s">
        <v>34</v>
      </c>
      <c r="D9" s="9" t="s">
        <v>79</v>
      </c>
      <c r="K9" s="94">
        <v>0.6</v>
      </c>
    </row>
    <row r="10" spans="2:11">
      <c r="B10" s="9" t="s">
        <v>37</v>
      </c>
      <c r="D10" s="9" t="s">
        <v>80</v>
      </c>
      <c r="K10" s="94">
        <v>0.7</v>
      </c>
    </row>
    <row r="11" spans="2:11">
      <c r="B11" s="9" t="s">
        <v>39</v>
      </c>
      <c r="D11" s="9" t="s">
        <v>81</v>
      </c>
      <c r="K11" s="94">
        <v>0.8</v>
      </c>
    </row>
    <row r="12" spans="2:11">
      <c r="B12" s="9" t="s">
        <v>44</v>
      </c>
      <c r="D12" s="9" t="s">
        <v>82</v>
      </c>
      <c r="K12" s="94">
        <v>0.9</v>
      </c>
    </row>
    <row r="13" spans="2:11">
      <c r="B13" s="9" t="s">
        <v>47</v>
      </c>
      <c r="D13" s="9" t="s">
        <v>83</v>
      </c>
      <c r="K13" s="94">
        <v>1</v>
      </c>
    </row>
    <row r="14" spans="2:11">
      <c r="B14" s="9" t="s">
        <v>49</v>
      </c>
      <c r="F14" s="31"/>
    </row>
    <row r="15" spans="2:11">
      <c r="B15" s="9" t="s">
        <v>62</v>
      </c>
    </row>
    <row r="16" spans="2:11">
      <c r="F16" s="30"/>
      <c r="G16" s="30"/>
      <c r="H16" s="30"/>
      <c r="I16" s="30"/>
      <c r="J16" s="30"/>
      <c r="K16" s="29"/>
    </row>
    <row r="17" spans="6:11">
      <c r="F17" s="28"/>
      <c r="G17" s="28"/>
      <c r="H17" s="28"/>
      <c r="I17" s="28"/>
      <c r="J17" s="28"/>
      <c r="K17" s="28"/>
    </row>
    <row r="18" spans="6:11">
      <c r="F18" s="28"/>
      <c r="G18" s="28"/>
      <c r="H18" s="28"/>
      <c r="I18" s="28"/>
      <c r="J18" s="28"/>
      <c r="K18" s="28"/>
    </row>
    <row r="19" spans="6:11">
      <c r="F19" s="30"/>
      <c r="G19" s="30"/>
      <c r="H19" s="30"/>
      <c r="I19" s="30"/>
      <c r="J19" s="30"/>
      <c r="K19" s="29"/>
    </row>
    <row r="20" spans="6:11">
      <c r="F20" s="28"/>
      <c r="G20" s="28"/>
      <c r="H20" s="28"/>
      <c r="I20" s="28"/>
      <c r="J20" s="28"/>
      <c r="K20" s="28"/>
    </row>
    <row r="21" spans="6:11">
      <c r="F21" s="28"/>
      <c r="G21" s="28"/>
      <c r="H21" s="28"/>
      <c r="I21" s="28"/>
      <c r="J21" s="28"/>
      <c r="K21" s="28"/>
    </row>
    <row r="22" spans="6:11">
      <c r="F22" s="30"/>
      <c r="G22" s="30"/>
      <c r="H22" s="30"/>
      <c r="I22" s="30"/>
      <c r="J22" s="30"/>
      <c r="K22" s="29"/>
    </row>
    <row r="23" spans="6:11">
      <c r="F23" s="28"/>
      <c r="G23" s="28"/>
      <c r="H23" s="28"/>
      <c r="I23" s="28"/>
      <c r="J23" s="28"/>
      <c r="K23" s="28"/>
    </row>
    <row r="24" spans="6:11">
      <c r="F24" s="28"/>
      <c r="G24" s="28"/>
      <c r="H24" s="28"/>
      <c r="I24" s="28"/>
      <c r="J24" s="28"/>
      <c r="K24" s="28"/>
    </row>
    <row r="25" spans="6:11">
      <c r="F25" s="30"/>
      <c r="G25" s="30"/>
      <c r="H25" s="30"/>
      <c r="I25" s="30"/>
      <c r="J25" s="30"/>
      <c r="K25" s="29"/>
    </row>
    <row r="26" spans="6:11">
      <c r="F26" s="28"/>
      <c r="G26" s="28"/>
      <c r="H26" s="28"/>
      <c r="I26" s="28"/>
      <c r="J26" s="28"/>
      <c r="K26" s="28"/>
    </row>
    <row r="27" spans="6:11">
      <c r="K27" s="28"/>
    </row>
    <row r="28" spans="6:11">
      <c r="K28" s="28"/>
    </row>
    <row r="29" spans="6:11">
      <c r="K29" s="28"/>
    </row>
    <row r="30" spans="6:11">
      <c r="K30" s="28"/>
    </row>
    <row r="31" spans="6:11">
      <c r="K31" s="28"/>
    </row>
    <row r="32" spans="6:11">
      <c r="K32" s="28"/>
    </row>
    <row r="33" spans="11:11">
      <c r="K33" s="28"/>
    </row>
    <row r="34" spans="11:11">
      <c r="K34" s="28"/>
    </row>
    <row r="35" spans="11:11">
      <c r="K35" s="28"/>
    </row>
    <row r="36" spans="11:11">
      <c r="K36" s="28"/>
    </row>
    <row r="37" spans="11:11">
      <c r="K37" s="28"/>
    </row>
  </sheetData>
  <sheetProtection algorithmName="SHA-512" hashValue="e0heIRt2cHpeD6rxibqUe4vDh18uJ8TsdBA/Mp6IlKND27t6JOa5s3mrhPeFvemV1XtCpCReboMWiqzkJKXh/Q==" saltValue="kZREc5TI4lCvv//J2b1/S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887B-8B87-452F-87FD-44EFA2D6ABBF}">
  <dimension ref="A2:A1480"/>
  <sheetViews>
    <sheetView topLeftCell="A1445" zoomScaleNormal="100" zoomScalePageLayoutView="80" workbookViewId="0">
      <selection activeCell="H37" sqref="H37"/>
    </sheetView>
  </sheetViews>
  <sheetFormatPr defaultColWidth="8.44140625" defaultRowHeight="13.8"/>
  <cols>
    <col min="1" max="1" width="14" style="9" bestFit="1" customWidth="1"/>
    <col min="2" max="16384" width="8.44140625" style="9"/>
  </cols>
  <sheetData>
    <row r="2" spans="1:1">
      <c r="A2" s="50" t="s">
        <v>1253</v>
      </c>
    </row>
    <row r="3" spans="1:1">
      <c r="A3" s="51" t="s">
        <v>4799</v>
      </c>
    </row>
    <row r="4" spans="1:1">
      <c r="A4" s="50" t="s">
        <v>1356</v>
      </c>
    </row>
    <row r="5" spans="1:1">
      <c r="A5" s="66" t="s">
        <v>2623</v>
      </c>
    </row>
    <row r="6" spans="1:1">
      <c r="A6" s="66" t="s">
        <v>2817</v>
      </c>
    </row>
    <row r="7" spans="1:1">
      <c r="A7" s="66" t="s">
        <v>2401</v>
      </c>
    </row>
    <row r="8" spans="1:1">
      <c r="A8" s="66" t="s">
        <v>2788</v>
      </c>
    </row>
    <row r="9" spans="1:1">
      <c r="A9" s="50" t="s">
        <v>425</v>
      </c>
    </row>
    <row r="10" spans="1:1">
      <c r="A10" s="53" t="s">
        <v>4800</v>
      </c>
    </row>
    <row r="11" spans="1:1">
      <c r="A11" s="66" t="s">
        <v>4801</v>
      </c>
    </row>
    <row r="12" spans="1:1">
      <c r="A12" s="51" t="s">
        <v>4802</v>
      </c>
    </row>
    <row r="13" spans="1:1">
      <c r="A13" s="51" t="s">
        <v>4803</v>
      </c>
    </row>
    <row r="14" spans="1:1">
      <c r="A14" s="51" t="s">
        <v>4804</v>
      </c>
    </row>
    <row r="15" spans="1:1">
      <c r="A15" s="51" t="s">
        <v>4805</v>
      </c>
    </row>
    <row r="16" spans="1:1">
      <c r="A16" s="51" t="s">
        <v>4806</v>
      </c>
    </row>
    <row r="17" spans="1:1">
      <c r="A17" s="51" t="s">
        <v>4807</v>
      </c>
    </row>
    <row r="18" spans="1:1">
      <c r="A18" s="51" t="s">
        <v>4808</v>
      </c>
    </row>
    <row r="19" spans="1:1">
      <c r="A19" s="51" t="s">
        <v>4809</v>
      </c>
    </row>
    <row r="20" spans="1:1">
      <c r="A20" s="51" t="s">
        <v>4810</v>
      </c>
    </row>
    <row r="21" spans="1:1">
      <c r="A21" s="51" t="s">
        <v>4811</v>
      </c>
    </row>
    <row r="22" spans="1:1">
      <c r="A22" s="51" t="s">
        <v>4812</v>
      </c>
    </row>
    <row r="23" spans="1:1">
      <c r="A23" s="51" t="s">
        <v>4813</v>
      </c>
    </row>
    <row r="24" spans="1:1">
      <c r="A24" s="51" t="s">
        <v>4814</v>
      </c>
    </row>
    <row r="25" spans="1:1">
      <c r="A25" s="51" t="s">
        <v>4815</v>
      </c>
    </row>
    <row r="26" spans="1:1">
      <c r="A26" s="51" t="s">
        <v>4816</v>
      </c>
    </row>
    <row r="27" spans="1:1">
      <c r="A27" s="51" t="s">
        <v>4817</v>
      </c>
    </row>
    <row r="28" spans="1:1">
      <c r="A28" s="51" t="s">
        <v>4818</v>
      </c>
    </row>
    <row r="29" spans="1:1">
      <c r="A29" s="51" t="s">
        <v>4819</v>
      </c>
    </row>
    <row r="30" spans="1:1">
      <c r="A30" s="51" t="s">
        <v>4820</v>
      </c>
    </row>
    <row r="31" spans="1:1">
      <c r="A31" s="51" t="s">
        <v>4518</v>
      </c>
    </row>
    <row r="32" spans="1:1">
      <c r="A32" s="50" t="s">
        <v>417</v>
      </c>
    </row>
    <row r="33" spans="1:1">
      <c r="A33" s="50" t="s">
        <v>409</v>
      </c>
    </row>
    <row r="34" spans="1:1">
      <c r="A34" s="50" t="s">
        <v>410</v>
      </c>
    </row>
    <row r="35" spans="1:1">
      <c r="A35" s="50" t="s">
        <v>418</v>
      </c>
    </row>
    <row r="36" spans="1:1">
      <c r="A36" s="50" t="s">
        <v>669</v>
      </c>
    </row>
    <row r="37" spans="1:1">
      <c r="A37" s="50" t="s">
        <v>664</v>
      </c>
    </row>
    <row r="38" spans="1:1">
      <c r="A38" s="50" t="s">
        <v>665</v>
      </c>
    </row>
    <row r="39" spans="1:1">
      <c r="A39" s="50" t="s">
        <v>666</v>
      </c>
    </row>
    <row r="40" spans="1:1">
      <c r="A40" s="50" t="s">
        <v>667</v>
      </c>
    </row>
    <row r="41" spans="1:1">
      <c r="A41" s="66" t="s">
        <v>2675</v>
      </c>
    </row>
    <row r="42" spans="1:1">
      <c r="A42" s="66" t="s">
        <v>2792</v>
      </c>
    </row>
    <row r="43" spans="1:1">
      <c r="A43" s="66" t="s">
        <v>2882</v>
      </c>
    </row>
    <row r="44" spans="1:1">
      <c r="A44" s="66" t="s">
        <v>4821</v>
      </c>
    </row>
    <row r="45" spans="1:1">
      <c r="A45" s="66">
        <v>15936</v>
      </c>
    </row>
    <row r="46" spans="1:1">
      <c r="A46" s="66">
        <v>15935</v>
      </c>
    </row>
    <row r="47" spans="1:1">
      <c r="A47" s="51" t="s">
        <v>4822</v>
      </c>
    </row>
    <row r="48" spans="1:1">
      <c r="A48" s="51" t="s">
        <v>4158</v>
      </c>
    </row>
    <row r="49" spans="1:1">
      <c r="A49" s="66" t="s">
        <v>4823</v>
      </c>
    </row>
    <row r="50" spans="1:1">
      <c r="A50" s="66" t="s">
        <v>3522</v>
      </c>
    </row>
    <row r="51" spans="1:1">
      <c r="A51" s="50" t="s">
        <v>668</v>
      </c>
    </row>
    <row r="52" spans="1:1">
      <c r="A52" s="50" t="s">
        <v>759</v>
      </c>
    </row>
    <row r="53" spans="1:1">
      <c r="A53" s="50" t="s">
        <v>1353</v>
      </c>
    </row>
    <row r="54" spans="1:1">
      <c r="A54" s="66" t="s">
        <v>4824</v>
      </c>
    </row>
    <row r="55" spans="1:1">
      <c r="A55" s="66" t="s">
        <v>4825</v>
      </c>
    </row>
    <row r="56" spans="1:1">
      <c r="A56" s="51" t="s">
        <v>4196</v>
      </c>
    </row>
    <row r="57" spans="1:1">
      <c r="A57" s="51" t="s">
        <v>4826</v>
      </c>
    </row>
    <row r="58" spans="1:1">
      <c r="A58" s="66" t="s">
        <v>3170</v>
      </c>
    </row>
    <row r="59" spans="1:1">
      <c r="A59" s="66" t="s">
        <v>4827</v>
      </c>
    </row>
    <row r="60" spans="1:1">
      <c r="A60" s="66" t="s">
        <v>4828</v>
      </c>
    </row>
    <row r="61" spans="1:1">
      <c r="A61" s="66" t="s">
        <v>4829</v>
      </c>
    </row>
    <row r="62" spans="1:1">
      <c r="A62" s="50" t="s">
        <v>3986</v>
      </c>
    </row>
    <row r="63" spans="1:1">
      <c r="A63" s="50" t="s">
        <v>1492</v>
      </c>
    </row>
    <row r="64" spans="1:1">
      <c r="A64" s="50" t="s">
        <v>4830</v>
      </c>
    </row>
    <row r="65" spans="1:1">
      <c r="A65" s="53" t="s">
        <v>2133</v>
      </c>
    </row>
    <row r="66" spans="1:1">
      <c r="A66" s="53" t="s">
        <v>4831</v>
      </c>
    </row>
    <row r="67" spans="1:1">
      <c r="A67" s="53" t="s">
        <v>4832</v>
      </c>
    </row>
    <row r="68" spans="1:1">
      <c r="A68" s="53" t="s">
        <v>4833</v>
      </c>
    </row>
    <row r="69" spans="1:1">
      <c r="A69" s="53" t="s">
        <v>4834</v>
      </c>
    </row>
    <row r="70" spans="1:1">
      <c r="A70" s="53" t="s">
        <v>4835</v>
      </c>
    </row>
    <row r="71" spans="1:1">
      <c r="A71" s="53" t="s">
        <v>4836</v>
      </c>
    </row>
    <row r="72" spans="1:1">
      <c r="A72" s="53" t="s">
        <v>4837</v>
      </c>
    </row>
    <row r="73" spans="1:1">
      <c r="A73" s="50" t="s">
        <v>4838</v>
      </c>
    </row>
    <row r="74" spans="1:1">
      <c r="A74" s="50" t="s">
        <v>827</v>
      </c>
    </row>
    <row r="75" spans="1:1">
      <c r="A75" s="50" t="s">
        <v>771</v>
      </c>
    </row>
    <row r="76" spans="1:1">
      <c r="A76" s="50" t="s">
        <v>1773</v>
      </c>
    </row>
    <row r="77" spans="1:1">
      <c r="A77" s="50" t="s">
        <v>1420</v>
      </c>
    </row>
    <row r="78" spans="1:1">
      <c r="A78" s="66" t="s">
        <v>2818</v>
      </c>
    </row>
    <row r="79" spans="1:1">
      <c r="A79" s="66" t="s">
        <v>2819</v>
      </c>
    </row>
    <row r="80" spans="1:1">
      <c r="A80" s="66" t="s">
        <v>2531</v>
      </c>
    </row>
    <row r="81" spans="1:1">
      <c r="A81" s="50" t="s">
        <v>1433</v>
      </c>
    </row>
    <row r="82" spans="1:1">
      <c r="A82" s="50" t="s">
        <v>1502</v>
      </c>
    </row>
    <row r="83" spans="1:1">
      <c r="A83" s="50" t="s">
        <v>1495</v>
      </c>
    </row>
    <row r="84" spans="1:1">
      <c r="A84" s="53" t="s">
        <v>4839</v>
      </c>
    </row>
    <row r="85" spans="1:1">
      <c r="A85" s="53" t="s">
        <v>2085</v>
      </c>
    </row>
    <row r="86" spans="1:1">
      <c r="A86" s="53" t="s">
        <v>2184</v>
      </c>
    </row>
    <row r="87" spans="1:1">
      <c r="A87" s="50" t="s">
        <v>1501</v>
      </c>
    </row>
    <row r="88" spans="1:1">
      <c r="A88" s="50" t="s">
        <v>4840</v>
      </c>
    </row>
    <row r="89" spans="1:1">
      <c r="A89" s="50" t="s">
        <v>825</v>
      </c>
    </row>
    <row r="90" spans="1:1">
      <c r="A90" s="50" t="s">
        <v>274</v>
      </c>
    </row>
    <row r="91" spans="1:1">
      <c r="A91" s="50" t="s">
        <v>4841</v>
      </c>
    </row>
    <row r="92" spans="1:1">
      <c r="A92" s="50" t="s">
        <v>4842</v>
      </c>
    </row>
    <row r="93" spans="1:1">
      <c r="A93" s="66" t="s">
        <v>2820</v>
      </c>
    </row>
    <row r="94" spans="1:1">
      <c r="A94" s="66" t="s">
        <v>2821</v>
      </c>
    </row>
    <row r="95" spans="1:1">
      <c r="A95" s="66" t="s">
        <v>2822</v>
      </c>
    </row>
    <row r="96" spans="1:1">
      <c r="A96" s="66">
        <v>305000032</v>
      </c>
    </row>
    <row r="97" spans="1:1">
      <c r="A97" s="51" t="s">
        <v>4536</v>
      </c>
    </row>
    <row r="98" spans="1:1">
      <c r="A98" s="51" t="s">
        <v>4391</v>
      </c>
    </row>
    <row r="99" spans="1:1">
      <c r="A99" s="50" t="s">
        <v>721</v>
      </c>
    </row>
    <row r="100" spans="1:1">
      <c r="A100" s="50" t="s">
        <v>724</v>
      </c>
    </row>
    <row r="101" spans="1:1">
      <c r="A101" s="50" t="s">
        <v>725</v>
      </c>
    </row>
    <row r="102" spans="1:1">
      <c r="A102" s="50" t="s">
        <v>726</v>
      </c>
    </row>
    <row r="103" spans="1:1">
      <c r="A103" s="50" t="s">
        <v>4843</v>
      </c>
    </row>
    <row r="104" spans="1:1">
      <c r="A104" s="50" t="s">
        <v>617</v>
      </c>
    </row>
    <row r="105" spans="1:1">
      <c r="A105" s="50" t="s">
        <v>4844</v>
      </c>
    </row>
    <row r="106" spans="1:1">
      <c r="A106" s="50" t="s">
        <v>1484</v>
      </c>
    </row>
    <row r="107" spans="1:1">
      <c r="A107" s="50" t="s">
        <v>1494</v>
      </c>
    </row>
    <row r="108" spans="1:1">
      <c r="A108" s="50" t="s">
        <v>1504</v>
      </c>
    </row>
    <row r="109" spans="1:1">
      <c r="A109" s="50" t="s">
        <v>1609</v>
      </c>
    </row>
    <row r="110" spans="1:1">
      <c r="A110" s="50" t="s">
        <v>293</v>
      </c>
    </row>
    <row r="111" spans="1:1">
      <c r="A111" s="50" t="s">
        <v>295</v>
      </c>
    </row>
    <row r="112" spans="1:1">
      <c r="A112" s="66">
        <v>72403</v>
      </c>
    </row>
    <row r="113" spans="1:1">
      <c r="A113" s="66" t="s">
        <v>2526</v>
      </c>
    </row>
    <row r="114" spans="1:1">
      <c r="A114" s="66" t="s">
        <v>2790</v>
      </c>
    </row>
    <row r="115" spans="1:1">
      <c r="A115" s="66" t="s">
        <v>4845</v>
      </c>
    </row>
    <row r="116" spans="1:1">
      <c r="A116" s="66" t="s">
        <v>4846</v>
      </c>
    </row>
    <row r="117" spans="1:1">
      <c r="A117" s="66" t="s">
        <v>2726</v>
      </c>
    </row>
    <row r="118" spans="1:1">
      <c r="A118" s="51" t="s">
        <v>3994</v>
      </c>
    </row>
    <row r="119" spans="1:1">
      <c r="A119" s="51" t="s">
        <v>3992</v>
      </c>
    </row>
    <row r="120" spans="1:1">
      <c r="A120" s="51" t="s">
        <v>4576</v>
      </c>
    </row>
    <row r="121" spans="1:1">
      <c r="A121" s="51" t="s">
        <v>4384</v>
      </c>
    </row>
    <row r="122" spans="1:1">
      <c r="A122" s="51" t="s">
        <v>4067</v>
      </c>
    </row>
    <row r="123" spans="1:1">
      <c r="A123" s="51" t="s">
        <v>4393</v>
      </c>
    </row>
    <row r="124" spans="1:1">
      <c r="A124" s="51" t="s">
        <v>3389</v>
      </c>
    </row>
    <row r="125" spans="1:1">
      <c r="A125" s="51" t="s">
        <v>4029</v>
      </c>
    </row>
    <row r="126" spans="1:1">
      <c r="A126" s="51" t="s">
        <v>4152</v>
      </c>
    </row>
    <row r="127" spans="1:1">
      <c r="A127" s="50" t="s">
        <v>1650</v>
      </c>
    </row>
    <row r="128" spans="1:1">
      <c r="A128" s="50" t="s">
        <v>673</v>
      </c>
    </row>
    <row r="129" spans="1:1">
      <c r="A129" s="50" t="s">
        <v>1052</v>
      </c>
    </row>
    <row r="130" spans="1:1">
      <c r="A130" s="50" t="s">
        <v>727</v>
      </c>
    </row>
    <row r="131" spans="1:1">
      <c r="A131" s="50" t="s">
        <v>729</v>
      </c>
    </row>
    <row r="132" spans="1:1">
      <c r="A132" s="50" t="s">
        <v>4847</v>
      </c>
    </row>
    <row r="133" spans="1:1">
      <c r="A133" s="50" t="s">
        <v>1503</v>
      </c>
    </row>
    <row r="134" spans="1:1">
      <c r="A134" s="50" t="s">
        <v>1406</v>
      </c>
    </row>
    <row r="135" spans="1:1">
      <c r="A135" s="50" t="s">
        <v>2033</v>
      </c>
    </row>
    <row r="136" spans="1:1">
      <c r="A136" s="53" t="s">
        <v>4848</v>
      </c>
    </row>
    <row r="137" spans="1:1">
      <c r="A137" s="53" t="s">
        <v>2150</v>
      </c>
    </row>
    <row r="138" spans="1:1">
      <c r="A138" s="50">
        <v>500003929</v>
      </c>
    </row>
    <row r="139" spans="1:1">
      <c r="A139" s="50">
        <v>500003930</v>
      </c>
    </row>
    <row r="140" spans="1:1">
      <c r="A140" s="50" t="s">
        <v>483</v>
      </c>
    </row>
    <row r="141" spans="1:1">
      <c r="A141" s="50" t="s">
        <v>486</v>
      </c>
    </row>
    <row r="142" spans="1:1">
      <c r="A142" s="50" t="s">
        <v>487</v>
      </c>
    </row>
    <row r="143" spans="1:1">
      <c r="A143" s="50" t="s">
        <v>488</v>
      </c>
    </row>
    <row r="144" spans="1:1">
      <c r="A144" s="50" t="s">
        <v>489</v>
      </c>
    </row>
    <row r="145" spans="1:1">
      <c r="A145" s="50" t="s">
        <v>491</v>
      </c>
    </row>
    <row r="146" spans="1:1">
      <c r="A146" s="50" t="s">
        <v>4849</v>
      </c>
    </row>
    <row r="147" spans="1:1">
      <c r="A147" s="50" t="s">
        <v>900</v>
      </c>
    </row>
    <row r="148" spans="1:1">
      <c r="A148" s="50" t="s">
        <v>269</v>
      </c>
    </row>
    <row r="149" spans="1:1">
      <c r="A149" s="50" t="s">
        <v>270</v>
      </c>
    </row>
    <row r="150" spans="1:1">
      <c r="A150" s="66" t="s">
        <v>3046</v>
      </c>
    </row>
    <row r="151" spans="1:1">
      <c r="A151" s="66" t="s">
        <v>4850</v>
      </c>
    </row>
    <row r="152" spans="1:1">
      <c r="A152" s="66" t="s">
        <v>2663</v>
      </c>
    </row>
    <row r="153" spans="1:1">
      <c r="A153" s="66" t="s">
        <v>4851</v>
      </c>
    </row>
    <row r="154" spans="1:1">
      <c r="A154" s="66" t="s">
        <v>3344</v>
      </c>
    </row>
    <row r="155" spans="1:1">
      <c r="A155" s="66">
        <v>500003581</v>
      </c>
    </row>
    <row r="156" spans="1:1">
      <c r="A156" s="66" t="s">
        <v>4615</v>
      </c>
    </row>
    <row r="157" spans="1:1">
      <c r="A157" s="66" t="s">
        <v>3446</v>
      </c>
    </row>
    <row r="158" spans="1:1">
      <c r="A158" s="66" t="s">
        <v>4852</v>
      </c>
    </row>
    <row r="159" spans="1:1">
      <c r="A159" s="66" t="s">
        <v>4853</v>
      </c>
    </row>
    <row r="160" spans="1:1">
      <c r="A160" s="66" t="s">
        <v>4854</v>
      </c>
    </row>
    <row r="161" spans="1:1">
      <c r="A161" s="49" t="s">
        <v>1390</v>
      </c>
    </row>
    <row r="162" spans="1:1">
      <c r="A162" s="50" t="s">
        <v>4855</v>
      </c>
    </row>
    <row r="163" spans="1:1">
      <c r="A163" s="50" t="s">
        <v>4856</v>
      </c>
    </row>
    <row r="164" spans="1:1">
      <c r="A164" s="50" t="s">
        <v>4857</v>
      </c>
    </row>
    <row r="165" spans="1:1">
      <c r="A165" s="50" t="s">
        <v>4858</v>
      </c>
    </row>
    <row r="166" spans="1:1">
      <c r="A166" s="50" t="s">
        <v>4859</v>
      </c>
    </row>
    <row r="167" spans="1:1">
      <c r="A167" s="50" t="s">
        <v>1457</v>
      </c>
    </row>
    <row r="168" spans="1:1">
      <c r="A168" s="50" t="s">
        <v>1510</v>
      </c>
    </row>
    <row r="169" spans="1:1">
      <c r="A169" s="53" t="s">
        <v>4860</v>
      </c>
    </row>
    <row r="170" spans="1:1">
      <c r="A170" s="53" t="s">
        <v>4861</v>
      </c>
    </row>
    <row r="171" spans="1:1">
      <c r="A171" s="53" t="s">
        <v>4862</v>
      </c>
    </row>
    <row r="172" spans="1:1">
      <c r="A172" s="53" t="s">
        <v>4863</v>
      </c>
    </row>
    <row r="173" spans="1:1">
      <c r="A173" s="53" t="s">
        <v>4864</v>
      </c>
    </row>
    <row r="174" spans="1:1">
      <c r="A174" s="53" t="s">
        <v>4865</v>
      </c>
    </row>
    <row r="175" spans="1:1">
      <c r="A175" s="53" t="s">
        <v>4866</v>
      </c>
    </row>
    <row r="176" spans="1:1">
      <c r="A176" s="53" t="s">
        <v>1780</v>
      </c>
    </row>
    <row r="177" spans="1:1">
      <c r="A177" s="53" t="s">
        <v>1783</v>
      </c>
    </row>
    <row r="178" spans="1:1">
      <c r="A178" s="53" t="s">
        <v>1784</v>
      </c>
    </row>
    <row r="179" spans="1:1">
      <c r="A179" s="53" t="s">
        <v>1785</v>
      </c>
    </row>
    <row r="180" spans="1:1">
      <c r="A180" s="53" t="s">
        <v>1786</v>
      </c>
    </row>
    <row r="181" spans="1:1">
      <c r="A181" s="50" t="s">
        <v>4867</v>
      </c>
    </row>
    <row r="182" spans="1:1">
      <c r="A182" s="50" t="s">
        <v>4868</v>
      </c>
    </row>
    <row r="183" spans="1:1">
      <c r="A183" s="50" t="s">
        <v>1304</v>
      </c>
    </row>
    <row r="184" spans="1:1">
      <c r="A184" s="50" t="s">
        <v>1215</v>
      </c>
    </row>
    <row r="185" spans="1:1">
      <c r="A185" s="50" t="s">
        <v>1341</v>
      </c>
    </row>
    <row r="186" spans="1:1">
      <c r="A186" s="50" t="s">
        <v>4869</v>
      </c>
    </row>
    <row r="187" spans="1:1">
      <c r="A187" s="50" t="s">
        <v>265</v>
      </c>
    </row>
    <row r="188" spans="1:1">
      <c r="A188" s="50" t="s">
        <v>266</v>
      </c>
    </row>
    <row r="189" spans="1:1">
      <c r="A189" s="50" t="s">
        <v>267</v>
      </c>
    </row>
    <row r="190" spans="1:1">
      <c r="A190" s="50" t="s">
        <v>558</v>
      </c>
    </row>
    <row r="191" spans="1:1">
      <c r="A191" s="50" t="s">
        <v>4870</v>
      </c>
    </row>
    <row r="192" spans="1:1">
      <c r="A192" s="50" t="s">
        <v>188</v>
      </c>
    </row>
    <row r="193" spans="1:1">
      <c r="A193" s="66" t="s">
        <v>2369</v>
      </c>
    </row>
    <row r="194" spans="1:1">
      <c r="A194" s="66" t="s">
        <v>2405</v>
      </c>
    </row>
    <row r="195" spans="1:1">
      <c r="A195" s="66" t="s">
        <v>4871</v>
      </c>
    </row>
    <row r="196" spans="1:1">
      <c r="A196" s="66" t="s">
        <v>4872</v>
      </c>
    </row>
    <row r="197" spans="1:1">
      <c r="A197" s="66" t="s">
        <v>2765</v>
      </c>
    </row>
    <row r="198" spans="1:1">
      <c r="A198" s="66" t="s">
        <v>4873</v>
      </c>
    </row>
    <row r="199" spans="1:1">
      <c r="A199" s="66" t="s">
        <v>3017</v>
      </c>
    </row>
    <row r="200" spans="1:1">
      <c r="A200" s="66" t="s">
        <v>2586</v>
      </c>
    </row>
    <row r="201" spans="1:1">
      <c r="A201" s="66" t="s">
        <v>3345</v>
      </c>
    </row>
    <row r="202" spans="1:1">
      <c r="A202" s="66" t="s">
        <v>3341</v>
      </c>
    </row>
    <row r="203" spans="1:1">
      <c r="A203" s="66" t="s">
        <v>2864</v>
      </c>
    </row>
    <row r="204" spans="1:1">
      <c r="A204" s="66" t="s">
        <v>2862</v>
      </c>
    </row>
    <row r="205" spans="1:1">
      <c r="A205" s="66" t="s">
        <v>2443</v>
      </c>
    </row>
    <row r="206" spans="1:1">
      <c r="A206" s="66" t="s">
        <v>3615</v>
      </c>
    </row>
    <row r="207" spans="1:1">
      <c r="A207" s="66" t="s">
        <v>3619</v>
      </c>
    </row>
    <row r="208" spans="1:1">
      <c r="A208" s="66" t="s">
        <v>4628</v>
      </c>
    </row>
    <row r="209" spans="1:1">
      <c r="A209" s="66" t="s">
        <v>4874</v>
      </c>
    </row>
    <row r="210" spans="1:1">
      <c r="A210" s="51" t="s">
        <v>4875</v>
      </c>
    </row>
    <row r="211" spans="1:1">
      <c r="A211" s="51" t="s">
        <v>4876</v>
      </c>
    </row>
    <row r="212" spans="1:1">
      <c r="A212" s="51" t="s">
        <v>4061</v>
      </c>
    </row>
    <row r="213" spans="1:1">
      <c r="A213" s="51" t="s">
        <v>4063</v>
      </c>
    </row>
    <row r="214" spans="1:1">
      <c r="A214" s="51" t="s">
        <v>4064</v>
      </c>
    </row>
    <row r="215" spans="1:1">
      <c r="A215" s="51" t="s">
        <v>4065</v>
      </c>
    </row>
    <row r="216" spans="1:1">
      <c r="A216" s="51" t="s">
        <v>4066</v>
      </c>
    </row>
    <row r="217" spans="1:1">
      <c r="A217" s="51" t="s">
        <v>4404</v>
      </c>
    </row>
    <row r="218" spans="1:1">
      <c r="A218" s="51" t="s">
        <v>4275</v>
      </c>
    </row>
    <row r="219" spans="1:1">
      <c r="A219" s="51" t="s">
        <v>4164</v>
      </c>
    </row>
    <row r="220" spans="1:1">
      <c r="A220" s="51" t="s">
        <v>4188</v>
      </c>
    </row>
    <row r="221" spans="1:1">
      <c r="A221" s="51" t="s">
        <v>4041</v>
      </c>
    </row>
    <row r="222" spans="1:1">
      <c r="A222" s="66" t="s">
        <v>3124</v>
      </c>
    </row>
    <row r="223" spans="1:1">
      <c r="A223" s="66" t="s">
        <v>3126</v>
      </c>
    </row>
    <row r="224" spans="1:1">
      <c r="A224" s="66" t="s">
        <v>2935</v>
      </c>
    </row>
    <row r="225" spans="1:1">
      <c r="A225" s="66" t="s">
        <v>4877</v>
      </c>
    </row>
    <row r="226" spans="1:1">
      <c r="A226" s="66" t="s">
        <v>4878</v>
      </c>
    </row>
    <row r="227" spans="1:1">
      <c r="A227" s="66" t="s">
        <v>4879</v>
      </c>
    </row>
    <row r="228" spans="1:1">
      <c r="A228" s="66" t="s">
        <v>4880</v>
      </c>
    </row>
    <row r="229" spans="1:1">
      <c r="A229" s="66" t="s">
        <v>1213</v>
      </c>
    </row>
    <row r="230" spans="1:1">
      <c r="A230" s="66" t="s">
        <v>1214</v>
      </c>
    </row>
    <row r="231" spans="1:1">
      <c r="A231" s="50" t="s">
        <v>1400</v>
      </c>
    </row>
    <row r="232" spans="1:1">
      <c r="A232" s="50" t="s">
        <v>4881</v>
      </c>
    </row>
    <row r="233" spans="1:1">
      <c r="A233" s="50" t="s">
        <v>675</v>
      </c>
    </row>
    <row r="234" spans="1:1">
      <c r="A234" s="50" t="s">
        <v>676</v>
      </c>
    </row>
    <row r="235" spans="1:1">
      <c r="A235" s="50" t="s">
        <v>681</v>
      </c>
    </row>
    <row r="236" spans="1:1">
      <c r="A236" s="50" t="s">
        <v>448</v>
      </c>
    </row>
    <row r="237" spans="1:1">
      <c r="A237" s="50" t="s">
        <v>1493</v>
      </c>
    </row>
    <row r="238" spans="1:1">
      <c r="A238" s="50" t="s">
        <v>1511</v>
      </c>
    </row>
    <row r="239" spans="1:1">
      <c r="A239" s="50" t="s">
        <v>1489</v>
      </c>
    </row>
    <row r="240" spans="1:1">
      <c r="A240" s="50" t="s">
        <v>1427</v>
      </c>
    </row>
    <row r="241" spans="1:1">
      <c r="A241" s="50" t="s">
        <v>4882</v>
      </c>
    </row>
    <row r="242" spans="1:1">
      <c r="A242" s="50" t="s">
        <v>660</v>
      </c>
    </row>
    <row r="243" spans="1:1">
      <c r="A243" s="53" t="s">
        <v>2242</v>
      </c>
    </row>
    <row r="244" spans="1:1">
      <c r="A244" s="53" t="s">
        <v>4883</v>
      </c>
    </row>
    <row r="245" spans="1:1">
      <c r="A245" s="53" t="s">
        <v>4884</v>
      </c>
    </row>
    <row r="246" spans="1:1">
      <c r="A246" s="50" t="s">
        <v>2166</v>
      </c>
    </row>
    <row r="247" spans="1:1">
      <c r="A247" s="50" t="s">
        <v>4701</v>
      </c>
    </row>
    <row r="248" spans="1:1">
      <c r="A248" s="50" t="s">
        <v>431</v>
      </c>
    </row>
    <row r="249" spans="1:1">
      <c r="A249" s="50" t="s">
        <v>287</v>
      </c>
    </row>
    <row r="250" spans="1:1">
      <c r="A250" s="50" t="s">
        <v>281</v>
      </c>
    </row>
    <row r="251" spans="1:1">
      <c r="A251" s="50" t="s">
        <v>286</v>
      </c>
    </row>
    <row r="252" spans="1:1">
      <c r="A252" s="50" t="s">
        <v>284</v>
      </c>
    </row>
    <row r="253" spans="1:1">
      <c r="A253" s="50" t="s">
        <v>283</v>
      </c>
    </row>
    <row r="254" spans="1:1">
      <c r="A254" s="50" t="s">
        <v>285</v>
      </c>
    </row>
    <row r="255" spans="1:1">
      <c r="A255" s="50" t="s">
        <v>4885</v>
      </c>
    </row>
    <row r="256" spans="1:1">
      <c r="A256" s="50" t="s">
        <v>4886</v>
      </c>
    </row>
    <row r="257" spans="1:1">
      <c r="A257" s="50" t="s">
        <v>945</v>
      </c>
    </row>
    <row r="258" spans="1:1">
      <c r="A258" s="50" t="s">
        <v>946</v>
      </c>
    </row>
    <row r="259" spans="1:1">
      <c r="A259" s="50" t="s">
        <v>947</v>
      </c>
    </row>
    <row r="260" spans="1:1">
      <c r="A260" s="50" t="s">
        <v>948</v>
      </c>
    </row>
    <row r="261" spans="1:1">
      <c r="A261" s="50" t="s">
        <v>949</v>
      </c>
    </row>
    <row r="262" spans="1:1">
      <c r="A262" s="50" t="s">
        <v>950</v>
      </c>
    </row>
    <row r="263" spans="1:1">
      <c r="A263" s="50" t="s">
        <v>951</v>
      </c>
    </row>
    <row r="264" spans="1:1">
      <c r="A264" s="50" t="s">
        <v>952</v>
      </c>
    </row>
    <row r="265" spans="1:1">
      <c r="A265" s="50" t="s">
        <v>4887</v>
      </c>
    </row>
    <row r="266" spans="1:1">
      <c r="A266" s="50" t="s">
        <v>4888</v>
      </c>
    </row>
    <row r="267" spans="1:1">
      <c r="A267" s="50" t="s">
        <v>4889</v>
      </c>
    </row>
    <row r="268" spans="1:1">
      <c r="A268" s="50" t="s">
        <v>4890</v>
      </c>
    </row>
    <row r="269" spans="1:1">
      <c r="A269" s="50" t="s">
        <v>4891</v>
      </c>
    </row>
    <row r="270" spans="1:1">
      <c r="A270" s="50" t="s">
        <v>4892</v>
      </c>
    </row>
    <row r="271" spans="1:1">
      <c r="A271" s="50" t="s">
        <v>4893</v>
      </c>
    </row>
    <row r="272" spans="1:1">
      <c r="A272" s="50" t="s">
        <v>4894</v>
      </c>
    </row>
    <row r="273" spans="1:1">
      <c r="A273" s="50" t="s">
        <v>905</v>
      </c>
    </row>
    <row r="274" spans="1:1">
      <c r="A274" s="50" t="s">
        <v>979</v>
      </c>
    </row>
    <row r="275" spans="1:1">
      <c r="A275" s="50" t="s">
        <v>262</v>
      </c>
    </row>
    <row r="276" spans="1:1">
      <c r="A276" s="50" t="s">
        <v>263</v>
      </c>
    </row>
    <row r="277" spans="1:1">
      <c r="A277" s="50" t="s">
        <v>260</v>
      </c>
    </row>
    <row r="278" spans="1:1">
      <c r="A278" s="50" t="s">
        <v>261</v>
      </c>
    </row>
    <row r="279" spans="1:1">
      <c r="A279" s="50" t="s">
        <v>4895</v>
      </c>
    </row>
    <row r="280" spans="1:1">
      <c r="A280" s="50" t="s">
        <v>268</v>
      </c>
    </row>
    <row r="281" spans="1:1">
      <c r="A281" s="50" t="s">
        <v>251</v>
      </c>
    </row>
    <row r="282" spans="1:1">
      <c r="A282" s="50" t="s">
        <v>4896</v>
      </c>
    </row>
    <row r="283" spans="1:1">
      <c r="A283" s="66" t="s">
        <v>4897</v>
      </c>
    </row>
    <row r="284" spans="1:1">
      <c r="A284" s="66" t="s">
        <v>4898</v>
      </c>
    </row>
    <row r="285" spans="1:1">
      <c r="A285" s="66" t="s">
        <v>4899</v>
      </c>
    </row>
    <row r="286" spans="1:1">
      <c r="A286" s="66" t="s">
        <v>4900</v>
      </c>
    </row>
    <row r="287" spans="1:1">
      <c r="A287" s="66" t="s">
        <v>4901</v>
      </c>
    </row>
    <row r="288" spans="1:1">
      <c r="A288" s="66" t="s">
        <v>3210</v>
      </c>
    </row>
    <row r="289" spans="1:1">
      <c r="A289" s="66" t="s">
        <v>2266</v>
      </c>
    </row>
    <row r="290" spans="1:1">
      <c r="A290" s="66" t="s">
        <v>4902</v>
      </c>
    </row>
    <row r="291" spans="1:1">
      <c r="A291" s="66" t="s">
        <v>4903</v>
      </c>
    </row>
    <row r="292" spans="1:1">
      <c r="A292" s="66" t="s">
        <v>4904</v>
      </c>
    </row>
    <row r="293" spans="1:1">
      <c r="A293" s="66" t="s">
        <v>4905</v>
      </c>
    </row>
    <row r="294" spans="1:1">
      <c r="A294" s="66" t="s">
        <v>4906</v>
      </c>
    </row>
    <row r="295" spans="1:1">
      <c r="A295" s="66" t="s">
        <v>4907</v>
      </c>
    </row>
    <row r="296" spans="1:1">
      <c r="A296" s="51" t="s">
        <v>4019</v>
      </c>
    </row>
    <row r="297" spans="1:1">
      <c r="A297" s="51" t="s">
        <v>4343</v>
      </c>
    </row>
    <row r="298" spans="1:1">
      <c r="A298" s="51" t="s">
        <v>4240</v>
      </c>
    </row>
    <row r="299" spans="1:1">
      <c r="A299" s="51" t="s">
        <v>3932</v>
      </c>
    </row>
    <row r="300" spans="1:1">
      <c r="A300" s="51" t="s">
        <v>4908</v>
      </c>
    </row>
    <row r="301" spans="1:1">
      <c r="A301" s="51" t="s">
        <v>4909</v>
      </c>
    </row>
    <row r="302" spans="1:1">
      <c r="A302" s="66" t="s">
        <v>4910</v>
      </c>
    </row>
    <row r="303" spans="1:1">
      <c r="A303" s="66" t="s">
        <v>2921</v>
      </c>
    </row>
    <row r="304" spans="1:1">
      <c r="A304" s="66" t="s">
        <v>3509</v>
      </c>
    </row>
    <row r="305" spans="1:1">
      <c r="A305" s="66" t="s">
        <v>3379</v>
      </c>
    </row>
    <row r="306" spans="1:1">
      <c r="A306" s="66" t="s">
        <v>4911</v>
      </c>
    </row>
    <row r="307" spans="1:1">
      <c r="A307" s="66" t="s">
        <v>4912</v>
      </c>
    </row>
    <row r="308" spans="1:1">
      <c r="A308" s="66" t="s">
        <v>4913</v>
      </c>
    </row>
    <row r="309" spans="1:1">
      <c r="A309" s="66" t="s">
        <v>3403</v>
      </c>
    </row>
    <row r="310" spans="1:1">
      <c r="A310" s="66" t="s">
        <v>3418</v>
      </c>
    </row>
    <row r="311" spans="1:1">
      <c r="A311" s="50" t="s">
        <v>4914</v>
      </c>
    </row>
    <row r="312" spans="1:1">
      <c r="A312" s="50" t="s">
        <v>4915</v>
      </c>
    </row>
    <row r="313" spans="1:1">
      <c r="A313" s="50" t="s">
        <v>1326</v>
      </c>
    </row>
    <row r="314" spans="1:1">
      <c r="A314" s="50" t="s">
        <v>1329</v>
      </c>
    </row>
    <row r="315" spans="1:1">
      <c r="A315" s="50" t="s">
        <v>4916</v>
      </c>
    </row>
    <row r="316" spans="1:1">
      <c r="A316" s="50" t="s">
        <v>4917</v>
      </c>
    </row>
    <row r="317" spans="1:1">
      <c r="A317" s="50" t="s">
        <v>4918</v>
      </c>
    </row>
    <row r="318" spans="1:1">
      <c r="A318" s="50" t="s">
        <v>1505</v>
      </c>
    </row>
    <row r="319" spans="1:1">
      <c r="A319" s="50" t="s">
        <v>1506</v>
      </c>
    </row>
    <row r="320" spans="1:1">
      <c r="A320" s="50" t="s">
        <v>1509</v>
      </c>
    </row>
    <row r="321" spans="1:1">
      <c r="A321" s="50" t="s">
        <v>1508</v>
      </c>
    </row>
    <row r="322" spans="1:1">
      <c r="A322" s="50" t="s">
        <v>4919</v>
      </c>
    </row>
    <row r="323" spans="1:1">
      <c r="A323" s="50" t="s">
        <v>1334</v>
      </c>
    </row>
    <row r="324" spans="1:1">
      <c r="A324" s="50">
        <v>101001594</v>
      </c>
    </row>
    <row r="325" spans="1:1">
      <c r="A325" s="50" t="s">
        <v>529</v>
      </c>
    </row>
    <row r="326" spans="1:1">
      <c r="A326" s="50" t="s">
        <v>226</v>
      </c>
    </row>
    <row r="327" spans="1:1">
      <c r="A327" s="53" t="s">
        <v>4920</v>
      </c>
    </row>
    <row r="328" spans="1:1">
      <c r="A328" s="53" t="s">
        <v>2139</v>
      </c>
    </row>
    <row r="329" spans="1:1">
      <c r="A329" s="50" t="s">
        <v>4921</v>
      </c>
    </row>
    <row r="330" spans="1:1">
      <c r="A330" s="50" t="s">
        <v>4922</v>
      </c>
    </row>
    <row r="331" spans="1:1">
      <c r="A331" s="50" t="s">
        <v>329</v>
      </c>
    </row>
    <row r="332" spans="1:1">
      <c r="A332" s="50" t="s">
        <v>332</v>
      </c>
    </row>
    <row r="333" spans="1:1">
      <c r="A333" s="50" t="s">
        <v>199</v>
      </c>
    </row>
    <row r="334" spans="1:1">
      <c r="A334" s="50" t="s">
        <v>4923</v>
      </c>
    </row>
    <row r="335" spans="1:1">
      <c r="A335" s="50" t="s">
        <v>4924</v>
      </c>
    </row>
    <row r="336" spans="1:1">
      <c r="A336" s="50" t="s">
        <v>4925</v>
      </c>
    </row>
    <row r="337" spans="1:1">
      <c r="A337" s="50" t="s">
        <v>4926</v>
      </c>
    </row>
    <row r="338" spans="1:1">
      <c r="A338" s="50" t="s">
        <v>1084</v>
      </c>
    </row>
    <row r="339" spans="1:1">
      <c r="A339" s="50" t="s">
        <v>1082</v>
      </c>
    </row>
    <row r="340" spans="1:1">
      <c r="A340" s="50" t="s">
        <v>1218</v>
      </c>
    </row>
    <row r="341" spans="1:1">
      <c r="A341" s="50" t="s">
        <v>257</v>
      </c>
    </row>
    <row r="342" spans="1:1">
      <c r="A342" s="50" t="s">
        <v>259</v>
      </c>
    </row>
    <row r="343" spans="1:1">
      <c r="A343" s="50" t="s">
        <v>4927</v>
      </c>
    </row>
    <row r="344" spans="1:1">
      <c r="A344" s="50" t="s">
        <v>1057</v>
      </c>
    </row>
    <row r="345" spans="1:1">
      <c r="A345" s="50" t="s">
        <v>4928</v>
      </c>
    </row>
    <row r="346" spans="1:1">
      <c r="A346" s="66" t="s">
        <v>4929</v>
      </c>
    </row>
    <row r="347" spans="1:1">
      <c r="A347" s="66" t="s">
        <v>2813</v>
      </c>
    </row>
    <row r="348" spans="1:1">
      <c r="A348" s="66" t="s">
        <v>2256</v>
      </c>
    </row>
    <row r="349" spans="1:1">
      <c r="A349" s="66" t="s">
        <v>2779</v>
      </c>
    </row>
    <row r="350" spans="1:1">
      <c r="A350" s="66" t="s">
        <v>2823</v>
      </c>
    </row>
    <row r="351" spans="1:1">
      <c r="A351" s="66" t="s">
        <v>2824</v>
      </c>
    </row>
    <row r="352" spans="1:1">
      <c r="A352" s="66" t="s">
        <v>2789</v>
      </c>
    </row>
    <row r="353" spans="1:1">
      <c r="A353" s="66" t="s">
        <v>2382</v>
      </c>
    </row>
    <row r="354" spans="1:1">
      <c r="A354" s="66" t="s">
        <v>2870</v>
      </c>
    </row>
    <row r="355" spans="1:1">
      <c r="A355" s="66" t="s">
        <v>4930</v>
      </c>
    </row>
    <row r="356" spans="1:1">
      <c r="A356" s="66" t="s">
        <v>4931</v>
      </c>
    </row>
    <row r="357" spans="1:1">
      <c r="A357" s="66" t="s">
        <v>4932</v>
      </c>
    </row>
    <row r="358" spans="1:1">
      <c r="A358" s="66" t="s">
        <v>4933</v>
      </c>
    </row>
    <row r="359" spans="1:1">
      <c r="A359" s="66" t="s">
        <v>4934</v>
      </c>
    </row>
    <row r="360" spans="1:1">
      <c r="A360" s="66" t="s">
        <v>4935</v>
      </c>
    </row>
    <row r="361" spans="1:1">
      <c r="A361" s="66" t="s">
        <v>3604</v>
      </c>
    </row>
    <row r="362" spans="1:1">
      <c r="A362" s="66" t="s">
        <v>4936</v>
      </c>
    </row>
    <row r="363" spans="1:1">
      <c r="A363" s="66" t="s">
        <v>4937</v>
      </c>
    </row>
    <row r="364" spans="1:1">
      <c r="A364" s="66" t="s">
        <v>4938</v>
      </c>
    </row>
    <row r="365" spans="1:1">
      <c r="A365" s="51" t="s">
        <v>4939</v>
      </c>
    </row>
    <row r="366" spans="1:1">
      <c r="A366" s="51" t="s">
        <v>4394</v>
      </c>
    </row>
    <row r="367" spans="1:1">
      <c r="A367" s="51" t="s">
        <v>4395</v>
      </c>
    </row>
    <row r="368" spans="1:1">
      <c r="A368" s="51" t="s">
        <v>4396</v>
      </c>
    </row>
    <row r="369" spans="1:1">
      <c r="A369" s="51" t="s">
        <v>4397</v>
      </c>
    </row>
    <row r="370" spans="1:1">
      <c r="A370" s="51" t="s">
        <v>4398</v>
      </c>
    </row>
    <row r="371" spans="1:1">
      <c r="A371" s="51" t="s">
        <v>4399</v>
      </c>
    </row>
    <row r="372" spans="1:1">
      <c r="A372" s="51" t="s">
        <v>4400</v>
      </c>
    </row>
    <row r="373" spans="1:1">
      <c r="A373" s="51" t="s">
        <v>4401</v>
      </c>
    </row>
    <row r="374" spans="1:1">
      <c r="A374" s="51" t="s">
        <v>4402</v>
      </c>
    </row>
    <row r="375" spans="1:1">
      <c r="A375" s="51" t="s">
        <v>4373</v>
      </c>
    </row>
    <row r="376" spans="1:1">
      <c r="A376" s="51" t="s">
        <v>4482</v>
      </c>
    </row>
    <row r="377" spans="1:1">
      <c r="A377" s="51" t="s">
        <v>4347</v>
      </c>
    </row>
    <row r="378" spans="1:1">
      <c r="A378" s="66" t="s">
        <v>3178</v>
      </c>
    </row>
    <row r="379" spans="1:1">
      <c r="A379" s="66" t="s">
        <v>3179</v>
      </c>
    </row>
    <row r="380" spans="1:1">
      <c r="A380" s="66" t="s">
        <v>3176</v>
      </c>
    </row>
    <row r="381" spans="1:1">
      <c r="A381" s="66" t="s">
        <v>3177</v>
      </c>
    </row>
    <row r="382" spans="1:1">
      <c r="A382" s="66" t="s">
        <v>3283</v>
      </c>
    </row>
    <row r="383" spans="1:1">
      <c r="A383" s="66" t="s">
        <v>2991</v>
      </c>
    </row>
    <row r="384" spans="1:1">
      <c r="A384" s="66" t="s">
        <v>2992</v>
      </c>
    </row>
    <row r="385" spans="1:1">
      <c r="A385" s="66" t="s">
        <v>3412</v>
      </c>
    </row>
    <row r="386" spans="1:1">
      <c r="A386" s="66" t="s">
        <v>3449</v>
      </c>
    </row>
    <row r="387" spans="1:1">
      <c r="A387" s="66" t="s">
        <v>4940</v>
      </c>
    </row>
    <row r="388" spans="1:1">
      <c r="A388" s="50" t="s">
        <v>957</v>
      </c>
    </row>
    <row r="389" spans="1:1">
      <c r="A389" s="50" t="s">
        <v>612</v>
      </c>
    </row>
    <row r="390" spans="1:1">
      <c r="A390" s="50" t="s">
        <v>182</v>
      </c>
    </row>
    <row r="391" spans="1:1">
      <c r="A391" s="50" t="s">
        <v>4941</v>
      </c>
    </row>
    <row r="392" spans="1:1">
      <c r="A392" s="53" t="s">
        <v>1221</v>
      </c>
    </row>
    <row r="393" spans="1:1">
      <c r="A393" s="53" t="s">
        <v>4942</v>
      </c>
    </row>
    <row r="394" spans="1:1">
      <c r="A394" s="66" t="s">
        <v>4943</v>
      </c>
    </row>
    <row r="395" spans="1:1">
      <c r="A395" s="66" t="s">
        <v>4944</v>
      </c>
    </row>
    <row r="396" spans="1:1">
      <c r="A396" s="66" t="s">
        <v>4945</v>
      </c>
    </row>
    <row r="397" spans="1:1">
      <c r="A397" s="66" t="s">
        <v>2825</v>
      </c>
    </row>
    <row r="398" spans="1:1">
      <c r="A398" s="66" t="s">
        <v>2826</v>
      </c>
    </row>
    <row r="399" spans="1:1">
      <c r="A399" s="66" t="s">
        <v>2615</v>
      </c>
    </row>
    <row r="400" spans="1:1">
      <c r="A400" s="66" t="s">
        <v>2561</v>
      </c>
    </row>
    <row r="401" spans="1:1">
      <c r="A401" s="66" t="s">
        <v>4946</v>
      </c>
    </row>
    <row r="402" spans="1:1">
      <c r="A402" s="66" t="s">
        <v>4947</v>
      </c>
    </row>
    <row r="403" spans="1:1">
      <c r="A403" s="50" t="s">
        <v>4689</v>
      </c>
    </row>
    <row r="404" spans="1:1">
      <c r="A404" s="50" t="s">
        <v>4650</v>
      </c>
    </row>
    <row r="405" spans="1:1">
      <c r="A405" s="51" t="s">
        <v>4318</v>
      </c>
    </row>
    <row r="406" spans="1:1">
      <c r="A406" s="51" t="s">
        <v>4312</v>
      </c>
    </row>
    <row r="407" spans="1:1">
      <c r="A407" s="51" t="s">
        <v>4948</v>
      </c>
    </row>
    <row r="408" spans="1:1">
      <c r="A408" s="51" t="s">
        <v>4949</v>
      </c>
    </row>
    <row r="409" spans="1:1">
      <c r="A409" s="51" t="s">
        <v>4950</v>
      </c>
    </row>
    <row r="410" spans="1:1">
      <c r="A410" s="66" t="s">
        <v>4951</v>
      </c>
    </row>
    <row r="411" spans="1:1">
      <c r="A411" s="66" t="s">
        <v>4952</v>
      </c>
    </row>
    <row r="412" spans="1:1">
      <c r="A412" s="66" t="s">
        <v>4953</v>
      </c>
    </row>
    <row r="413" spans="1:1">
      <c r="A413" s="66" t="s">
        <v>691</v>
      </c>
    </row>
    <row r="414" spans="1:1">
      <c r="A414" s="50" t="s">
        <v>677</v>
      </c>
    </row>
    <row r="415" spans="1:1">
      <c r="A415" s="53" t="s">
        <v>4954</v>
      </c>
    </row>
    <row r="416" spans="1:1">
      <c r="A416" s="53" t="s">
        <v>4955</v>
      </c>
    </row>
    <row r="417" spans="1:1">
      <c r="A417" s="53" t="s">
        <v>1794</v>
      </c>
    </row>
    <row r="418" spans="1:1">
      <c r="A418" s="50" t="s">
        <v>333</v>
      </c>
    </row>
    <row r="419" spans="1:1">
      <c r="A419" s="50" t="s">
        <v>334</v>
      </c>
    </row>
    <row r="420" spans="1:1">
      <c r="A420" s="50" t="s">
        <v>1448</v>
      </c>
    </row>
    <row r="421" spans="1:1">
      <c r="A421" s="50" t="s">
        <v>4956</v>
      </c>
    </row>
    <row r="422" spans="1:1">
      <c r="A422" s="50" t="s">
        <v>1202</v>
      </c>
    </row>
    <row r="423" spans="1:1">
      <c r="A423" s="50" t="s">
        <v>1726</v>
      </c>
    </row>
    <row r="424" spans="1:1">
      <c r="A424" s="50" t="s">
        <v>1704</v>
      </c>
    </row>
    <row r="425" spans="1:1">
      <c r="A425" s="50" t="s">
        <v>828</v>
      </c>
    </row>
    <row r="426" spans="1:1">
      <c r="A426" s="50" t="s">
        <v>1309</v>
      </c>
    </row>
    <row r="427" spans="1:1">
      <c r="A427" s="50" t="s">
        <v>1313</v>
      </c>
    </row>
    <row r="428" spans="1:1">
      <c r="A428" s="50" t="s">
        <v>4957</v>
      </c>
    </row>
    <row r="429" spans="1:1">
      <c r="A429" s="50" t="s">
        <v>1216</v>
      </c>
    </row>
    <row r="430" spans="1:1">
      <c r="A430" s="50" t="s">
        <v>1217</v>
      </c>
    </row>
    <row r="431" spans="1:1">
      <c r="A431" s="50" t="s">
        <v>1179</v>
      </c>
    </row>
    <row r="432" spans="1:1">
      <c r="A432" s="50" t="s">
        <v>1184</v>
      </c>
    </row>
    <row r="433" spans="1:1">
      <c r="A433" s="50" t="s">
        <v>1185</v>
      </c>
    </row>
    <row r="434" spans="1:1">
      <c r="A434" s="50" t="s">
        <v>1186</v>
      </c>
    </row>
    <row r="435" spans="1:1">
      <c r="A435" s="50" t="s">
        <v>797</v>
      </c>
    </row>
    <row r="436" spans="1:1">
      <c r="A436" s="50" t="s">
        <v>795</v>
      </c>
    </row>
    <row r="437" spans="1:1">
      <c r="A437" s="50" t="s">
        <v>4958</v>
      </c>
    </row>
    <row r="438" spans="1:1">
      <c r="A438" s="50" t="s">
        <v>798</v>
      </c>
    </row>
    <row r="439" spans="1:1">
      <c r="A439" s="50" t="s">
        <v>799</v>
      </c>
    </row>
    <row r="440" spans="1:1">
      <c r="A440" s="50" t="s">
        <v>800</v>
      </c>
    </row>
    <row r="441" spans="1:1">
      <c r="A441" s="50" t="s">
        <v>801</v>
      </c>
    </row>
    <row r="442" spans="1:1">
      <c r="A442" s="50" t="s">
        <v>802</v>
      </c>
    </row>
    <row r="443" spans="1:1">
      <c r="A443" s="50" t="s">
        <v>803</v>
      </c>
    </row>
    <row r="444" spans="1:1">
      <c r="A444" s="50" t="s">
        <v>804</v>
      </c>
    </row>
    <row r="445" spans="1:1">
      <c r="A445" s="50" t="s">
        <v>4959</v>
      </c>
    </row>
    <row r="446" spans="1:1">
      <c r="A446" s="50" t="s">
        <v>968</v>
      </c>
    </row>
    <row r="447" spans="1:1">
      <c r="A447" s="50" t="s">
        <v>1124</v>
      </c>
    </row>
    <row r="448" spans="1:1">
      <c r="A448" s="66" t="s">
        <v>2729</v>
      </c>
    </row>
    <row r="449" spans="1:1">
      <c r="A449" s="66" t="s">
        <v>2814</v>
      </c>
    </row>
    <row r="450" spans="1:1">
      <c r="A450" s="66" t="s">
        <v>2787</v>
      </c>
    </row>
    <row r="451" spans="1:1">
      <c r="A451" s="66" t="s">
        <v>2827</v>
      </c>
    </row>
    <row r="452" spans="1:1">
      <c r="A452" s="66" t="s">
        <v>2828</v>
      </c>
    </row>
    <row r="453" spans="1:1">
      <c r="A453" s="66" t="s">
        <v>2780</v>
      </c>
    </row>
    <row r="454" spans="1:1">
      <c r="A454" s="66" t="s">
        <v>2799</v>
      </c>
    </row>
    <row r="455" spans="1:1">
      <c r="A455" s="66" t="s">
        <v>2800</v>
      </c>
    </row>
    <row r="456" spans="1:1">
      <c r="A456" s="66" t="s">
        <v>2602</v>
      </c>
    </row>
    <row r="457" spans="1:1">
      <c r="A457" s="66" t="s">
        <v>2345</v>
      </c>
    </row>
    <row r="458" spans="1:1">
      <c r="A458" s="66" t="s">
        <v>2837</v>
      </c>
    </row>
    <row r="459" spans="1:1">
      <c r="A459" s="66" t="s">
        <v>2838</v>
      </c>
    </row>
    <row r="460" spans="1:1">
      <c r="A460" s="66" t="s">
        <v>2839</v>
      </c>
    </row>
    <row r="461" spans="1:1">
      <c r="A461" s="66" t="s">
        <v>3546</v>
      </c>
    </row>
    <row r="462" spans="1:1">
      <c r="A462" s="66" t="s">
        <v>3547</v>
      </c>
    </row>
    <row r="463" spans="1:1">
      <c r="A463" s="66" t="s">
        <v>2340</v>
      </c>
    </row>
    <row r="464" spans="1:1">
      <c r="A464" s="66" t="s">
        <v>4960</v>
      </c>
    </row>
    <row r="465" spans="1:1">
      <c r="A465" s="66" t="s">
        <v>3683</v>
      </c>
    </row>
    <row r="466" spans="1:1">
      <c r="A466" s="66" t="s">
        <v>3684</v>
      </c>
    </row>
    <row r="467" spans="1:1">
      <c r="A467" s="66" t="s">
        <v>3685</v>
      </c>
    </row>
    <row r="468" spans="1:1">
      <c r="A468" s="66" t="s">
        <v>3688</v>
      </c>
    </row>
    <row r="469" spans="1:1">
      <c r="A469" s="66" t="s">
        <v>3689</v>
      </c>
    </row>
    <row r="470" spans="1:1">
      <c r="A470" s="66" t="s">
        <v>3692</v>
      </c>
    </row>
    <row r="471" spans="1:1">
      <c r="A471" s="66" t="s">
        <v>4682</v>
      </c>
    </row>
    <row r="472" spans="1:1">
      <c r="A472" s="66" t="s">
        <v>4961</v>
      </c>
    </row>
    <row r="473" spans="1:1">
      <c r="A473" s="51" t="s">
        <v>4010</v>
      </c>
    </row>
    <row r="474" spans="1:1">
      <c r="A474" s="51" t="s">
        <v>4962</v>
      </c>
    </row>
    <row r="475" spans="1:1">
      <c r="A475" s="51" t="s">
        <v>4963</v>
      </c>
    </row>
    <row r="476" spans="1:1">
      <c r="A476" s="66" t="s">
        <v>3165</v>
      </c>
    </row>
    <row r="477" spans="1:1">
      <c r="A477" s="66" t="s">
        <v>3166</v>
      </c>
    </row>
    <row r="478" spans="1:1">
      <c r="A478" s="66" t="s">
        <v>3167</v>
      </c>
    </row>
    <row r="479" spans="1:1">
      <c r="A479" s="66" t="s">
        <v>3398</v>
      </c>
    </row>
    <row r="480" spans="1:1">
      <c r="A480" s="50" t="s">
        <v>4964</v>
      </c>
    </row>
    <row r="481" spans="1:1">
      <c r="A481" s="49" t="s">
        <v>1383</v>
      </c>
    </row>
    <row r="482" spans="1:1">
      <c r="A482" s="50" t="s">
        <v>1330</v>
      </c>
    </row>
    <row r="483" spans="1:1">
      <c r="A483" s="50" t="s">
        <v>736</v>
      </c>
    </row>
    <row r="484" spans="1:1">
      <c r="A484" s="53" t="s">
        <v>962</v>
      </c>
    </row>
    <row r="485" spans="1:1">
      <c r="A485" s="53" t="s">
        <v>963</v>
      </c>
    </row>
    <row r="486" spans="1:1">
      <c r="A486" s="50" t="s">
        <v>849</v>
      </c>
    </row>
    <row r="487" spans="1:1">
      <c r="A487" s="50" t="s">
        <v>1969</v>
      </c>
    </row>
    <row r="488" spans="1:1">
      <c r="A488" s="53" t="s">
        <v>2061</v>
      </c>
    </row>
    <row r="489" spans="1:1">
      <c r="A489" s="50" t="s">
        <v>4965</v>
      </c>
    </row>
    <row r="490" spans="1:1">
      <c r="A490" s="53" t="s">
        <v>2100</v>
      </c>
    </row>
    <row r="491" spans="1:1">
      <c r="A491" s="53" t="s">
        <v>2079</v>
      </c>
    </row>
    <row r="492" spans="1:1">
      <c r="A492" s="50" t="s">
        <v>1536</v>
      </c>
    </row>
    <row r="493" spans="1:1">
      <c r="A493" s="53" t="s">
        <v>1790</v>
      </c>
    </row>
    <row r="494" spans="1:1">
      <c r="A494" s="53" t="s">
        <v>1793</v>
      </c>
    </row>
    <row r="495" spans="1:1">
      <c r="A495" s="50" t="s">
        <v>4966</v>
      </c>
    </row>
    <row r="496" spans="1:1">
      <c r="A496" s="50" t="s">
        <v>4967</v>
      </c>
    </row>
    <row r="497" spans="1:1">
      <c r="A497" s="50" t="s">
        <v>3854</v>
      </c>
    </row>
    <row r="498" spans="1:1">
      <c r="A498" s="50" t="s">
        <v>2173</v>
      </c>
    </row>
    <row r="499" spans="1:1">
      <c r="A499" s="50" t="s">
        <v>989</v>
      </c>
    </row>
    <row r="500" spans="1:1">
      <c r="A500" s="50" t="s">
        <v>992</v>
      </c>
    </row>
    <row r="501" spans="1:1">
      <c r="A501" s="50" t="s">
        <v>492</v>
      </c>
    </row>
    <row r="502" spans="1:1">
      <c r="A502" s="50" t="s">
        <v>1395</v>
      </c>
    </row>
    <row r="503" spans="1:1">
      <c r="A503" s="50" t="s">
        <v>1573</v>
      </c>
    </row>
    <row r="504" spans="1:1">
      <c r="A504" s="50" t="s">
        <v>4968</v>
      </c>
    </row>
    <row r="505" spans="1:1">
      <c r="A505" s="50" t="s">
        <v>4969</v>
      </c>
    </row>
    <row r="506" spans="1:1">
      <c r="A506" s="53" t="s">
        <v>1038</v>
      </c>
    </row>
    <row r="507" spans="1:1">
      <c r="A507" s="53" t="s">
        <v>1041</v>
      </c>
    </row>
    <row r="508" spans="1:1">
      <c r="A508" s="53" t="s">
        <v>1042</v>
      </c>
    </row>
    <row r="509" spans="1:1">
      <c r="A509" s="50" t="s">
        <v>4970</v>
      </c>
    </row>
    <row r="510" spans="1:1">
      <c r="A510" s="50" t="s">
        <v>4971</v>
      </c>
    </row>
    <row r="511" spans="1:1">
      <c r="A511" s="50" t="s">
        <v>1754</v>
      </c>
    </row>
    <row r="512" spans="1:1">
      <c r="A512" s="50" t="s">
        <v>843</v>
      </c>
    </row>
    <row r="513" spans="1:1">
      <c r="A513" s="50" t="s">
        <v>919</v>
      </c>
    </row>
    <row r="514" spans="1:1">
      <c r="A514" s="50" t="s">
        <v>918</v>
      </c>
    </row>
    <row r="515" spans="1:1">
      <c r="A515" s="50" t="s">
        <v>916</v>
      </c>
    </row>
    <row r="516" spans="1:1">
      <c r="A516" s="50" t="s">
        <v>996</v>
      </c>
    </row>
    <row r="517" spans="1:1">
      <c r="A517" s="50" t="s">
        <v>1067</v>
      </c>
    </row>
    <row r="518" spans="1:1">
      <c r="A518" s="50" t="s">
        <v>647</v>
      </c>
    </row>
    <row r="519" spans="1:1">
      <c r="A519" s="50" t="s">
        <v>633</v>
      </c>
    </row>
    <row r="520" spans="1:1">
      <c r="A520" s="50" t="s">
        <v>747</v>
      </c>
    </row>
    <row r="521" spans="1:1">
      <c r="A521" s="50" t="s">
        <v>1459</v>
      </c>
    </row>
    <row r="522" spans="1:1">
      <c r="A522" s="50" t="s">
        <v>1462</v>
      </c>
    </row>
    <row r="523" spans="1:1">
      <c r="A523" s="50" t="s">
        <v>1219</v>
      </c>
    </row>
    <row r="524" spans="1:1">
      <c r="A524" s="50" t="s">
        <v>1346</v>
      </c>
    </row>
    <row r="525" spans="1:1">
      <c r="A525" s="50" t="s">
        <v>1220</v>
      </c>
    </row>
    <row r="526" spans="1:1">
      <c r="A526" s="53" t="s">
        <v>4972</v>
      </c>
    </row>
    <row r="527" spans="1:1">
      <c r="A527" s="53" t="s">
        <v>1630</v>
      </c>
    </row>
    <row r="528" spans="1:1">
      <c r="A528" s="53" t="s">
        <v>1345</v>
      </c>
    </row>
    <row r="529" spans="1:1">
      <c r="A529" s="50" t="s">
        <v>898</v>
      </c>
    </row>
    <row r="530" spans="1:1">
      <c r="A530" s="50" t="s">
        <v>1344</v>
      </c>
    </row>
    <row r="531" spans="1:1">
      <c r="A531" s="50" t="s">
        <v>4973</v>
      </c>
    </row>
    <row r="532" spans="1:1">
      <c r="A532" s="50" t="s">
        <v>4974</v>
      </c>
    </row>
    <row r="533" spans="1:1">
      <c r="A533" s="50" t="s">
        <v>194</v>
      </c>
    </row>
    <row r="534" spans="1:1">
      <c r="A534" s="53" t="s">
        <v>1806</v>
      </c>
    </row>
    <row r="535" spans="1:1">
      <c r="A535" s="53" t="s">
        <v>1809</v>
      </c>
    </row>
    <row r="536" spans="1:1">
      <c r="A536" s="66" t="s">
        <v>3115</v>
      </c>
    </row>
    <row r="537" spans="1:1">
      <c r="A537" s="66" t="s">
        <v>4975</v>
      </c>
    </row>
    <row r="538" spans="1:1">
      <c r="A538" s="66" t="s">
        <v>4976</v>
      </c>
    </row>
    <row r="539" spans="1:1">
      <c r="A539" s="66" t="s">
        <v>4977</v>
      </c>
    </row>
    <row r="540" spans="1:1">
      <c r="A540" s="66" t="s">
        <v>4978</v>
      </c>
    </row>
    <row r="541" spans="1:1">
      <c r="A541" s="66" t="s">
        <v>4979</v>
      </c>
    </row>
    <row r="542" spans="1:1">
      <c r="A542" s="66" t="s">
        <v>4980</v>
      </c>
    </row>
    <row r="543" spans="1:1">
      <c r="A543" s="66" t="s">
        <v>2796</v>
      </c>
    </row>
    <row r="544" spans="1:1">
      <c r="A544" s="66" t="s">
        <v>2791</v>
      </c>
    </row>
    <row r="545" spans="1:1">
      <c r="A545" s="66" t="s">
        <v>2719</v>
      </c>
    </row>
    <row r="546" spans="1:1">
      <c r="A546" s="66" t="s">
        <v>2798</v>
      </c>
    </row>
    <row r="547" spans="1:1">
      <c r="A547" s="66" t="s">
        <v>3202</v>
      </c>
    </row>
    <row r="548" spans="1:1">
      <c r="A548" s="66" t="s">
        <v>2841</v>
      </c>
    </row>
    <row r="549" spans="1:1">
      <c r="A549" s="66" t="s">
        <v>2842</v>
      </c>
    </row>
    <row r="550" spans="1:1">
      <c r="A550" s="66" t="s">
        <v>2843</v>
      </c>
    </row>
    <row r="551" spans="1:1">
      <c r="A551" s="66" t="s">
        <v>4981</v>
      </c>
    </row>
    <row r="552" spans="1:1">
      <c r="A552" s="66" t="s">
        <v>4982</v>
      </c>
    </row>
    <row r="553" spans="1:1">
      <c r="A553" s="66" t="s">
        <v>3010</v>
      </c>
    </row>
    <row r="554" spans="1:1">
      <c r="A554" s="66" t="s">
        <v>3729</v>
      </c>
    </row>
    <row r="555" spans="1:1">
      <c r="A555" s="66" t="s">
        <v>4983</v>
      </c>
    </row>
    <row r="556" spans="1:1">
      <c r="A556" s="66" t="s">
        <v>3700</v>
      </c>
    </row>
    <row r="557" spans="1:1">
      <c r="A557" s="66" t="s">
        <v>3680</v>
      </c>
    </row>
    <row r="558" spans="1:1">
      <c r="A558" s="66" t="s">
        <v>3682</v>
      </c>
    </row>
    <row r="559" spans="1:1">
      <c r="A559" s="66" t="s">
        <v>3686</v>
      </c>
    </row>
    <row r="560" spans="1:1">
      <c r="A560" s="66" t="s">
        <v>3691</v>
      </c>
    </row>
    <row r="561" spans="1:1">
      <c r="A561" s="66" t="s">
        <v>3690</v>
      </c>
    </row>
    <row r="562" spans="1:1">
      <c r="A562" s="66" t="s">
        <v>4623</v>
      </c>
    </row>
    <row r="563" spans="1:1">
      <c r="A563" s="66" t="s">
        <v>4604</v>
      </c>
    </row>
    <row r="564" spans="1:1">
      <c r="A564" s="66" t="s">
        <v>4984</v>
      </c>
    </row>
    <row r="565" spans="1:1">
      <c r="A565" s="66" t="s">
        <v>4638</v>
      </c>
    </row>
    <row r="566" spans="1:1">
      <c r="A566" s="66" t="s">
        <v>4985</v>
      </c>
    </row>
    <row r="567" spans="1:1">
      <c r="A567" s="66" t="s">
        <v>4986</v>
      </c>
    </row>
    <row r="568" spans="1:1">
      <c r="A568" s="66" t="s">
        <v>4670</v>
      </c>
    </row>
    <row r="569" spans="1:1">
      <c r="A569" s="50" t="s">
        <v>4987</v>
      </c>
    </row>
    <row r="570" spans="1:1">
      <c r="A570" s="50" t="s">
        <v>4988</v>
      </c>
    </row>
    <row r="571" spans="1:1">
      <c r="A571" s="50" t="s">
        <v>4657</v>
      </c>
    </row>
    <row r="572" spans="1:1">
      <c r="A572" s="51" t="s">
        <v>4082</v>
      </c>
    </row>
    <row r="573" spans="1:1">
      <c r="A573" s="51" t="s">
        <v>4337</v>
      </c>
    </row>
    <row r="574" spans="1:1">
      <c r="A574" s="51" t="s">
        <v>4338</v>
      </c>
    </row>
    <row r="575" spans="1:1">
      <c r="A575" s="51" t="s">
        <v>4989</v>
      </c>
    </row>
    <row r="576" spans="1:1">
      <c r="A576" s="51" t="s">
        <v>4288</v>
      </c>
    </row>
    <row r="577" spans="1:1">
      <c r="A577" s="51" t="s">
        <v>4290</v>
      </c>
    </row>
    <row r="578" spans="1:1">
      <c r="A578" s="51" t="s">
        <v>4291</v>
      </c>
    </row>
    <row r="579" spans="1:1">
      <c r="A579" s="51" t="s">
        <v>3920</v>
      </c>
    </row>
    <row r="580" spans="1:1">
      <c r="A580" s="66" t="s">
        <v>3397</v>
      </c>
    </row>
    <row r="581" spans="1:1">
      <c r="A581" s="50" t="s">
        <v>731</v>
      </c>
    </row>
    <row r="582" spans="1:1">
      <c r="A582" s="50" t="s">
        <v>732</v>
      </c>
    </row>
    <row r="583" spans="1:1">
      <c r="A583" s="50" t="s">
        <v>728</v>
      </c>
    </row>
    <row r="584" spans="1:1">
      <c r="A584" s="50" t="s">
        <v>730</v>
      </c>
    </row>
    <row r="585" spans="1:1">
      <c r="A585" s="53" t="s">
        <v>1946</v>
      </c>
    </row>
    <row r="586" spans="1:1">
      <c r="A586" s="53" t="s">
        <v>1950</v>
      </c>
    </row>
    <row r="587" spans="1:1">
      <c r="A587" s="50" t="s">
        <v>1507</v>
      </c>
    </row>
    <row r="588" spans="1:1">
      <c r="A588" s="53" t="s">
        <v>2063</v>
      </c>
    </row>
    <row r="589" spans="1:1">
      <c r="A589" s="53" t="s">
        <v>2064</v>
      </c>
    </row>
    <row r="590" spans="1:1">
      <c r="A590" s="53" t="s">
        <v>2065</v>
      </c>
    </row>
    <row r="591" spans="1:1">
      <c r="A591" s="53" t="s">
        <v>2066</v>
      </c>
    </row>
    <row r="592" spans="1:1">
      <c r="A592" s="53" t="s">
        <v>2067</v>
      </c>
    </row>
    <row r="593" spans="1:1">
      <c r="A593" s="53" t="s">
        <v>2068</v>
      </c>
    </row>
    <row r="594" spans="1:1">
      <c r="A594" s="53" t="s">
        <v>2069</v>
      </c>
    </row>
    <row r="595" spans="1:1">
      <c r="A595" s="53" t="s">
        <v>2070</v>
      </c>
    </row>
    <row r="596" spans="1:1">
      <c r="A596" s="53" t="s">
        <v>2071</v>
      </c>
    </row>
    <row r="597" spans="1:1">
      <c r="A597" s="50" t="s">
        <v>1476</v>
      </c>
    </row>
    <row r="598" spans="1:1">
      <c r="A598" s="53" t="s">
        <v>2215</v>
      </c>
    </row>
    <row r="599" spans="1:1">
      <c r="A599" s="53" t="s">
        <v>2217</v>
      </c>
    </row>
    <row r="600" spans="1:1">
      <c r="A600" s="53" t="s">
        <v>2218</v>
      </c>
    </row>
    <row r="601" spans="1:1">
      <c r="A601" s="53" t="s">
        <v>2219</v>
      </c>
    </row>
    <row r="602" spans="1:1">
      <c r="A602" s="53" t="s">
        <v>2220</v>
      </c>
    </row>
    <row r="603" spans="1:1">
      <c r="A603" s="53" t="s">
        <v>2221</v>
      </c>
    </row>
    <row r="604" spans="1:1">
      <c r="A604" s="53" t="s">
        <v>2222</v>
      </c>
    </row>
    <row r="605" spans="1:1">
      <c r="A605" s="53" t="s">
        <v>2223</v>
      </c>
    </row>
    <row r="606" spans="1:1">
      <c r="A606" s="53" t="s">
        <v>2224</v>
      </c>
    </row>
    <row r="607" spans="1:1">
      <c r="A607" s="53" t="s">
        <v>2225</v>
      </c>
    </row>
    <row r="608" spans="1:1">
      <c r="A608" s="50" t="s">
        <v>1237</v>
      </c>
    </row>
    <row r="609" spans="1:1">
      <c r="A609" s="53" t="s">
        <v>2045</v>
      </c>
    </row>
    <row r="610" spans="1:1">
      <c r="A610" s="53" t="s">
        <v>2198</v>
      </c>
    </row>
    <row r="611" spans="1:1">
      <c r="A611" s="53" t="s">
        <v>1798</v>
      </c>
    </row>
    <row r="612" spans="1:1">
      <c r="A612" s="53" t="s">
        <v>1873</v>
      </c>
    </row>
    <row r="613" spans="1:1">
      <c r="A613" s="53" t="s">
        <v>4990</v>
      </c>
    </row>
    <row r="614" spans="1:1">
      <c r="A614" s="53" t="s">
        <v>1956</v>
      </c>
    </row>
    <row r="615" spans="1:1">
      <c r="A615" s="53" t="s">
        <v>1960</v>
      </c>
    </row>
    <row r="616" spans="1:1">
      <c r="A616" s="50" t="s">
        <v>1086</v>
      </c>
    </row>
    <row r="617" spans="1:1">
      <c r="A617" s="50" t="s">
        <v>1085</v>
      </c>
    </row>
    <row r="618" spans="1:1">
      <c r="A618" s="50" t="s">
        <v>1089</v>
      </c>
    </row>
    <row r="619" spans="1:1">
      <c r="A619" s="50" t="s">
        <v>833</v>
      </c>
    </row>
    <row r="620" spans="1:1">
      <c r="A620" s="53" t="s">
        <v>1045</v>
      </c>
    </row>
    <row r="621" spans="1:1">
      <c r="A621" s="53" t="s">
        <v>1472</v>
      </c>
    </row>
    <row r="622" spans="1:1">
      <c r="A622" s="50" t="s">
        <v>1018</v>
      </c>
    </row>
    <row r="623" spans="1:1">
      <c r="A623" s="50" t="s">
        <v>1020</v>
      </c>
    </row>
    <row r="624" spans="1:1">
      <c r="A624" s="50" t="s">
        <v>805</v>
      </c>
    </row>
    <row r="625" spans="1:1">
      <c r="A625" s="50" t="s">
        <v>806</v>
      </c>
    </row>
    <row r="626" spans="1:1">
      <c r="A626" s="50" t="s">
        <v>596</v>
      </c>
    </row>
    <row r="627" spans="1:1">
      <c r="A627" s="51" t="s">
        <v>2157</v>
      </c>
    </row>
    <row r="628" spans="1:1">
      <c r="A628" s="51" t="s">
        <v>2155</v>
      </c>
    </row>
    <row r="629" spans="1:1">
      <c r="A629" s="66" t="s">
        <v>2608</v>
      </c>
    </row>
    <row r="630" spans="1:1">
      <c r="A630" s="66" t="s">
        <v>2491</v>
      </c>
    </row>
    <row r="631" spans="1:1">
      <c r="A631" s="66" t="s">
        <v>2430</v>
      </c>
    </row>
    <row r="632" spans="1:1">
      <c r="A632" s="66" t="s">
        <v>2781</v>
      </c>
    </row>
    <row r="633" spans="1:1">
      <c r="A633" s="66" t="s">
        <v>2782</v>
      </c>
    </row>
    <row r="634" spans="1:1">
      <c r="A634" s="66" t="s">
        <v>2783</v>
      </c>
    </row>
    <row r="635" spans="1:1">
      <c r="A635" s="66" t="s">
        <v>2815</v>
      </c>
    </row>
    <row r="636" spans="1:1">
      <c r="A636" s="66" t="s">
        <v>2658</v>
      </c>
    </row>
    <row r="637" spans="1:1">
      <c r="A637" s="66" t="s">
        <v>3276</v>
      </c>
    </row>
    <row r="638" spans="1:1">
      <c r="A638" s="66" t="s">
        <v>2551</v>
      </c>
    </row>
    <row r="639" spans="1:1">
      <c r="A639" s="66" t="s">
        <v>4991</v>
      </c>
    </row>
    <row r="640" spans="1:1">
      <c r="A640" s="66" t="s">
        <v>2635</v>
      </c>
    </row>
    <row r="641" spans="1:1">
      <c r="A641" s="66" t="s">
        <v>2312</v>
      </c>
    </row>
    <row r="642" spans="1:1">
      <c r="A642" s="66" t="s">
        <v>3543</v>
      </c>
    </row>
    <row r="643" spans="1:1">
      <c r="A643" s="66" t="s">
        <v>3544</v>
      </c>
    </row>
    <row r="644" spans="1:1">
      <c r="A644" s="66" t="s">
        <v>3545</v>
      </c>
    </row>
    <row r="645" spans="1:1">
      <c r="A645" s="66" t="s">
        <v>2485</v>
      </c>
    </row>
    <row r="646" spans="1:1">
      <c r="A646" s="66" t="s">
        <v>2463</v>
      </c>
    </row>
    <row r="647" spans="1:1">
      <c r="A647" s="66" t="s">
        <v>4992</v>
      </c>
    </row>
    <row r="648" spans="1:1">
      <c r="A648" s="66" t="s">
        <v>4993</v>
      </c>
    </row>
    <row r="649" spans="1:1">
      <c r="A649" s="66" t="s">
        <v>4994</v>
      </c>
    </row>
    <row r="650" spans="1:1">
      <c r="A650" s="66" t="s">
        <v>4995</v>
      </c>
    </row>
    <row r="651" spans="1:1">
      <c r="A651" s="66" t="s">
        <v>4996</v>
      </c>
    </row>
    <row r="652" spans="1:1">
      <c r="A652" s="66" t="s">
        <v>4997</v>
      </c>
    </row>
    <row r="653" spans="1:1">
      <c r="A653" s="66" t="s">
        <v>3823</v>
      </c>
    </row>
    <row r="654" spans="1:1">
      <c r="A654" s="50" t="s">
        <v>4998</v>
      </c>
    </row>
    <row r="655" spans="1:1">
      <c r="A655" s="50" t="s">
        <v>4644</v>
      </c>
    </row>
    <row r="656" spans="1:1">
      <c r="A656" s="50" t="s">
        <v>4999</v>
      </c>
    </row>
    <row r="657" spans="1:1">
      <c r="A657" s="51" t="s">
        <v>4233</v>
      </c>
    </row>
    <row r="658" spans="1:1">
      <c r="A658" s="51" t="s">
        <v>4214</v>
      </c>
    </row>
    <row r="659" spans="1:1">
      <c r="A659" s="51" t="s">
        <v>4484</v>
      </c>
    </row>
    <row r="660" spans="1:1">
      <c r="A660" s="51" t="s">
        <v>4258</v>
      </c>
    </row>
    <row r="661" spans="1:1">
      <c r="A661" s="51" t="s">
        <v>4261</v>
      </c>
    </row>
    <row r="662" spans="1:1">
      <c r="A662" s="51" t="s">
        <v>4262</v>
      </c>
    </row>
    <row r="663" spans="1:1">
      <c r="A663" s="51" t="s">
        <v>4263</v>
      </c>
    </row>
    <row r="664" spans="1:1">
      <c r="A664" s="51" t="s">
        <v>4264</v>
      </c>
    </row>
    <row r="665" spans="1:1">
      <c r="A665" s="51" t="s">
        <v>4056</v>
      </c>
    </row>
    <row r="666" spans="1:1">
      <c r="A666" s="51" t="s">
        <v>1314</v>
      </c>
    </row>
    <row r="667" spans="1:1">
      <c r="A667" s="50" t="s">
        <v>512</v>
      </c>
    </row>
    <row r="668" spans="1:1">
      <c r="A668" s="50" t="s">
        <v>1023</v>
      </c>
    </row>
    <row r="669" spans="1:1">
      <c r="A669" s="50" t="s">
        <v>2175</v>
      </c>
    </row>
    <row r="670" spans="1:1">
      <c r="A670" s="50" t="s">
        <v>1733</v>
      </c>
    </row>
    <row r="671" spans="1:1">
      <c r="A671" s="50" t="s">
        <v>1574</v>
      </c>
    </row>
    <row r="672" spans="1:1">
      <c r="A672" s="50" t="s">
        <v>1575</v>
      </c>
    </row>
    <row r="673" spans="1:1">
      <c r="A673" s="50" t="s">
        <v>1264</v>
      </c>
    </row>
    <row r="674" spans="1:1">
      <c r="A674" s="50" t="s">
        <v>1030</v>
      </c>
    </row>
    <row r="675" spans="1:1">
      <c r="A675" s="50" t="s">
        <v>1028</v>
      </c>
    </row>
    <row r="676" spans="1:1">
      <c r="A676" s="50" t="s">
        <v>163</v>
      </c>
    </row>
    <row r="677" spans="1:1">
      <c r="A677" s="50" t="s">
        <v>1240</v>
      </c>
    </row>
    <row r="678" spans="1:1">
      <c r="A678" s="50" t="s">
        <v>1088</v>
      </c>
    </row>
    <row r="679" spans="1:1">
      <c r="A679" s="50" t="s">
        <v>929</v>
      </c>
    </row>
    <row r="680" spans="1:1">
      <c r="A680" s="50" t="s">
        <v>931</v>
      </c>
    </row>
    <row r="681" spans="1:1">
      <c r="A681" s="50" t="s">
        <v>839</v>
      </c>
    </row>
    <row r="682" spans="1:1">
      <c r="A682" s="50" t="s">
        <v>649</v>
      </c>
    </row>
    <row r="683" spans="1:1">
      <c r="A683" s="50" t="s">
        <v>5000</v>
      </c>
    </row>
    <row r="684" spans="1:1">
      <c r="A684" s="50" t="s">
        <v>1463</v>
      </c>
    </row>
    <row r="685" spans="1:1">
      <c r="A685" s="50" t="s">
        <v>1464</v>
      </c>
    </row>
    <row r="686" spans="1:1">
      <c r="A686" s="50" t="s">
        <v>1465</v>
      </c>
    </row>
    <row r="687" spans="1:1">
      <c r="A687" s="50" t="s">
        <v>1466</v>
      </c>
    </row>
    <row r="688" spans="1:1">
      <c r="A688" s="50" t="s">
        <v>1467</v>
      </c>
    </row>
    <row r="689" spans="1:1">
      <c r="A689" s="50">
        <v>500003859</v>
      </c>
    </row>
    <row r="690" spans="1:1">
      <c r="A690" s="50" t="s">
        <v>807</v>
      </c>
    </row>
    <row r="691" spans="1:1">
      <c r="A691" s="50" t="s">
        <v>808</v>
      </c>
    </row>
    <row r="692" spans="1:1">
      <c r="A692" s="50" t="s">
        <v>5001</v>
      </c>
    </row>
    <row r="693" spans="1:1">
      <c r="A693" s="50" t="s">
        <v>589</v>
      </c>
    </row>
    <row r="694" spans="1:1">
      <c r="A694" s="50" t="s">
        <v>362</v>
      </c>
    </row>
    <row r="695" spans="1:1">
      <c r="A695" s="51" t="s">
        <v>1858</v>
      </c>
    </row>
    <row r="696" spans="1:1">
      <c r="A696" s="51" t="s">
        <v>1922</v>
      </c>
    </row>
    <row r="697" spans="1:1">
      <c r="A697" s="66" t="s">
        <v>2797</v>
      </c>
    </row>
    <row r="698" spans="1:1">
      <c r="A698" s="66" t="s">
        <v>2597</v>
      </c>
    </row>
    <row r="699" spans="1:1">
      <c r="A699" s="66" t="s">
        <v>2844</v>
      </c>
    </row>
    <row r="700" spans="1:1">
      <c r="A700" s="66" t="s">
        <v>5002</v>
      </c>
    </row>
    <row r="701" spans="1:1">
      <c r="A701" s="66" t="s">
        <v>5003</v>
      </c>
    </row>
    <row r="702" spans="1:1">
      <c r="A702" s="66" t="s">
        <v>2845</v>
      </c>
    </row>
    <row r="703" spans="1:1">
      <c r="A703" s="66" t="s">
        <v>3694</v>
      </c>
    </row>
    <row r="704" spans="1:1">
      <c r="A704" s="66" t="s">
        <v>3610</v>
      </c>
    </row>
    <row r="705" spans="1:1">
      <c r="A705" s="66" t="s">
        <v>5004</v>
      </c>
    </row>
    <row r="706" spans="1:1">
      <c r="A706" s="66" t="s">
        <v>5005</v>
      </c>
    </row>
    <row r="707" spans="1:1">
      <c r="A707" s="66" t="s">
        <v>5006</v>
      </c>
    </row>
    <row r="708" spans="1:1">
      <c r="A708" s="66" t="s">
        <v>5007</v>
      </c>
    </row>
    <row r="709" spans="1:1">
      <c r="A709" s="66" t="s">
        <v>3880</v>
      </c>
    </row>
    <row r="710" spans="1:1">
      <c r="A710" s="66" t="s">
        <v>3673</v>
      </c>
    </row>
    <row r="711" spans="1:1">
      <c r="A711" s="50" t="s">
        <v>5008</v>
      </c>
    </row>
    <row r="712" spans="1:1">
      <c r="A712" s="50" t="s">
        <v>5009</v>
      </c>
    </row>
    <row r="713" spans="1:1">
      <c r="A713" s="51" t="s">
        <v>4545</v>
      </c>
    </row>
    <row r="714" spans="1:1">
      <c r="A714" s="51" t="s">
        <v>4547</v>
      </c>
    </row>
    <row r="715" spans="1:1">
      <c r="A715" s="51" t="s">
        <v>4223</v>
      </c>
    </row>
    <row r="716" spans="1:1">
      <c r="A716" s="51" t="s">
        <v>4226</v>
      </c>
    </row>
    <row r="717" spans="1:1">
      <c r="A717" s="51" t="s">
        <v>4227</v>
      </c>
    </row>
    <row r="718" spans="1:1">
      <c r="A718" s="51" t="s">
        <v>4228</v>
      </c>
    </row>
    <row r="719" spans="1:1">
      <c r="A719" s="51" t="s">
        <v>3996</v>
      </c>
    </row>
    <row r="720" spans="1:1">
      <c r="A720" s="51" t="s">
        <v>3995</v>
      </c>
    </row>
    <row r="721" spans="1:1">
      <c r="A721" s="51">
        <v>305000054</v>
      </c>
    </row>
    <row r="722" spans="1:1">
      <c r="A722" s="51" t="s">
        <v>4387</v>
      </c>
    </row>
    <row r="723" spans="1:1">
      <c r="A723" s="51" t="s">
        <v>3902</v>
      </c>
    </row>
    <row r="724" spans="1:1">
      <c r="A724" s="51" t="s">
        <v>3998</v>
      </c>
    </row>
    <row r="725" spans="1:1">
      <c r="A725" s="51" t="s">
        <v>4265</v>
      </c>
    </row>
    <row r="726" spans="1:1">
      <c r="A726" s="51" t="s">
        <v>4266</v>
      </c>
    </row>
    <row r="727" spans="1:1">
      <c r="A727" s="66" t="s">
        <v>3186</v>
      </c>
    </row>
    <row r="728" spans="1:1">
      <c r="A728" s="66" t="s">
        <v>3271</v>
      </c>
    </row>
    <row r="729" spans="1:1">
      <c r="A729" s="51" t="s">
        <v>4574</v>
      </c>
    </row>
    <row r="730" spans="1:1">
      <c r="A730" s="66" t="s">
        <v>3842</v>
      </c>
    </row>
    <row r="731" spans="1:1">
      <c r="A731" s="53" t="s">
        <v>1927</v>
      </c>
    </row>
    <row r="732" spans="1:1">
      <c r="A732" s="53" t="s">
        <v>1930</v>
      </c>
    </row>
    <row r="733" spans="1:1">
      <c r="A733" s="50" t="s">
        <v>1285</v>
      </c>
    </row>
    <row r="734" spans="1:1">
      <c r="A734" s="50" t="s">
        <v>1288</v>
      </c>
    </row>
    <row r="735" spans="1:1">
      <c r="A735" s="50" t="s">
        <v>1289</v>
      </c>
    </row>
    <row r="736" spans="1:1">
      <c r="A736" s="50" t="s">
        <v>1290</v>
      </c>
    </row>
    <row r="737" spans="1:1">
      <c r="A737" s="50" t="s">
        <v>1291</v>
      </c>
    </row>
    <row r="738" spans="1:1">
      <c r="A738" s="50" t="s">
        <v>1233</v>
      </c>
    </row>
    <row r="739" spans="1:1">
      <c r="A739" s="50" t="s">
        <v>412</v>
      </c>
    </row>
    <row r="740" spans="1:1">
      <c r="A740" s="50" t="s">
        <v>411</v>
      </c>
    </row>
    <row r="741" spans="1:1">
      <c r="A741" s="50" t="s">
        <v>324</v>
      </c>
    </row>
    <row r="742" spans="1:1">
      <c r="A742" s="50" t="s">
        <v>5010</v>
      </c>
    </row>
    <row r="743" spans="1:1">
      <c r="A743" s="50" t="s">
        <v>964</v>
      </c>
    </row>
    <row r="744" spans="1:1">
      <c r="A744" s="50" t="s">
        <v>1576</v>
      </c>
    </row>
    <row r="745" spans="1:1">
      <c r="A745" s="50" t="s">
        <v>765</v>
      </c>
    </row>
    <row r="746" spans="1:1">
      <c r="A746" s="50" t="s">
        <v>1031</v>
      </c>
    </row>
    <row r="747" spans="1:1">
      <c r="A747" s="50" t="s">
        <v>921</v>
      </c>
    </row>
    <row r="748" spans="1:1">
      <c r="A748" s="50" t="s">
        <v>922</v>
      </c>
    </row>
    <row r="749" spans="1:1">
      <c r="A749" s="50" t="s">
        <v>858</v>
      </c>
    </row>
    <row r="750" spans="1:1">
      <c r="A750" s="50" t="s">
        <v>5011</v>
      </c>
    </row>
    <row r="751" spans="1:1">
      <c r="A751" s="50" t="s">
        <v>644</v>
      </c>
    </row>
    <row r="752" spans="1:1">
      <c r="A752" s="50" t="s">
        <v>1468</v>
      </c>
    </row>
    <row r="753" spans="1:1">
      <c r="A753" s="50" t="s">
        <v>1469</v>
      </c>
    </row>
    <row r="754" spans="1:1">
      <c r="A754" s="50" t="s">
        <v>809</v>
      </c>
    </row>
    <row r="755" spans="1:1">
      <c r="A755" s="50" t="s">
        <v>810</v>
      </c>
    </row>
    <row r="756" spans="1:1">
      <c r="A756" s="50" t="s">
        <v>1113</v>
      </c>
    </row>
    <row r="757" spans="1:1">
      <c r="A757" s="50" t="s">
        <v>1596</v>
      </c>
    </row>
    <row r="758" spans="1:1">
      <c r="A758" s="66" t="s">
        <v>5012</v>
      </c>
    </row>
    <row r="759" spans="1:1">
      <c r="A759" s="66" t="s">
        <v>5013</v>
      </c>
    </row>
    <row r="760" spans="1:1">
      <c r="A760" s="66" t="s">
        <v>5014</v>
      </c>
    </row>
    <row r="761" spans="1:1">
      <c r="A761" s="66" t="s">
        <v>5015</v>
      </c>
    </row>
    <row r="762" spans="1:1">
      <c r="A762" s="66" t="s">
        <v>5016</v>
      </c>
    </row>
    <row r="763" spans="1:1">
      <c r="A763" s="67" t="s">
        <v>5017</v>
      </c>
    </row>
    <row r="764" spans="1:1">
      <c r="A764" s="67" t="s">
        <v>5018</v>
      </c>
    </row>
    <row r="765" spans="1:1">
      <c r="A765" s="66" t="s">
        <v>5019</v>
      </c>
    </row>
    <row r="766" spans="1:1">
      <c r="A766" s="66" t="s">
        <v>2846</v>
      </c>
    </row>
    <row r="767" spans="1:1">
      <c r="A767" s="66" t="s">
        <v>2847</v>
      </c>
    </row>
    <row r="768" spans="1:1">
      <c r="A768" s="66" t="s">
        <v>2848</v>
      </c>
    </row>
    <row r="769" spans="1:1">
      <c r="A769" s="66" t="s">
        <v>2849</v>
      </c>
    </row>
    <row r="770" spans="1:1">
      <c r="A770" s="66" t="s">
        <v>2850</v>
      </c>
    </row>
    <row r="771" spans="1:1">
      <c r="A771" s="66" t="s">
        <v>2851</v>
      </c>
    </row>
    <row r="772" spans="1:1">
      <c r="A772" s="66" t="s">
        <v>2755</v>
      </c>
    </row>
    <row r="773" spans="1:1">
      <c r="A773" s="66" t="s">
        <v>2852</v>
      </c>
    </row>
    <row r="774" spans="1:1">
      <c r="A774" s="66" t="s">
        <v>2853</v>
      </c>
    </row>
    <row r="775" spans="1:1">
      <c r="A775" s="66" t="s">
        <v>2854</v>
      </c>
    </row>
    <row r="776" spans="1:1">
      <c r="A776" s="66" t="s">
        <v>2855</v>
      </c>
    </row>
    <row r="777" spans="1:1">
      <c r="A777" s="66" t="s">
        <v>2856</v>
      </c>
    </row>
    <row r="778" spans="1:1">
      <c r="A778" s="66" t="s">
        <v>2857</v>
      </c>
    </row>
    <row r="779" spans="1:1">
      <c r="A779" s="66" t="s">
        <v>2858</v>
      </c>
    </row>
    <row r="780" spans="1:1">
      <c r="A780" s="66" t="s">
        <v>2859</v>
      </c>
    </row>
    <row r="781" spans="1:1">
      <c r="A781" s="66" t="s">
        <v>2860</v>
      </c>
    </row>
    <row r="782" spans="1:1">
      <c r="A782" s="66" t="s">
        <v>3548</v>
      </c>
    </row>
    <row r="783" spans="1:1">
      <c r="A783" s="66" t="s">
        <v>3549</v>
      </c>
    </row>
    <row r="784" spans="1:1">
      <c r="A784" s="66" t="s">
        <v>4665</v>
      </c>
    </row>
    <row r="785" spans="1:1">
      <c r="A785" s="51" t="s">
        <v>4036</v>
      </c>
    </row>
    <row r="786" spans="1:1">
      <c r="A786" s="51" t="s">
        <v>3925</v>
      </c>
    </row>
    <row r="787" spans="1:1">
      <c r="A787" s="51">
        <v>305000053</v>
      </c>
    </row>
    <row r="788" spans="1:1">
      <c r="A788" s="51">
        <v>305000055</v>
      </c>
    </row>
    <row r="789" spans="1:1">
      <c r="A789" s="51">
        <v>305000056</v>
      </c>
    </row>
    <row r="790" spans="1:1">
      <c r="A790" s="51">
        <v>305000057</v>
      </c>
    </row>
    <row r="791" spans="1:1">
      <c r="A791" s="51" t="s">
        <v>5020</v>
      </c>
    </row>
    <row r="792" spans="1:1">
      <c r="A792" s="51" t="s">
        <v>4077</v>
      </c>
    </row>
    <row r="793" spans="1:1">
      <c r="A793" s="51" t="s">
        <v>4280</v>
      </c>
    </row>
    <row r="794" spans="1:1">
      <c r="A794" s="50" t="s">
        <v>1654</v>
      </c>
    </row>
    <row r="795" spans="1:1">
      <c r="A795" s="50" t="s">
        <v>1747</v>
      </c>
    </row>
    <row r="796" spans="1:1">
      <c r="A796" s="50" t="s">
        <v>1749</v>
      </c>
    </row>
    <row r="797" spans="1:1">
      <c r="A797" s="50" t="s">
        <v>1194</v>
      </c>
    </row>
    <row r="798" spans="1:1">
      <c r="A798" s="50" t="s">
        <v>1198</v>
      </c>
    </row>
    <row r="799" spans="1:1">
      <c r="A799" s="50" t="s">
        <v>5021</v>
      </c>
    </row>
    <row r="800" spans="1:1">
      <c r="A800" s="50" t="s">
        <v>1934</v>
      </c>
    </row>
    <row r="801" spans="1:1">
      <c r="A801" s="50" t="s">
        <v>1937</v>
      </c>
    </row>
    <row r="802" spans="1:1">
      <c r="A802" s="50" t="s">
        <v>1938</v>
      </c>
    </row>
    <row r="803" spans="1:1">
      <c r="A803" s="50" t="s">
        <v>1939</v>
      </c>
    </row>
    <row r="804" spans="1:1">
      <c r="A804" s="50" t="s">
        <v>1940</v>
      </c>
    </row>
    <row r="805" spans="1:1">
      <c r="A805" s="50" t="s">
        <v>5022</v>
      </c>
    </row>
    <row r="806" spans="1:1">
      <c r="A806" s="50" t="s">
        <v>1146</v>
      </c>
    </row>
    <row r="807" spans="1:1">
      <c r="A807" s="50" t="s">
        <v>5023</v>
      </c>
    </row>
    <row r="808" spans="1:1">
      <c r="A808" s="50" t="s">
        <v>1624</v>
      </c>
    </row>
    <row r="809" spans="1:1">
      <c r="A809" s="50" t="s">
        <v>1162</v>
      </c>
    </row>
    <row r="810" spans="1:1">
      <c r="A810" s="50" t="s">
        <v>1167</v>
      </c>
    </row>
    <row r="811" spans="1:1">
      <c r="A811" s="50" t="s">
        <v>1241</v>
      </c>
    </row>
    <row r="812" spans="1:1">
      <c r="A812" s="50" t="s">
        <v>1242</v>
      </c>
    </row>
    <row r="813" spans="1:1">
      <c r="A813" s="50" t="s">
        <v>5024</v>
      </c>
    </row>
    <row r="814" spans="1:1">
      <c r="A814" s="50" t="s">
        <v>5025</v>
      </c>
    </row>
    <row r="815" spans="1:1">
      <c r="A815" s="50" t="s">
        <v>2051</v>
      </c>
    </row>
    <row r="816" spans="1:1">
      <c r="A816" s="51" t="s">
        <v>1853</v>
      </c>
    </row>
    <row r="817" spans="1:1">
      <c r="A817" s="66" t="s">
        <v>5026</v>
      </c>
    </row>
    <row r="818" spans="1:1">
      <c r="A818" s="66" t="s">
        <v>2542</v>
      </c>
    </row>
    <row r="819" spans="1:1">
      <c r="A819" s="66" t="s">
        <v>2520</v>
      </c>
    </row>
    <row r="820" spans="1:1">
      <c r="A820" s="66" t="s">
        <v>2620</v>
      </c>
    </row>
    <row r="821" spans="1:1">
      <c r="A821" s="66" t="s">
        <v>3635</v>
      </c>
    </row>
    <row r="822" spans="1:1">
      <c r="A822" s="66" t="s">
        <v>3750</v>
      </c>
    </row>
    <row r="823" spans="1:1">
      <c r="A823" s="66" t="s">
        <v>5027</v>
      </c>
    </row>
    <row r="824" spans="1:1">
      <c r="A824" s="66" t="s">
        <v>5028</v>
      </c>
    </row>
    <row r="825" spans="1:1">
      <c r="A825" s="66" t="s">
        <v>3360</v>
      </c>
    </row>
    <row r="826" spans="1:1">
      <c r="A826" s="51" t="s">
        <v>4452</v>
      </c>
    </row>
    <row r="827" spans="1:1">
      <c r="A827" s="51" t="s">
        <v>4454</v>
      </c>
    </row>
    <row r="828" spans="1:1">
      <c r="A828" s="51" t="s">
        <v>4455</v>
      </c>
    </row>
    <row r="829" spans="1:1">
      <c r="A829" s="51" t="s">
        <v>4456</v>
      </c>
    </row>
    <row r="830" spans="1:1">
      <c r="A830" s="51" t="s">
        <v>3942</v>
      </c>
    </row>
    <row r="831" spans="1:1">
      <c r="A831" s="51" t="s">
        <v>4492</v>
      </c>
    </row>
    <row r="832" spans="1:1">
      <c r="A832" s="51" t="s">
        <v>4475</v>
      </c>
    </row>
    <row r="833" spans="1:1">
      <c r="A833" s="50" t="s">
        <v>1292</v>
      </c>
    </row>
    <row r="834" spans="1:1">
      <c r="A834" s="50" t="s">
        <v>420</v>
      </c>
    </row>
    <row r="835" spans="1:1">
      <c r="A835" s="50" t="s">
        <v>415</v>
      </c>
    </row>
    <row r="836" spans="1:1">
      <c r="A836" s="50" t="s">
        <v>1719</v>
      </c>
    </row>
    <row r="837" spans="1:1">
      <c r="A837" s="50" t="s">
        <v>218</v>
      </c>
    </row>
    <row r="838" spans="1:1">
      <c r="A838" s="50" t="s">
        <v>222</v>
      </c>
    </row>
    <row r="839" spans="1:1">
      <c r="A839" s="50" t="s">
        <v>876</v>
      </c>
    </row>
    <row r="840" spans="1:1">
      <c r="A840" s="50" t="s">
        <v>752</v>
      </c>
    </row>
    <row r="841" spans="1:1">
      <c r="A841" s="50" t="s">
        <v>816</v>
      </c>
    </row>
    <row r="842" spans="1:1">
      <c r="A842" s="50" t="s">
        <v>5029</v>
      </c>
    </row>
    <row r="843" spans="1:1">
      <c r="A843" s="50" t="s">
        <v>289</v>
      </c>
    </row>
    <row r="844" spans="1:1">
      <c r="A844" s="50" t="s">
        <v>288</v>
      </c>
    </row>
    <row r="845" spans="1:1">
      <c r="A845" s="50" t="s">
        <v>1243</v>
      </c>
    </row>
    <row r="846" spans="1:1">
      <c r="A846" s="50" t="s">
        <v>1090</v>
      </c>
    </row>
    <row r="847" spans="1:1">
      <c r="A847" s="50" t="s">
        <v>1091</v>
      </c>
    </row>
    <row r="848" spans="1:1">
      <c r="A848" s="50" t="s">
        <v>842</v>
      </c>
    </row>
    <row r="849" spans="1:1">
      <c r="A849" s="50" t="s">
        <v>632</v>
      </c>
    </row>
    <row r="850" spans="1:1">
      <c r="A850" s="50" t="s">
        <v>1885</v>
      </c>
    </row>
    <row r="851" spans="1:1">
      <c r="A851" s="50" t="s">
        <v>1470</v>
      </c>
    </row>
    <row r="852" spans="1:1">
      <c r="A852" s="50" t="s">
        <v>1225</v>
      </c>
    </row>
    <row r="853" spans="1:1">
      <c r="A853" s="50" t="s">
        <v>1471</v>
      </c>
    </row>
    <row r="854" spans="1:1">
      <c r="A854" s="50" t="s">
        <v>137</v>
      </c>
    </row>
    <row r="855" spans="1:1">
      <c r="A855" s="50" t="s">
        <v>141</v>
      </c>
    </row>
    <row r="856" spans="1:1">
      <c r="A856" s="50" t="s">
        <v>708</v>
      </c>
    </row>
    <row r="857" spans="1:1">
      <c r="A857" s="50" t="s">
        <v>710</v>
      </c>
    </row>
    <row r="858" spans="1:1">
      <c r="A858" s="66" t="s">
        <v>2816</v>
      </c>
    </row>
    <row r="859" spans="1:1">
      <c r="A859" s="66" t="s">
        <v>5030</v>
      </c>
    </row>
    <row r="860" spans="1:1">
      <c r="A860" s="66" t="s">
        <v>5031</v>
      </c>
    </row>
    <row r="861" spans="1:1">
      <c r="A861" s="66" t="s">
        <v>5032</v>
      </c>
    </row>
    <row r="862" spans="1:1">
      <c r="A862" s="66" t="s">
        <v>5033</v>
      </c>
    </row>
    <row r="863" spans="1:1">
      <c r="A863" s="66" t="s">
        <v>5034</v>
      </c>
    </row>
    <row r="864" spans="1:1">
      <c r="A864" s="66" t="s">
        <v>2793</v>
      </c>
    </row>
    <row r="865" spans="1:1">
      <c r="A865" s="66" t="s">
        <v>2794</v>
      </c>
    </row>
    <row r="866" spans="1:1">
      <c r="A866" s="66" t="s">
        <v>2770</v>
      </c>
    </row>
    <row r="867" spans="1:1">
      <c r="A867" s="66" t="s">
        <v>5035</v>
      </c>
    </row>
    <row r="868" spans="1:1">
      <c r="A868" s="66" t="s">
        <v>2451</v>
      </c>
    </row>
    <row r="869" spans="1:1">
      <c r="A869" s="66" t="s">
        <v>2417</v>
      </c>
    </row>
    <row r="870" spans="1:1">
      <c r="A870" s="66" t="s">
        <v>2871</v>
      </c>
    </row>
    <row r="871" spans="1:1">
      <c r="A871" s="66" t="s">
        <v>2872</v>
      </c>
    </row>
    <row r="872" spans="1:1">
      <c r="A872" s="66" t="s">
        <v>2873</v>
      </c>
    </row>
    <row r="873" spans="1:1">
      <c r="A873" s="66" t="s">
        <v>2874</v>
      </c>
    </row>
    <row r="874" spans="1:1">
      <c r="A874" s="66" t="s">
        <v>2875</v>
      </c>
    </row>
    <row r="875" spans="1:1">
      <c r="A875" s="66" t="s">
        <v>2876</v>
      </c>
    </row>
    <row r="876" spans="1:1">
      <c r="A876" s="66" t="s">
        <v>2877</v>
      </c>
    </row>
    <row r="877" spans="1:1">
      <c r="A877" s="66" t="s">
        <v>5036</v>
      </c>
    </row>
    <row r="878" spans="1:1">
      <c r="A878" s="66" t="s">
        <v>3215</v>
      </c>
    </row>
    <row r="879" spans="1:1">
      <c r="A879" s="66" t="s">
        <v>2396</v>
      </c>
    </row>
    <row r="880" spans="1:1">
      <c r="A880" s="66" t="s">
        <v>3732</v>
      </c>
    </row>
    <row r="881" spans="1:1">
      <c r="A881" s="51" t="s">
        <v>4403</v>
      </c>
    </row>
    <row r="882" spans="1:1">
      <c r="A882" s="51" t="s">
        <v>1087</v>
      </c>
    </row>
    <row r="883" spans="1:1">
      <c r="A883" s="51" t="s">
        <v>5037</v>
      </c>
    </row>
    <row r="884" spans="1:1">
      <c r="A884" s="66" t="s">
        <v>3180</v>
      </c>
    </row>
    <row r="885" spans="1:1">
      <c r="A885" s="66" t="s">
        <v>2996</v>
      </c>
    </row>
    <row r="886" spans="1:1">
      <c r="A886" s="66" t="s">
        <v>3455</v>
      </c>
    </row>
    <row r="887" spans="1:1">
      <c r="A887" s="66" t="s">
        <v>3386</v>
      </c>
    </row>
    <row r="888" spans="1:1">
      <c r="A888" s="66" t="s">
        <v>3388</v>
      </c>
    </row>
    <row r="889" spans="1:1">
      <c r="A889" s="66" t="s">
        <v>5038</v>
      </c>
    </row>
    <row r="890" spans="1:1">
      <c r="A890" s="66" t="s">
        <v>5039</v>
      </c>
    </row>
    <row r="891" spans="1:1">
      <c r="A891" s="66" t="s">
        <v>5040</v>
      </c>
    </row>
    <row r="892" spans="1:1">
      <c r="A892" s="66" t="s">
        <v>3456</v>
      </c>
    </row>
    <row r="893" spans="1:1">
      <c r="A893" s="66" t="s">
        <v>5041</v>
      </c>
    </row>
    <row r="894" spans="1:1">
      <c r="A894" s="66" t="s">
        <v>3295</v>
      </c>
    </row>
    <row r="895" spans="1:1">
      <c r="A895" s="66" t="s">
        <v>5042</v>
      </c>
    </row>
    <row r="896" spans="1:1">
      <c r="A896" s="66" t="s">
        <v>3160</v>
      </c>
    </row>
    <row r="897" spans="1:1">
      <c r="A897" s="66" t="s">
        <v>3171</v>
      </c>
    </row>
    <row r="898" spans="1:1">
      <c r="A898" s="66" t="s">
        <v>3172</v>
      </c>
    </row>
    <row r="899" spans="1:1">
      <c r="A899" s="66" t="s">
        <v>3173</v>
      </c>
    </row>
    <row r="900" spans="1:1">
      <c r="A900" s="66" t="s">
        <v>2974</v>
      </c>
    </row>
    <row r="901" spans="1:1">
      <c r="A901" s="66" t="s">
        <v>3302</v>
      </c>
    </row>
    <row r="902" spans="1:1">
      <c r="A902" s="66" t="s">
        <v>5043</v>
      </c>
    </row>
    <row r="903" spans="1:1">
      <c r="A903" s="66" t="s">
        <v>5044</v>
      </c>
    </row>
    <row r="904" spans="1:1">
      <c r="A904" s="66" t="s">
        <v>5045</v>
      </c>
    </row>
    <row r="905" spans="1:1">
      <c r="A905" s="66" t="s">
        <v>5046</v>
      </c>
    </row>
    <row r="906" spans="1:1">
      <c r="A906" s="66" t="s">
        <v>5047</v>
      </c>
    </row>
    <row r="907" spans="1:1">
      <c r="A907" s="66" t="s">
        <v>5048</v>
      </c>
    </row>
    <row r="908" spans="1:1">
      <c r="A908" s="66" t="s">
        <v>3319</v>
      </c>
    </row>
    <row r="909" spans="1:1">
      <c r="A909" s="66" t="s">
        <v>5049</v>
      </c>
    </row>
    <row r="910" spans="1:1">
      <c r="A910" s="66" t="s">
        <v>3336</v>
      </c>
    </row>
    <row r="911" spans="1:1">
      <c r="A911" s="66" t="s">
        <v>3337</v>
      </c>
    </row>
    <row r="912" spans="1:1">
      <c r="A912" s="66" t="s">
        <v>3327</v>
      </c>
    </row>
    <row r="913" spans="1:1">
      <c r="A913" s="66" t="s">
        <v>3328</v>
      </c>
    </row>
    <row r="914" spans="1:1">
      <c r="A914" s="66" t="s">
        <v>3329</v>
      </c>
    </row>
    <row r="915" spans="1:1">
      <c r="A915" s="66" t="s">
        <v>3330</v>
      </c>
    </row>
    <row r="916" spans="1:1">
      <c r="A916" s="66" t="s">
        <v>3331</v>
      </c>
    </row>
    <row r="917" spans="1:1">
      <c r="A917" s="66" t="s">
        <v>3332</v>
      </c>
    </row>
    <row r="918" spans="1:1">
      <c r="A918" s="66" t="s">
        <v>3338</v>
      </c>
    </row>
    <row r="919" spans="1:1">
      <c r="A919" s="66" t="s">
        <v>3333</v>
      </c>
    </row>
    <row r="920" spans="1:1">
      <c r="A920" s="66" t="s">
        <v>3334</v>
      </c>
    </row>
    <row r="921" spans="1:1">
      <c r="A921" s="66" t="s">
        <v>3335</v>
      </c>
    </row>
    <row r="922" spans="1:1">
      <c r="A922" s="66" t="s">
        <v>3322</v>
      </c>
    </row>
    <row r="923" spans="1:1">
      <c r="A923" s="66" t="s">
        <v>3323</v>
      </c>
    </row>
    <row r="924" spans="1:1">
      <c r="A924" s="66" t="s">
        <v>3324</v>
      </c>
    </row>
    <row r="925" spans="1:1">
      <c r="A925" s="66" t="s">
        <v>3325</v>
      </c>
    </row>
    <row r="926" spans="1:1">
      <c r="A926" s="66" t="s">
        <v>3326</v>
      </c>
    </row>
    <row r="927" spans="1:1">
      <c r="A927" s="66" t="s">
        <v>5050</v>
      </c>
    </row>
    <row r="928" spans="1:1">
      <c r="A928" s="66" t="s">
        <v>5051</v>
      </c>
    </row>
    <row r="929" spans="1:1">
      <c r="A929" s="66" t="s">
        <v>3457</v>
      </c>
    </row>
    <row r="930" spans="1:1">
      <c r="A930" s="66" t="s">
        <v>3020</v>
      </c>
    </row>
    <row r="931" spans="1:1">
      <c r="A931" s="66" t="s">
        <v>3054</v>
      </c>
    </row>
    <row r="932" spans="1:1">
      <c r="A932" s="50" t="s">
        <v>578</v>
      </c>
    </row>
    <row r="933" spans="1:1">
      <c r="A933" s="66" t="s">
        <v>3450</v>
      </c>
    </row>
    <row r="934" spans="1:1">
      <c r="A934" s="66" t="s">
        <v>3174</v>
      </c>
    </row>
    <row r="935" spans="1:1">
      <c r="A935" s="66" t="s">
        <v>3175</v>
      </c>
    </row>
    <row r="936" spans="1:1">
      <c r="A936" s="66" t="s">
        <v>3458</v>
      </c>
    </row>
    <row r="937" spans="1:1">
      <c r="A937" s="66" t="s">
        <v>5052</v>
      </c>
    </row>
    <row r="938" spans="1:1">
      <c r="A938" s="66" t="s">
        <v>5053</v>
      </c>
    </row>
    <row r="939" spans="1:1">
      <c r="A939" s="66" t="s">
        <v>3128</v>
      </c>
    </row>
    <row r="940" spans="1:1">
      <c r="A940" s="66" t="s">
        <v>3129</v>
      </c>
    </row>
    <row r="941" spans="1:1">
      <c r="A941" s="66" t="s">
        <v>5054</v>
      </c>
    </row>
    <row r="942" spans="1:1">
      <c r="A942" s="66" t="s">
        <v>5055</v>
      </c>
    </row>
    <row r="943" spans="1:1">
      <c r="A943" s="66" t="s">
        <v>5056</v>
      </c>
    </row>
    <row r="944" spans="1:1">
      <c r="A944" s="66" t="s">
        <v>5057</v>
      </c>
    </row>
    <row r="945" spans="1:1">
      <c r="A945" s="66" t="s">
        <v>5058</v>
      </c>
    </row>
    <row r="946" spans="1:1">
      <c r="A946" s="66" t="s">
        <v>5059</v>
      </c>
    </row>
    <row r="947" spans="1:1">
      <c r="A947" s="66" t="s">
        <v>5060</v>
      </c>
    </row>
    <row r="948" spans="1:1">
      <c r="A948" s="66" t="s">
        <v>5061</v>
      </c>
    </row>
    <row r="949" spans="1:1">
      <c r="A949" s="66" t="s">
        <v>5062</v>
      </c>
    </row>
    <row r="950" spans="1:1">
      <c r="A950" s="66" t="s">
        <v>5063</v>
      </c>
    </row>
    <row r="951" spans="1:1">
      <c r="A951" s="66" t="s">
        <v>5064</v>
      </c>
    </row>
    <row r="952" spans="1:1">
      <c r="A952" s="66" t="s">
        <v>5065</v>
      </c>
    </row>
    <row r="953" spans="1:1">
      <c r="A953" s="66" t="s">
        <v>5066</v>
      </c>
    </row>
    <row r="954" spans="1:1">
      <c r="A954" s="66" t="s">
        <v>2905</v>
      </c>
    </row>
    <row r="955" spans="1:1">
      <c r="A955" s="66" t="s">
        <v>3127</v>
      </c>
    </row>
    <row r="956" spans="1:1">
      <c r="A956" s="66" t="s">
        <v>3184</v>
      </c>
    </row>
    <row r="957" spans="1:1">
      <c r="A957" s="66" t="s">
        <v>3185</v>
      </c>
    </row>
    <row r="958" spans="1:1">
      <c r="A958" s="66" t="s">
        <v>3182</v>
      </c>
    </row>
    <row r="959" spans="1:1">
      <c r="A959" s="66" t="s">
        <v>3181</v>
      </c>
    </row>
    <row r="960" spans="1:1">
      <c r="A960" s="66" t="s">
        <v>2914</v>
      </c>
    </row>
    <row r="961" spans="1:1">
      <c r="A961" s="66" t="s">
        <v>3183</v>
      </c>
    </row>
    <row r="962" spans="1:1">
      <c r="A962" s="66" t="s">
        <v>3267</v>
      </c>
    </row>
    <row r="963" spans="1:1">
      <c r="A963" s="66" t="s">
        <v>3567</v>
      </c>
    </row>
    <row r="964" spans="1:1">
      <c r="A964" s="66" t="s">
        <v>3028</v>
      </c>
    </row>
    <row r="965" spans="1:1">
      <c r="A965" s="66" t="s">
        <v>3067</v>
      </c>
    </row>
    <row r="966" spans="1:1">
      <c r="A966" s="66" t="s">
        <v>2967</v>
      </c>
    </row>
    <row r="967" spans="1:1">
      <c r="A967" s="66" t="s">
        <v>3187</v>
      </c>
    </row>
    <row r="968" spans="1:1">
      <c r="A968" s="66" t="s">
        <v>3188</v>
      </c>
    </row>
    <row r="969" spans="1:1">
      <c r="A969" s="66" t="s">
        <v>3189</v>
      </c>
    </row>
    <row r="970" spans="1:1">
      <c r="A970" s="66" t="s">
        <v>3101</v>
      </c>
    </row>
    <row r="971" spans="1:1">
      <c r="A971" s="66" t="s">
        <v>2957</v>
      </c>
    </row>
    <row r="972" spans="1:1">
      <c r="A972" s="66" t="s">
        <v>5067</v>
      </c>
    </row>
    <row r="973" spans="1:1">
      <c r="A973" s="66" t="s">
        <v>5068</v>
      </c>
    </row>
    <row r="974" spans="1:1">
      <c r="A974" s="66" t="s">
        <v>3373</v>
      </c>
    </row>
    <row r="975" spans="1:1">
      <c r="A975" s="66" t="s">
        <v>5069</v>
      </c>
    </row>
    <row r="976" spans="1:1">
      <c r="A976" s="66" t="s">
        <v>5070</v>
      </c>
    </row>
    <row r="977" spans="1:1">
      <c r="A977" s="66" t="s">
        <v>4245</v>
      </c>
    </row>
    <row r="978" spans="1:1">
      <c r="A978" s="66" t="s">
        <v>3080</v>
      </c>
    </row>
    <row r="979" spans="1:1">
      <c r="A979" s="66" t="s">
        <v>3248</v>
      </c>
    </row>
    <row r="980" spans="1:1">
      <c r="A980" s="66" t="s">
        <v>5071</v>
      </c>
    </row>
    <row r="981" spans="1:1">
      <c r="A981" s="66" t="s">
        <v>3306</v>
      </c>
    </row>
    <row r="982" spans="1:1">
      <c r="A982" s="66" t="s">
        <v>3399</v>
      </c>
    </row>
    <row r="983" spans="1:1">
      <c r="A983" s="66" t="s">
        <v>3384</v>
      </c>
    </row>
    <row r="984" spans="1:1">
      <c r="A984" s="66" t="s">
        <v>5072</v>
      </c>
    </row>
    <row r="985" spans="1:1">
      <c r="A985" s="66" t="s">
        <v>2698</v>
      </c>
    </row>
    <row r="986" spans="1:1">
      <c r="A986" s="66" t="s">
        <v>3395</v>
      </c>
    </row>
    <row r="987" spans="1:1">
      <c r="A987" s="66" t="s">
        <v>3375</v>
      </c>
    </row>
    <row r="988" spans="1:1">
      <c r="A988" s="66" t="s">
        <v>3401</v>
      </c>
    </row>
    <row r="989" spans="1:1">
      <c r="A989" s="66" t="s">
        <v>3168</v>
      </c>
    </row>
    <row r="990" spans="1:1">
      <c r="A990" s="66" t="s">
        <v>3169</v>
      </c>
    </row>
    <row r="991" spans="1:1">
      <c r="A991" s="66" t="s">
        <v>3255</v>
      </c>
    </row>
    <row r="992" spans="1:1">
      <c r="A992" s="66" t="s">
        <v>3270</v>
      </c>
    </row>
    <row r="993" spans="1:1">
      <c r="A993" s="66" t="s">
        <v>2963</v>
      </c>
    </row>
    <row r="994" spans="1:1">
      <c r="A994" s="66" t="s">
        <v>3191</v>
      </c>
    </row>
    <row r="995" spans="1:1">
      <c r="A995" s="66" t="s">
        <v>3192</v>
      </c>
    </row>
    <row r="996" spans="1:1">
      <c r="A996" s="66" t="s">
        <v>2941</v>
      </c>
    </row>
    <row r="997" spans="1:1">
      <c r="A997" s="66" t="s">
        <v>3233</v>
      </c>
    </row>
    <row r="998" spans="1:1">
      <c r="A998" s="66" t="s">
        <v>3146</v>
      </c>
    </row>
    <row r="999" spans="1:1">
      <c r="A999" s="66" t="s">
        <v>3152</v>
      </c>
    </row>
    <row r="1000" spans="1:1">
      <c r="A1000" s="66" t="s">
        <v>3153</v>
      </c>
    </row>
    <row r="1001" spans="1:1">
      <c r="A1001" s="66" t="s">
        <v>3154</v>
      </c>
    </row>
    <row r="1002" spans="1:1">
      <c r="A1002" s="66" t="s">
        <v>3155</v>
      </c>
    </row>
    <row r="1003" spans="1:1">
      <c r="A1003" s="66" t="s">
        <v>3156</v>
      </c>
    </row>
    <row r="1004" spans="1:1">
      <c r="A1004" s="66" t="s">
        <v>3157</v>
      </c>
    </row>
    <row r="1005" spans="1:1">
      <c r="A1005" s="66" t="s">
        <v>3030</v>
      </c>
    </row>
    <row r="1006" spans="1:1">
      <c r="A1006" s="66" t="s">
        <v>3252</v>
      </c>
    </row>
    <row r="1007" spans="1:1">
      <c r="A1007" s="66" t="s">
        <v>3190</v>
      </c>
    </row>
    <row r="1008" spans="1:1">
      <c r="A1008" s="66" t="s">
        <v>3031</v>
      </c>
    </row>
    <row r="1009" spans="1:1">
      <c r="A1009" s="66" t="s">
        <v>3550</v>
      </c>
    </row>
    <row r="1010" spans="1:1">
      <c r="A1010" s="66" t="s">
        <v>5073</v>
      </c>
    </row>
    <row r="1011" spans="1:1">
      <c r="A1011" s="66">
        <v>102002436</v>
      </c>
    </row>
    <row r="1012" spans="1:1">
      <c r="A1012" s="66" t="s">
        <v>3377</v>
      </c>
    </row>
    <row r="1013" spans="1:1">
      <c r="A1013" s="66" t="s">
        <v>3289</v>
      </c>
    </row>
    <row r="1014" spans="1:1">
      <c r="A1014" s="66" t="s">
        <v>3502</v>
      </c>
    </row>
    <row r="1015" spans="1:1">
      <c r="A1015" s="66" t="s">
        <v>3428</v>
      </c>
    </row>
    <row r="1016" spans="1:1">
      <c r="A1016" s="66" t="s">
        <v>2988</v>
      </c>
    </row>
    <row r="1017" spans="1:1">
      <c r="A1017" s="50" t="s">
        <v>1882</v>
      </c>
    </row>
    <row r="1018" spans="1:1">
      <c r="A1018" s="66" t="s">
        <v>3402</v>
      </c>
    </row>
    <row r="1019" spans="1:1">
      <c r="A1019" s="66" t="s">
        <v>5074</v>
      </c>
    </row>
    <row r="1020" spans="1:1">
      <c r="A1020" s="66" t="s">
        <v>5075</v>
      </c>
    </row>
    <row r="1021" spans="1:1">
      <c r="A1021" s="66" t="s">
        <v>5076</v>
      </c>
    </row>
    <row r="1022" spans="1:1">
      <c r="A1022" s="66" t="s">
        <v>5077</v>
      </c>
    </row>
    <row r="1023" spans="1:1">
      <c r="A1023" s="66" t="s">
        <v>3254</v>
      </c>
    </row>
    <row r="1024" spans="1:1">
      <c r="A1024" s="66" t="s">
        <v>3286</v>
      </c>
    </row>
    <row r="1025" spans="1:1">
      <c r="A1025" s="50" t="s">
        <v>5078</v>
      </c>
    </row>
    <row r="1026" spans="1:1">
      <c r="A1026" s="66" t="s">
        <v>3095</v>
      </c>
    </row>
    <row r="1027" spans="1:1">
      <c r="A1027" s="50" t="s">
        <v>920</v>
      </c>
    </row>
    <row r="1028" spans="1:1">
      <c r="A1028" s="50" t="s">
        <v>818</v>
      </c>
    </row>
    <row r="1029" spans="1:1">
      <c r="A1029" s="50">
        <v>136391</v>
      </c>
    </row>
    <row r="1030" spans="1:1">
      <c r="A1030" s="66" t="s">
        <v>3056</v>
      </c>
    </row>
    <row r="1031" spans="1:1">
      <c r="A1031" s="50" t="s">
        <v>741</v>
      </c>
    </row>
    <row r="1032" spans="1:1">
      <c r="A1032" s="66" t="s">
        <v>2628</v>
      </c>
    </row>
    <row r="1033" spans="1:1">
      <c r="A1033" s="66" t="s">
        <v>2638</v>
      </c>
    </row>
    <row r="1034" spans="1:1">
      <c r="A1034" s="66" t="s">
        <v>2888</v>
      </c>
    </row>
    <row r="1035" spans="1:1">
      <c r="A1035" s="66" t="s">
        <v>3400</v>
      </c>
    </row>
    <row r="1036" spans="1:1">
      <c r="A1036" s="66" t="s">
        <v>5079</v>
      </c>
    </row>
    <row r="1037" spans="1:1">
      <c r="A1037" s="66" t="s">
        <v>3444</v>
      </c>
    </row>
    <row r="1038" spans="1:1">
      <c r="A1038" s="66" t="s">
        <v>2710</v>
      </c>
    </row>
    <row r="1039" spans="1:1">
      <c r="A1039" s="50" t="s">
        <v>923</v>
      </c>
    </row>
    <row r="1040" spans="1:1">
      <c r="A1040" s="51" t="s">
        <v>5080</v>
      </c>
    </row>
    <row r="1041" spans="1:1">
      <c r="A1041" s="66" t="s">
        <v>5081</v>
      </c>
    </row>
    <row r="1042" spans="1:1">
      <c r="A1042" s="50" t="s">
        <v>2056</v>
      </c>
    </row>
    <row r="1043" spans="1:1">
      <c r="A1043" s="66" t="s">
        <v>3075</v>
      </c>
    </row>
    <row r="1044" spans="1:1">
      <c r="A1044" s="50" t="s">
        <v>1835</v>
      </c>
    </row>
    <row r="1045" spans="1:1">
      <c r="A1045" s="66" t="s">
        <v>5082</v>
      </c>
    </row>
    <row r="1046" spans="1:1">
      <c r="A1046" s="66" t="s">
        <v>2501</v>
      </c>
    </row>
    <row r="1047" spans="1:1">
      <c r="A1047" s="66" t="s">
        <v>2868</v>
      </c>
    </row>
    <row r="1048" spans="1:1">
      <c r="A1048" s="60" t="s">
        <v>2514</v>
      </c>
    </row>
    <row r="1049" spans="1:1">
      <c r="A1049" s="51" t="s">
        <v>1838</v>
      </c>
    </row>
    <row r="1050" spans="1:1">
      <c r="A1050" s="50" t="s">
        <v>5083</v>
      </c>
    </row>
    <row r="1051" spans="1:1">
      <c r="A1051" s="60" t="s">
        <v>3049</v>
      </c>
    </row>
    <row r="1052" spans="1:1">
      <c r="A1052" s="60" t="s">
        <v>3050</v>
      </c>
    </row>
    <row r="1053" spans="1:1">
      <c r="A1053" s="66" t="s">
        <v>3642</v>
      </c>
    </row>
    <row r="1054" spans="1:1">
      <c r="A1054" s="51" t="s">
        <v>629</v>
      </c>
    </row>
    <row r="1055" spans="1:1">
      <c r="A1055" s="51" t="s">
        <v>2147</v>
      </c>
    </row>
    <row r="1056" spans="1:1">
      <c r="A1056" s="51" t="s">
        <v>239</v>
      </c>
    </row>
    <row r="1057" spans="1:1">
      <c r="A1057" s="50" t="s">
        <v>1906</v>
      </c>
    </row>
    <row r="1058" spans="1:1">
      <c r="A1058" s="50" t="s">
        <v>1907</v>
      </c>
    </row>
    <row r="1059" spans="1:1">
      <c r="A1059" s="50" t="s">
        <v>1903</v>
      </c>
    </row>
    <row r="1060" spans="1:1">
      <c r="A1060" s="51" t="s">
        <v>4014</v>
      </c>
    </row>
    <row r="1061" spans="1:1">
      <c r="A1061" s="51" t="s">
        <v>3962</v>
      </c>
    </row>
    <row r="1062" spans="1:1">
      <c r="A1062" s="51" t="s">
        <v>5084</v>
      </c>
    </row>
    <row r="1063" spans="1:1">
      <c r="A1063" s="51" t="s">
        <v>2191</v>
      </c>
    </row>
    <row r="1064" spans="1:1">
      <c r="A1064" s="51" t="s">
        <v>5085</v>
      </c>
    </row>
    <row r="1065" spans="1:1">
      <c r="A1065" s="51" t="s">
        <v>5086</v>
      </c>
    </row>
    <row r="1066" spans="1:1">
      <c r="A1066" s="51" t="s">
        <v>4229</v>
      </c>
    </row>
    <row r="1067" spans="1:1">
      <c r="A1067" s="51" t="s">
        <v>5087</v>
      </c>
    </row>
    <row r="1068" spans="1:1">
      <c r="A1068" s="65" t="s">
        <v>2808</v>
      </c>
    </row>
    <row r="1069" spans="1:1">
      <c r="A1069" s="65" t="s">
        <v>2809</v>
      </c>
    </row>
    <row r="1070" spans="1:1">
      <c r="A1070" s="60" t="s">
        <v>2810</v>
      </c>
    </row>
    <row r="1071" spans="1:1">
      <c r="A1071" s="51" t="s">
        <v>786</v>
      </c>
    </row>
    <row r="1072" spans="1:1">
      <c r="A1072" s="60" t="s">
        <v>2678</v>
      </c>
    </row>
    <row r="1073" spans="1:1">
      <c r="A1073" s="60" t="s">
        <v>2881</v>
      </c>
    </row>
    <row r="1074" spans="1:1">
      <c r="A1074" s="60" t="s">
        <v>5088</v>
      </c>
    </row>
    <row r="1075" spans="1:1">
      <c r="A1075" s="50" t="s">
        <v>5089</v>
      </c>
    </row>
    <row r="1076" spans="1:1">
      <c r="A1076" s="51" t="s">
        <v>156</v>
      </c>
    </row>
    <row r="1077" spans="1:1">
      <c r="A1077" s="51" t="s">
        <v>468</v>
      </c>
    </row>
    <row r="1078" spans="1:1">
      <c r="A1078" s="60" t="s">
        <v>2899</v>
      </c>
    </row>
    <row r="1079" spans="1:1">
      <c r="A1079" s="60" t="s">
        <v>2897</v>
      </c>
    </row>
    <row r="1080" spans="1:1">
      <c r="A1080" s="60" t="s">
        <v>2507</v>
      </c>
    </row>
    <row r="1081" spans="1:1">
      <c r="A1081" s="60" t="s">
        <v>5090</v>
      </c>
    </row>
    <row r="1082" spans="1:1">
      <c r="A1082" s="50" t="s">
        <v>5091</v>
      </c>
    </row>
    <row r="1083" spans="1:1">
      <c r="A1083" s="51" t="s">
        <v>3952</v>
      </c>
    </row>
    <row r="1084" spans="1:1">
      <c r="A1084" s="51" t="s">
        <v>2007</v>
      </c>
    </row>
    <row r="1085" spans="1:1">
      <c r="A1085" s="60" t="s">
        <v>2352</v>
      </c>
    </row>
    <row r="1086" spans="1:1">
      <c r="A1086" s="60" t="s">
        <v>2795</v>
      </c>
    </row>
    <row r="1087" spans="1:1">
      <c r="A1087" s="49" t="s">
        <v>1453</v>
      </c>
    </row>
    <row r="1088" spans="1:1">
      <c r="A1088" s="50" t="s">
        <v>166</v>
      </c>
    </row>
    <row r="1089" spans="1:1">
      <c r="A1089" s="50" t="s">
        <v>167</v>
      </c>
    </row>
    <row r="1090" spans="1:1">
      <c r="A1090" s="60" t="s">
        <v>2298</v>
      </c>
    </row>
    <row r="1091" spans="1:1">
      <c r="A1091" s="66" t="s">
        <v>5092</v>
      </c>
    </row>
    <row r="1092" spans="1:1">
      <c r="A1092" s="51" t="s">
        <v>5093</v>
      </c>
    </row>
    <row r="1093" spans="1:1">
      <c r="A1093" s="50" t="s">
        <v>5094</v>
      </c>
    </row>
    <row r="1094" spans="1:1">
      <c r="A1094" s="50" t="s">
        <v>1917</v>
      </c>
    </row>
    <row r="1095" spans="1:1">
      <c r="A1095" s="51" t="s">
        <v>3957</v>
      </c>
    </row>
    <row r="1096" spans="1:1">
      <c r="A1096" s="50" t="s">
        <v>5095</v>
      </c>
    </row>
    <row r="1097" spans="1:1">
      <c r="A1097" s="60" t="s">
        <v>2374</v>
      </c>
    </row>
    <row r="1098" spans="1:1">
      <c r="A1098" s="51" t="s">
        <v>1951</v>
      </c>
    </row>
    <row r="1099" spans="1:1">
      <c r="A1099" s="49" t="s">
        <v>1452</v>
      </c>
    </row>
    <row r="1100" spans="1:1">
      <c r="A1100" s="50" t="s">
        <v>1886</v>
      </c>
    </row>
    <row r="1101" spans="1:1">
      <c r="A1101" s="50" t="s">
        <v>1887</v>
      </c>
    </row>
    <row r="1102" spans="1:1">
      <c r="A1102" s="66" t="s">
        <v>3260</v>
      </c>
    </row>
    <row r="1103" spans="1:1">
      <c r="A1103" s="66" t="s">
        <v>3038</v>
      </c>
    </row>
    <row r="1104" spans="1:1">
      <c r="A1104" s="66" t="s">
        <v>3041</v>
      </c>
    </row>
    <row r="1105" spans="1:1">
      <c r="A1105" s="50" t="s">
        <v>168</v>
      </c>
    </row>
    <row r="1106" spans="1:1">
      <c r="A1106" s="50" t="s">
        <v>169</v>
      </c>
    </row>
    <row r="1107" spans="1:1">
      <c r="A1107" s="66" t="s">
        <v>5096</v>
      </c>
    </row>
    <row r="1108" spans="1:1">
      <c r="A1108" s="60" t="s">
        <v>5097</v>
      </c>
    </row>
    <row r="1109" spans="1:1">
      <c r="A1109" s="60" t="s">
        <v>2878</v>
      </c>
    </row>
    <row r="1110" spans="1:1">
      <c r="A1110" s="51">
        <v>102003860</v>
      </c>
    </row>
    <row r="1111" spans="1:1">
      <c r="A1111" s="66" t="s">
        <v>871</v>
      </c>
    </row>
    <row r="1112" spans="1:1">
      <c r="A1112" s="60" t="s">
        <v>3198</v>
      </c>
    </row>
    <row r="1113" spans="1:1">
      <c r="A1113" s="50" t="s">
        <v>1905</v>
      </c>
    </row>
    <row r="1114" spans="1:1">
      <c r="A1114" s="50" t="s">
        <v>5098</v>
      </c>
    </row>
    <row r="1115" spans="1:1">
      <c r="A1115" s="51" t="s">
        <v>4267</v>
      </c>
    </row>
    <row r="1116" spans="1:1">
      <c r="A1116" s="60" t="s">
        <v>2684</v>
      </c>
    </row>
    <row r="1117" spans="1:1">
      <c r="A1117" s="50" t="s">
        <v>1911</v>
      </c>
    </row>
    <row r="1118" spans="1:1">
      <c r="A1118" s="50" t="s">
        <v>1914</v>
      </c>
    </row>
    <row r="1119" spans="1:1">
      <c r="A1119" s="50" t="s">
        <v>1915</v>
      </c>
    </row>
    <row r="1120" spans="1:1">
      <c r="A1120" s="66" t="s">
        <v>3665</v>
      </c>
    </row>
    <row r="1121" spans="1:1">
      <c r="A1121" s="50" t="s">
        <v>654</v>
      </c>
    </row>
    <row r="1122" spans="1:1">
      <c r="A1122" s="50" t="s">
        <v>835</v>
      </c>
    </row>
    <row r="1123" spans="1:1">
      <c r="A1123" s="50" t="s">
        <v>172</v>
      </c>
    </row>
    <row r="1124" spans="1:1">
      <c r="A1124" s="50" t="s">
        <v>171</v>
      </c>
    </row>
    <row r="1125" spans="1:1">
      <c r="A1125" s="51" t="s">
        <v>4485</v>
      </c>
    </row>
    <row r="1126" spans="1:1">
      <c r="A1126" s="53" t="s">
        <v>1414</v>
      </c>
    </row>
    <row r="1127" spans="1:1">
      <c r="A1127" s="66" t="s">
        <v>3666</v>
      </c>
    </row>
    <row r="1128" spans="1:1">
      <c r="A1128" s="51" t="s">
        <v>860</v>
      </c>
    </row>
    <row r="1129" spans="1:1">
      <c r="A1129" s="65" t="s">
        <v>5099</v>
      </c>
    </row>
    <row r="1130" spans="1:1">
      <c r="A1130" s="65" t="s">
        <v>5100</v>
      </c>
    </row>
    <row r="1131" spans="1:1">
      <c r="A1131" s="66" t="s">
        <v>3655</v>
      </c>
    </row>
    <row r="1132" spans="1:1">
      <c r="A1132" s="66" t="s">
        <v>3420</v>
      </c>
    </row>
    <row r="1133" spans="1:1">
      <c r="A1133" s="66" t="s">
        <v>3422</v>
      </c>
    </row>
    <row r="1134" spans="1:1">
      <c r="A1134" s="65" t="s">
        <v>5101</v>
      </c>
    </row>
    <row r="1135" spans="1:1">
      <c r="A1135" s="65" t="s">
        <v>5102</v>
      </c>
    </row>
    <row r="1136" spans="1:1">
      <c r="A1136" s="50" t="s">
        <v>701</v>
      </c>
    </row>
    <row r="1137" spans="1:1">
      <c r="A1137" s="53" t="s">
        <v>5103</v>
      </c>
    </row>
    <row r="1138" spans="1:1">
      <c r="A1138" s="51" t="s">
        <v>3972</v>
      </c>
    </row>
    <row r="1139" spans="1:1">
      <c r="A1139" s="51" t="s">
        <v>3980</v>
      </c>
    </row>
    <row r="1140" spans="1:1">
      <c r="A1140" s="60" t="s">
        <v>2390</v>
      </c>
    </row>
    <row r="1141" spans="1:1">
      <c r="A1141" s="60" t="s">
        <v>2458</v>
      </c>
    </row>
    <row r="1142" spans="1:1">
      <c r="A1142" s="60" t="s">
        <v>2579</v>
      </c>
    </row>
    <row r="1143" spans="1:1">
      <c r="A1143" s="60" t="s">
        <v>2879</v>
      </c>
    </row>
    <row r="1144" spans="1:1">
      <c r="A1144" s="60" t="s">
        <v>2436</v>
      </c>
    </row>
    <row r="1145" spans="1:1">
      <c r="A1145" s="66" t="s">
        <v>3158</v>
      </c>
    </row>
    <row r="1146" spans="1:1">
      <c r="A1146" s="53" t="s">
        <v>1539</v>
      </c>
    </row>
    <row r="1147" spans="1:1">
      <c r="A1147" s="51" t="s">
        <v>1892</v>
      </c>
    </row>
    <row r="1148" spans="1:1">
      <c r="A1148" s="51" t="s">
        <v>1895</v>
      </c>
    </row>
    <row r="1149" spans="1:1">
      <c r="A1149" s="51" t="s">
        <v>1896</v>
      </c>
    </row>
    <row r="1150" spans="1:1">
      <c r="A1150" s="50" t="s">
        <v>170</v>
      </c>
    </row>
    <row r="1151" spans="1:1">
      <c r="A1151" s="51" t="s">
        <v>1740</v>
      </c>
    </row>
    <row r="1152" spans="1:1">
      <c r="A1152" s="51" t="s">
        <v>1708</v>
      </c>
    </row>
    <row r="1153" spans="1:1">
      <c r="A1153" s="51" t="s">
        <v>1713</v>
      </c>
    </row>
    <row r="1154" spans="1:1">
      <c r="A1154" s="51" t="s">
        <v>1714</v>
      </c>
    </row>
    <row r="1155" spans="1:1">
      <c r="A1155" s="51" t="s">
        <v>4023</v>
      </c>
    </row>
    <row r="1156" spans="1:1">
      <c r="A1156" s="51" t="s">
        <v>5104</v>
      </c>
    </row>
    <row r="1157" spans="1:1">
      <c r="A1157" s="50" t="s">
        <v>1280</v>
      </c>
    </row>
    <row r="1158" spans="1:1">
      <c r="A1158" s="51" t="s">
        <v>1271</v>
      </c>
    </row>
    <row r="1159" spans="1:1">
      <c r="A1159" s="51" t="s">
        <v>1279</v>
      </c>
    </row>
    <row r="1160" spans="1:1">
      <c r="A1160" s="51" t="s">
        <v>1281</v>
      </c>
    </row>
    <row r="1161" spans="1:1">
      <c r="A1161" s="51" t="s">
        <v>3936</v>
      </c>
    </row>
    <row r="1162" spans="1:1">
      <c r="A1162" s="50" t="s">
        <v>348</v>
      </c>
    </row>
    <row r="1163" spans="1:1">
      <c r="A1163" s="50" t="s">
        <v>459</v>
      </c>
    </row>
    <row r="1164" spans="1:1">
      <c r="A1164" s="53" t="s">
        <v>1804</v>
      </c>
    </row>
    <row r="1165" spans="1:1">
      <c r="A1165" s="60" t="s">
        <v>2423</v>
      </c>
    </row>
    <row r="1166" spans="1:1">
      <c r="A1166" s="60" t="s">
        <v>2784</v>
      </c>
    </row>
    <row r="1167" spans="1:1">
      <c r="A1167" s="60" t="s">
        <v>2785</v>
      </c>
    </row>
    <row r="1168" spans="1:1">
      <c r="A1168" s="50" t="s">
        <v>1244</v>
      </c>
    </row>
    <row r="1169" spans="1:1">
      <c r="A1169" s="51" t="s">
        <v>4361</v>
      </c>
    </row>
    <row r="1170" spans="1:1">
      <c r="A1170" s="66" t="s">
        <v>2328</v>
      </c>
    </row>
    <row r="1171" spans="1:1">
      <c r="A1171" s="51" t="s">
        <v>5105</v>
      </c>
    </row>
    <row r="1172" spans="1:1">
      <c r="A1172" s="53" t="s">
        <v>5106</v>
      </c>
    </row>
    <row r="1173" spans="1:1">
      <c r="A1173" s="50" t="s">
        <v>1092</v>
      </c>
    </row>
    <row r="1174" spans="1:1">
      <c r="A1174" s="60" t="s">
        <v>2811</v>
      </c>
    </row>
    <row r="1175" spans="1:1">
      <c r="A1175" s="60" t="s">
        <v>2812</v>
      </c>
    </row>
    <row r="1176" spans="1:1">
      <c r="A1176" s="51" t="s">
        <v>4414</v>
      </c>
    </row>
    <row r="1177" spans="1:1">
      <c r="A1177" s="51" t="s">
        <v>4416</v>
      </c>
    </row>
    <row r="1178" spans="1:1">
      <c r="A1178" s="51" t="s">
        <v>4417</v>
      </c>
    </row>
    <row r="1179" spans="1:1">
      <c r="A1179" s="51" t="s">
        <v>4418</v>
      </c>
    </row>
    <row r="1180" spans="1:1">
      <c r="A1180" s="51" t="s">
        <v>4419</v>
      </c>
    </row>
    <row r="1181" spans="1:1">
      <c r="A1181" s="51" t="s">
        <v>4420</v>
      </c>
    </row>
    <row r="1182" spans="1:1">
      <c r="A1182" s="60" t="s">
        <v>2446</v>
      </c>
    </row>
    <row r="1183" spans="1:1">
      <c r="A1183" s="60" t="s">
        <v>2861</v>
      </c>
    </row>
    <row r="1184" spans="1:1">
      <c r="A1184" s="49">
        <v>102005256</v>
      </c>
    </row>
    <row r="1185" spans="1:1">
      <c r="A1185" s="52">
        <v>140873</v>
      </c>
    </row>
    <row r="1186" spans="1:1">
      <c r="A1186" s="50" t="s">
        <v>852</v>
      </c>
    </row>
    <row r="1187" spans="1:1">
      <c r="A1187" s="50" t="s">
        <v>5107</v>
      </c>
    </row>
    <row r="1188" spans="1:1">
      <c r="A1188" s="50" t="s">
        <v>5108</v>
      </c>
    </row>
    <row r="1189" spans="1:1">
      <c r="A1189" s="50" t="s">
        <v>5109</v>
      </c>
    </row>
    <row r="1190" spans="1:1">
      <c r="A1190" s="50" t="s">
        <v>5110</v>
      </c>
    </row>
    <row r="1191" spans="1:1">
      <c r="A1191" s="50" t="s">
        <v>5111</v>
      </c>
    </row>
    <row r="1192" spans="1:1">
      <c r="A1192" s="50" t="s">
        <v>5112</v>
      </c>
    </row>
    <row r="1193" spans="1:1">
      <c r="A1193" s="50" t="s">
        <v>780</v>
      </c>
    </row>
    <row r="1194" spans="1:1">
      <c r="A1194" s="50" t="s">
        <v>1918</v>
      </c>
    </row>
    <row r="1195" spans="1:1">
      <c r="A1195" s="50" t="s">
        <v>1916</v>
      </c>
    </row>
    <row r="1196" spans="1:1">
      <c r="A1196" s="66">
        <v>102003896</v>
      </c>
    </row>
    <row r="1197" spans="1:1">
      <c r="A1197" s="51" t="s">
        <v>1868</v>
      </c>
    </row>
    <row r="1198" spans="1:1">
      <c r="A1198" s="50" t="s">
        <v>1187</v>
      </c>
    </row>
    <row r="1199" spans="1:1">
      <c r="A1199" s="50" t="s">
        <v>1188</v>
      </c>
    </row>
    <row r="1200" spans="1:1">
      <c r="A1200" s="50" t="s">
        <v>1189</v>
      </c>
    </row>
    <row r="1201" spans="1:1">
      <c r="A1201" s="50" t="s">
        <v>5113</v>
      </c>
    </row>
    <row r="1202" spans="1:1">
      <c r="A1202" s="50" t="s">
        <v>1168</v>
      </c>
    </row>
    <row r="1203" spans="1:1">
      <c r="A1203" s="50" t="s">
        <v>1169</v>
      </c>
    </row>
    <row r="1204" spans="1:1">
      <c r="A1204" s="50" t="s">
        <v>1170</v>
      </c>
    </row>
    <row r="1205" spans="1:1">
      <c r="A1205" s="50" t="s">
        <v>1171</v>
      </c>
    </row>
    <row r="1206" spans="1:1">
      <c r="A1206" s="50" t="s">
        <v>1172</v>
      </c>
    </row>
    <row r="1207" spans="1:1">
      <c r="A1207" s="66" t="s">
        <v>3719</v>
      </c>
    </row>
    <row r="1208" spans="1:1">
      <c r="A1208" s="66" t="s">
        <v>5114</v>
      </c>
    </row>
    <row r="1209" spans="1:1">
      <c r="A1209" s="51" t="s">
        <v>5115</v>
      </c>
    </row>
    <row r="1210" spans="1:1">
      <c r="A1210" s="51" t="s">
        <v>1843</v>
      </c>
    </row>
    <row r="1211" spans="1:1">
      <c r="A1211" s="51" t="s">
        <v>1846</v>
      </c>
    </row>
    <row r="1212" spans="1:1">
      <c r="A1212" s="60">
        <v>102005564</v>
      </c>
    </row>
    <row r="1213" spans="1:1">
      <c r="A1213" s="60" t="s">
        <v>5116</v>
      </c>
    </row>
    <row r="1214" spans="1:1">
      <c r="A1214" s="60" t="s">
        <v>2644</v>
      </c>
    </row>
    <row r="1215" spans="1:1">
      <c r="A1215" s="66" t="s">
        <v>3789</v>
      </c>
    </row>
    <row r="1216" spans="1:1">
      <c r="A1216" s="66" t="s">
        <v>3738</v>
      </c>
    </row>
    <row r="1217" spans="1:1">
      <c r="A1217" s="60" t="s">
        <v>3551</v>
      </c>
    </row>
    <row r="1218" spans="1:1">
      <c r="A1218" s="60" t="s">
        <v>3552</v>
      </c>
    </row>
    <row r="1219" spans="1:1">
      <c r="A1219" s="50" t="s">
        <v>1141</v>
      </c>
    </row>
    <row r="1220" spans="1:1">
      <c r="A1220" s="50" t="s">
        <v>5117</v>
      </c>
    </row>
    <row r="1221" spans="1:1">
      <c r="A1221" s="50" t="s">
        <v>527</v>
      </c>
    </row>
    <row r="1222" spans="1:1">
      <c r="A1222" s="50" t="s">
        <v>5118</v>
      </c>
    </row>
    <row r="1223" spans="1:1">
      <c r="A1223" s="50" t="s">
        <v>605</v>
      </c>
    </row>
    <row r="1224" spans="1:1">
      <c r="A1224" s="51" t="s">
        <v>1897</v>
      </c>
    </row>
    <row r="1225" spans="1:1">
      <c r="A1225" s="51" t="s">
        <v>1898</v>
      </c>
    </row>
    <row r="1226" spans="1:1">
      <c r="A1226" s="51" t="s">
        <v>717</v>
      </c>
    </row>
    <row r="1227" spans="1:1">
      <c r="A1227" s="51" t="s">
        <v>823</v>
      </c>
    </row>
    <row r="1228" spans="1:1">
      <c r="A1228" s="51" t="s">
        <v>5119</v>
      </c>
    </row>
    <row r="1229" spans="1:1">
      <c r="A1229" s="51" t="s">
        <v>1072</v>
      </c>
    </row>
    <row r="1230" spans="1:1">
      <c r="A1230" s="51" t="s">
        <v>718</v>
      </c>
    </row>
    <row r="1231" spans="1:1">
      <c r="A1231" s="51" t="s">
        <v>715</v>
      </c>
    </row>
    <row r="1232" spans="1:1">
      <c r="A1232" s="51" t="s">
        <v>1077</v>
      </c>
    </row>
    <row r="1233" spans="1:1">
      <c r="A1233" s="51" t="s">
        <v>1079</v>
      </c>
    </row>
    <row r="1234" spans="1:1">
      <c r="A1234" s="51" t="s">
        <v>551</v>
      </c>
    </row>
    <row r="1235" spans="1:1">
      <c r="A1235" s="66" t="s">
        <v>5120</v>
      </c>
    </row>
    <row r="1236" spans="1:1">
      <c r="A1236" s="51" t="s">
        <v>405</v>
      </c>
    </row>
    <row r="1237" spans="1:1">
      <c r="A1237" s="68" t="s">
        <v>3762</v>
      </c>
    </row>
    <row r="1238" spans="1:1">
      <c r="A1238" s="66" t="s">
        <v>3764</v>
      </c>
    </row>
    <row r="1239" spans="1:1">
      <c r="A1239" s="66" t="s">
        <v>5121</v>
      </c>
    </row>
    <row r="1240" spans="1:1">
      <c r="A1240" s="66" t="s">
        <v>3779</v>
      </c>
    </row>
    <row r="1241" spans="1:1">
      <c r="A1241" s="51" t="s">
        <v>5122</v>
      </c>
    </row>
    <row r="1242" spans="1:1">
      <c r="A1242" s="51" t="s">
        <v>5123</v>
      </c>
    </row>
    <row r="1243" spans="1:1">
      <c r="A1243" s="51" t="s">
        <v>1001</v>
      </c>
    </row>
    <row r="1244" spans="1:1">
      <c r="A1244" s="66" t="s">
        <v>3487</v>
      </c>
    </row>
    <row r="1245" spans="1:1">
      <c r="A1245" s="66" t="s">
        <v>3490</v>
      </c>
    </row>
    <row r="1246" spans="1:1">
      <c r="A1246" s="66" t="s">
        <v>3491</v>
      </c>
    </row>
    <row r="1247" spans="1:1">
      <c r="A1247" s="66">
        <v>102006064</v>
      </c>
    </row>
    <row r="1248" spans="1:1">
      <c r="A1248" s="66">
        <v>102006063</v>
      </c>
    </row>
    <row r="1249" spans="1:1">
      <c r="A1249" s="51" t="s">
        <v>4356</v>
      </c>
    </row>
    <row r="1250" spans="1:1">
      <c r="A1250" s="51" t="s">
        <v>1827</v>
      </c>
    </row>
    <row r="1251" spans="1:1">
      <c r="A1251" s="51" t="s">
        <v>1830</v>
      </c>
    </row>
    <row r="1252" spans="1:1">
      <c r="A1252" s="51" t="s">
        <v>1831</v>
      </c>
    </row>
    <row r="1253" spans="1:1">
      <c r="A1253" s="51" t="s">
        <v>2927</v>
      </c>
    </row>
    <row r="1254" spans="1:1">
      <c r="A1254" s="51" t="s">
        <v>744</v>
      </c>
    </row>
    <row r="1255" spans="1:1">
      <c r="A1255" s="62" t="s">
        <v>213</v>
      </c>
    </row>
    <row r="1256" spans="1:1">
      <c r="A1256" s="51">
        <v>102006187</v>
      </c>
    </row>
    <row r="1257" spans="1:1">
      <c r="A1257" s="51" t="s">
        <v>4094</v>
      </c>
    </row>
    <row r="1258" spans="1:1">
      <c r="A1258" s="51" t="s">
        <v>4560</v>
      </c>
    </row>
    <row r="1259" spans="1:1">
      <c r="A1259" s="51" t="s">
        <v>4360</v>
      </c>
    </row>
    <row r="1260" spans="1:1">
      <c r="A1260" s="51" t="s">
        <v>243</v>
      </c>
    </row>
    <row r="1261" spans="1:1">
      <c r="A1261" s="51" t="s">
        <v>3002</v>
      </c>
    </row>
    <row r="1262" spans="1:1">
      <c r="A1262" s="51" t="s">
        <v>830</v>
      </c>
    </row>
    <row r="1263" spans="1:1">
      <c r="A1263" s="51" t="s">
        <v>2979</v>
      </c>
    </row>
    <row r="1264" spans="1:1">
      <c r="A1264" s="51" t="s">
        <v>231</v>
      </c>
    </row>
    <row r="1265" spans="1:1">
      <c r="A1265" s="51" t="s">
        <v>233</v>
      </c>
    </row>
    <row r="1266" spans="1:1">
      <c r="A1266" s="51" t="s">
        <v>234</v>
      </c>
    </row>
    <row r="1267" spans="1:1">
      <c r="A1267" s="51" t="s">
        <v>5124</v>
      </c>
    </row>
    <row r="1268" spans="1:1">
      <c r="A1268" s="51" t="s">
        <v>3057</v>
      </c>
    </row>
    <row r="1269" spans="1:1">
      <c r="A1269" s="51">
        <v>102006293</v>
      </c>
    </row>
    <row r="1270" spans="1:1">
      <c r="A1270" s="51" t="s">
        <v>1249</v>
      </c>
    </row>
    <row r="1271" spans="1:1">
      <c r="A1271" s="51" t="s">
        <v>885</v>
      </c>
    </row>
    <row r="1272" spans="1:1">
      <c r="A1272" s="51" t="s">
        <v>1964</v>
      </c>
    </row>
    <row r="1273" spans="1:1">
      <c r="A1273" s="51" t="s">
        <v>419</v>
      </c>
    </row>
    <row r="1274" spans="1:1">
      <c r="A1274" s="51" t="s">
        <v>829</v>
      </c>
    </row>
    <row r="1275" spans="1:1">
      <c r="A1275" s="51" t="s">
        <v>3058</v>
      </c>
    </row>
    <row r="1276" spans="1:1">
      <c r="A1276" s="51" t="s">
        <v>5125</v>
      </c>
    </row>
    <row r="1277" spans="1:1">
      <c r="A1277" s="51" t="s">
        <v>4215</v>
      </c>
    </row>
    <row r="1278" spans="1:1">
      <c r="A1278" s="51" t="s">
        <v>5126</v>
      </c>
    </row>
    <row r="1279" spans="1:1">
      <c r="A1279" s="51" t="s">
        <v>3219</v>
      </c>
    </row>
    <row r="1280" spans="1:1">
      <c r="A1280" s="51" t="s">
        <v>3223</v>
      </c>
    </row>
    <row r="1281" spans="1:1">
      <c r="A1281" s="51" t="s">
        <v>3224</v>
      </c>
    </row>
    <row r="1282" spans="1:1">
      <c r="A1282" s="51" t="s">
        <v>3225</v>
      </c>
    </row>
    <row r="1283" spans="1:1">
      <c r="A1283" s="51" t="s">
        <v>471</v>
      </c>
    </row>
    <row r="1284" spans="1:1">
      <c r="A1284" s="51" t="s">
        <v>470</v>
      </c>
    </row>
    <row r="1285" spans="1:1">
      <c r="A1285" s="63" t="s">
        <v>2885</v>
      </c>
    </row>
    <row r="1286" spans="1:1">
      <c r="A1286" s="63" t="s">
        <v>2653</v>
      </c>
    </row>
    <row r="1287" spans="1:1">
      <c r="A1287" s="63" t="s">
        <v>3024</v>
      </c>
    </row>
    <row r="1288" spans="1:1">
      <c r="A1288" s="63">
        <v>102006831</v>
      </c>
    </row>
    <row r="1289" spans="1:1">
      <c r="A1289" s="63">
        <v>102006834</v>
      </c>
    </row>
    <row r="1290" spans="1:1">
      <c r="A1290" s="63" t="s">
        <v>2272</v>
      </c>
    </row>
    <row r="1291" spans="1:1">
      <c r="A1291" s="63" t="s">
        <v>819</v>
      </c>
    </row>
    <row r="1292" spans="1:1">
      <c r="A1292" s="63" t="s">
        <v>2306</v>
      </c>
    </row>
    <row r="1293" spans="1:1">
      <c r="A1293" s="63" t="s">
        <v>5127</v>
      </c>
    </row>
    <row r="1294" spans="1:1">
      <c r="A1294" s="63" t="s">
        <v>451</v>
      </c>
    </row>
    <row r="1295" spans="1:1">
      <c r="A1295" s="63" t="s">
        <v>4579</v>
      </c>
    </row>
    <row r="1296" spans="1:1">
      <c r="A1296" s="63" t="s">
        <v>5128</v>
      </c>
    </row>
    <row r="1297" spans="1:1">
      <c r="A1297" s="63" t="s">
        <v>4129</v>
      </c>
    </row>
    <row r="1298" spans="1:1">
      <c r="A1298" s="63" t="s">
        <v>4463</v>
      </c>
    </row>
    <row r="1299" spans="1:1">
      <c r="A1299" s="63" t="s">
        <v>4465</v>
      </c>
    </row>
    <row r="1300" spans="1:1">
      <c r="A1300" s="63" t="s">
        <v>368</v>
      </c>
    </row>
    <row r="1301" spans="1:1">
      <c r="A1301" s="63" t="s">
        <v>5129</v>
      </c>
    </row>
    <row r="1302" spans="1:1">
      <c r="A1302" s="63" t="s">
        <v>3133</v>
      </c>
    </row>
    <row r="1303" spans="1:1">
      <c r="A1303" s="63" t="s">
        <v>3137</v>
      </c>
    </row>
    <row r="1304" spans="1:1">
      <c r="A1304" s="63" t="s">
        <v>3138</v>
      </c>
    </row>
    <row r="1305" spans="1:1">
      <c r="A1305" s="63" t="s">
        <v>1847</v>
      </c>
    </row>
    <row r="1306" spans="1:1">
      <c r="A1306" s="63" t="s">
        <v>1848</v>
      </c>
    </row>
    <row r="1307" spans="1:1">
      <c r="A1307" s="63" t="s">
        <v>1643</v>
      </c>
    </row>
    <row r="1308" spans="1:1">
      <c r="A1308" s="63" t="s">
        <v>5130</v>
      </c>
    </row>
    <row r="1309" spans="1:1">
      <c r="A1309" s="63">
        <v>102007494</v>
      </c>
    </row>
    <row r="1310" spans="1:1">
      <c r="A1310" s="63" t="s">
        <v>147</v>
      </c>
    </row>
    <row r="1311" spans="1:1">
      <c r="A1311" s="63" t="s">
        <v>149</v>
      </c>
    </row>
    <row r="1312" spans="1:1">
      <c r="A1312" s="63" t="s">
        <v>151</v>
      </c>
    </row>
    <row r="1313" spans="1:1">
      <c r="A1313" s="51" t="s">
        <v>1863</v>
      </c>
    </row>
    <row r="1314" spans="1:1">
      <c r="A1314" s="51">
        <v>102007287</v>
      </c>
    </row>
    <row r="1315" spans="1:1">
      <c r="A1315" s="51" t="s">
        <v>2610</v>
      </c>
    </row>
    <row r="1316" spans="1:1">
      <c r="A1316" s="51" t="s">
        <v>2865</v>
      </c>
    </row>
    <row r="1317" spans="1:1">
      <c r="A1317" s="53" t="s">
        <v>5131</v>
      </c>
    </row>
    <row r="1318" spans="1:1">
      <c r="A1318" s="53" t="s">
        <v>5132</v>
      </c>
    </row>
    <row r="1319" spans="1:1">
      <c r="A1319" s="53" t="s">
        <v>5133</v>
      </c>
    </row>
    <row r="1320" spans="1:1">
      <c r="A1320" s="53" t="s">
        <v>3242</v>
      </c>
    </row>
    <row r="1321" spans="1:1">
      <c r="A1321" s="53" t="s">
        <v>3312</v>
      </c>
    </row>
    <row r="1322" spans="1:1">
      <c r="A1322" s="53" t="s">
        <v>3313</v>
      </c>
    </row>
    <row r="1323" spans="1:1">
      <c r="A1323" s="53" t="s">
        <v>3646</v>
      </c>
    </row>
    <row r="1324" spans="1:1">
      <c r="A1324" s="53" t="s">
        <v>924</v>
      </c>
    </row>
    <row r="1325" spans="1:1">
      <c r="A1325" s="53" t="s">
        <v>5134</v>
      </c>
    </row>
    <row r="1326" spans="1:1">
      <c r="A1326" s="53" t="s">
        <v>1245</v>
      </c>
    </row>
    <row r="1327" spans="1:1">
      <c r="A1327" s="53" t="s">
        <v>1246</v>
      </c>
    </row>
    <row r="1328" spans="1:1">
      <c r="A1328" s="51" t="s">
        <v>374</v>
      </c>
    </row>
    <row r="1329" spans="1:1">
      <c r="A1329" s="51" t="s">
        <v>638</v>
      </c>
    </row>
    <row r="1330" spans="1:1">
      <c r="A1330" s="51" t="s">
        <v>5135</v>
      </c>
    </row>
    <row r="1331" spans="1:1">
      <c r="A1331" s="51" t="s">
        <v>5136</v>
      </c>
    </row>
    <row r="1332" spans="1:1">
      <c r="A1332" s="51" t="s">
        <v>3770</v>
      </c>
    </row>
    <row r="1333" spans="1:1">
      <c r="A1333" s="51" t="s">
        <v>1173</v>
      </c>
    </row>
    <row r="1334" spans="1:1">
      <c r="A1334" s="51" t="s">
        <v>1442</v>
      </c>
    </row>
    <row r="1335" spans="1:1">
      <c r="A1335" s="51" t="s">
        <v>4251</v>
      </c>
    </row>
    <row r="1336" spans="1:1">
      <c r="A1336" s="51" t="s">
        <v>4255</v>
      </c>
    </row>
    <row r="1337" spans="1:1">
      <c r="A1337" s="53" t="s">
        <v>1849</v>
      </c>
    </row>
    <row r="1338" spans="1:1">
      <c r="A1338" s="53" t="s">
        <v>3005</v>
      </c>
    </row>
    <row r="1339" spans="1:1">
      <c r="A1339" s="53" t="s">
        <v>4171</v>
      </c>
    </row>
    <row r="1340" spans="1:1">
      <c r="A1340" s="53" t="s">
        <v>4174</v>
      </c>
    </row>
    <row r="1341" spans="1:1">
      <c r="A1341" s="53" t="s">
        <v>4175</v>
      </c>
    </row>
    <row r="1342" spans="1:1">
      <c r="A1342" s="53" t="s">
        <v>2479</v>
      </c>
    </row>
    <row r="1343" spans="1:1">
      <c r="A1343" s="53">
        <v>102008505</v>
      </c>
    </row>
    <row r="1344" spans="1:1">
      <c r="A1344" s="53">
        <v>102008506</v>
      </c>
    </row>
    <row r="1345" spans="1:1">
      <c r="A1345" s="53">
        <v>102008507</v>
      </c>
    </row>
    <row r="1346" spans="1:1">
      <c r="A1346" s="53">
        <v>102008508</v>
      </c>
    </row>
    <row r="1347" spans="1:1">
      <c r="A1347" s="53">
        <v>102008509</v>
      </c>
    </row>
    <row r="1348" spans="1:1">
      <c r="A1348" s="53">
        <v>102007757</v>
      </c>
    </row>
    <row r="1349" spans="1:1">
      <c r="A1349" s="53">
        <v>102007758</v>
      </c>
    </row>
    <row r="1350" spans="1:1">
      <c r="A1350" s="53" t="s">
        <v>5137</v>
      </c>
    </row>
    <row r="1351" spans="1:1">
      <c r="A1351" s="53" t="s">
        <v>1247</v>
      </c>
    </row>
    <row r="1352" spans="1:1">
      <c r="A1352" s="53" t="s">
        <v>3099</v>
      </c>
    </row>
    <row r="1353" spans="1:1">
      <c r="A1353" s="53" t="s">
        <v>3089</v>
      </c>
    </row>
    <row r="1354" spans="1:1">
      <c r="A1354" s="53" t="s">
        <v>3708</v>
      </c>
    </row>
    <row r="1355" spans="1:1">
      <c r="A1355" s="53">
        <v>102008792</v>
      </c>
    </row>
    <row r="1356" spans="1:1">
      <c r="A1356" s="53">
        <v>102008793</v>
      </c>
    </row>
    <row r="1357" spans="1:1">
      <c r="A1357" s="53">
        <v>102008794</v>
      </c>
    </row>
    <row r="1358" spans="1:1">
      <c r="A1358" s="53">
        <v>102008795</v>
      </c>
    </row>
    <row r="1359" spans="1:1">
      <c r="A1359" s="53">
        <v>102008796</v>
      </c>
    </row>
    <row r="1360" spans="1:1">
      <c r="A1360" s="53">
        <v>102008797</v>
      </c>
    </row>
    <row r="1361" spans="1:1">
      <c r="A1361" s="53">
        <v>102008798</v>
      </c>
    </row>
    <row r="1362" spans="1:1">
      <c r="A1362" s="53">
        <v>102008799</v>
      </c>
    </row>
    <row r="1363" spans="1:1">
      <c r="A1363" s="53" t="s">
        <v>2866</v>
      </c>
    </row>
    <row r="1364" spans="1:1">
      <c r="A1364" s="53" t="s">
        <v>5138</v>
      </c>
    </row>
    <row r="1365" spans="1:1">
      <c r="A1365" s="64">
        <v>105000217</v>
      </c>
    </row>
    <row r="1366" spans="1:1">
      <c r="A1366" s="64" t="s">
        <v>854</v>
      </c>
    </row>
    <row r="1367" spans="1:1">
      <c r="A1367" s="64" t="s">
        <v>2691</v>
      </c>
    </row>
    <row r="1368" spans="1:1">
      <c r="A1368" s="64" t="s">
        <v>1812</v>
      </c>
    </row>
    <row r="1369" spans="1:1">
      <c r="A1369" s="64" t="s">
        <v>3059</v>
      </c>
    </row>
    <row r="1370" spans="1:1">
      <c r="A1370" s="64" t="s">
        <v>1248</v>
      </c>
    </row>
    <row r="1371" spans="1:1">
      <c r="A1371" s="64" t="s">
        <v>2949</v>
      </c>
    </row>
    <row r="1372" spans="1:1">
      <c r="A1372" s="64" t="s">
        <v>3032</v>
      </c>
    </row>
    <row r="1373" spans="1:1">
      <c r="A1373" s="64">
        <v>105000222</v>
      </c>
    </row>
    <row r="1374" spans="1:1" ht="14.4">
      <c r="A1374" s="180" t="s">
        <v>5139</v>
      </c>
    </row>
    <row r="1375" spans="1:1" ht="14.4">
      <c r="A1375" s="181" t="s">
        <v>5140</v>
      </c>
    </row>
    <row r="1376" spans="1:1">
      <c r="A1376" s="64" t="s">
        <v>2334</v>
      </c>
    </row>
    <row r="1377" spans="1:1" ht="14.4">
      <c r="A1377" s="180" t="s">
        <v>2334</v>
      </c>
    </row>
    <row r="1378" spans="1:1" ht="14.4">
      <c r="A1378" s="181" t="s">
        <v>5141</v>
      </c>
    </row>
    <row r="1379" spans="1:1" ht="14.4">
      <c r="A1379" s="255" t="s">
        <v>694</v>
      </c>
    </row>
    <row r="1380" spans="1:1" ht="14.4">
      <c r="A1380" s="180">
        <v>102009814</v>
      </c>
    </row>
    <row r="1381" spans="1:1" ht="14.4">
      <c r="A1381" s="181" t="s">
        <v>1032</v>
      </c>
    </row>
    <row r="1382" spans="1:1" ht="14.4">
      <c r="A1382" s="181" t="s">
        <v>317</v>
      </c>
    </row>
    <row r="1383" spans="1:1">
      <c r="A1383" s="279" t="s">
        <v>2493</v>
      </c>
    </row>
    <row r="1384" spans="1:1" ht="14.4">
      <c r="A1384" s="181">
        <v>102009750</v>
      </c>
    </row>
    <row r="1385" spans="1:1" ht="14.4">
      <c r="A1385" s="181" t="s">
        <v>1033</v>
      </c>
    </row>
    <row r="1386" spans="1:1" ht="14.4">
      <c r="A1386" s="280" t="s">
        <v>684</v>
      </c>
    </row>
    <row r="1387" spans="1:1" ht="14.4">
      <c r="A1387" s="281" t="s">
        <v>1991</v>
      </c>
    </row>
    <row r="1388" spans="1:1" ht="14.4">
      <c r="A1388" s="281" t="s">
        <v>1996</v>
      </c>
    </row>
    <row r="1389" spans="1:1" ht="14.4">
      <c r="A1389" s="181" t="s">
        <v>1997</v>
      </c>
    </row>
    <row r="1390" spans="1:1" ht="14.4">
      <c r="A1390" s="181" t="s">
        <v>356</v>
      </c>
    </row>
    <row r="1391" spans="1:1" ht="14.4">
      <c r="A1391" s="181" t="s">
        <v>399</v>
      </c>
    </row>
    <row r="1392" spans="1:1" ht="14.4">
      <c r="A1392" s="181" t="s">
        <v>400</v>
      </c>
    </row>
    <row r="1393" spans="1:1" ht="14.4">
      <c r="A1393" s="181" t="s">
        <v>401</v>
      </c>
    </row>
    <row r="1394" spans="1:1" ht="14.4">
      <c r="A1394" s="181" t="s">
        <v>864</v>
      </c>
    </row>
    <row r="1395" spans="1:1" ht="14.4">
      <c r="A1395" s="181" t="s">
        <v>925</v>
      </c>
    </row>
    <row r="1396" spans="1:1" ht="14.4">
      <c r="A1396" s="181" t="s">
        <v>2204</v>
      </c>
    </row>
    <row r="1397" spans="1:1" ht="14.4">
      <c r="A1397" s="181" t="s">
        <v>5142</v>
      </c>
    </row>
    <row r="1398" spans="1:1" ht="14.4">
      <c r="A1398" s="181" t="s">
        <v>5143</v>
      </c>
    </row>
    <row r="1399" spans="1:1" ht="14.4">
      <c r="A1399" s="181" t="s">
        <v>437</v>
      </c>
    </row>
    <row r="1400" spans="1:1" ht="14.4">
      <c r="A1400" s="181" t="s">
        <v>441</v>
      </c>
    </row>
    <row r="1401" spans="1:1" ht="14.4">
      <c r="A1401" s="181" t="s">
        <v>442</v>
      </c>
    </row>
    <row r="1402" spans="1:1" ht="14.4">
      <c r="A1402" s="181" t="s">
        <v>443</v>
      </c>
    </row>
    <row r="1403" spans="1:1" ht="14.4">
      <c r="A1403" s="181" t="s">
        <v>1098</v>
      </c>
    </row>
    <row r="1404" spans="1:1" ht="14.4">
      <c r="A1404" s="228" t="s">
        <v>2106</v>
      </c>
    </row>
    <row r="1405" spans="1:1">
      <c r="A1405" s="282" t="s">
        <v>2110</v>
      </c>
    </row>
    <row r="1406" spans="1:1">
      <c r="A1406" s="282" t="s">
        <v>2112</v>
      </c>
    </row>
    <row r="1407" spans="1:1" ht="14.4">
      <c r="A1407" s="181" t="s">
        <v>5144</v>
      </c>
    </row>
    <row r="1408" spans="1:1" ht="14.4">
      <c r="A1408" s="181" t="s">
        <v>911</v>
      </c>
    </row>
    <row r="1409" spans="1:1" ht="14.4">
      <c r="A1409" s="181" t="s">
        <v>913</v>
      </c>
    </row>
    <row r="1410" spans="1:1" ht="14.4">
      <c r="A1410" s="181" t="s">
        <v>452</v>
      </c>
    </row>
    <row r="1411" spans="1:1" ht="14.4">
      <c r="A1411" s="281" t="s">
        <v>3913</v>
      </c>
    </row>
    <row r="1412" spans="1:1" ht="14.4">
      <c r="A1412" s="281" t="s">
        <v>3914</v>
      </c>
    </row>
    <row r="1413" spans="1:1" ht="14.4">
      <c r="A1413" s="281" t="s">
        <v>3917</v>
      </c>
    </row>
    <row r="1414" spans="1:1" ht="14.4">
      <c r="A1414" s="181" t="s">
        <v>1690</v>
      </c>
    </row>
    <row r="1415" spans="1:1" ht="14.4">
      <c r="A1415" s="181">
        <v>102010376</v>
      </c>
    </row>
    <row r="1416" spans="1:1" ht="14.4">
      <c r="A1416" s="181" t="s">
        <v>5145</v>
      </c>
    </row>
    <row r="1417" spans="1:1" ht="14.4">
      <c r="A1417" s="181" t="s">
        <v>5146</v>
      </c>
    </row>
    <row r="1418" spans="1:1" ht="14.4">
      <c r="A1418" s="181" t="s">
        <v>1660</v>
      </c>
    </row>
    <row r="1419" spans="1:1" ht="14.4">
      <c r="A1419" s="183" t="s">
        <v>5147</v>
      </c>
    </row>
    <row r="1420" spans="1:1" ht="14.4">
      <c r="A1420" s="180" t="s">
        <v>5148</v>
      </c>
    </row>
    <row r="1421" spans="1:1" ht="14.4">
      <c r="A1421" s="181" t="s">
        <v>4099</v>
      </c>
    </row>
    <row r="1422" spans="1:1" ht="14.4">
      <c r="A1422" s="181" t="s">
        <v>1107</v>
      </c>
    </row>
    <row r="1423" spans="1:1" ht="14.4">
      <c r="A1423" s="181">
        <v>150885</v>
      </c>
    </row>
    <row r="1424" spans="1:1" ht="14.4">
      <c r="A1424" s="181">
        <v>150634</v>
      </c>
    </row>
    <row r="1425" spans="1:1" ht="14.4">
      <c r="A1425" s="181" t="s">
        <v>235</v>
      </c>
    </row>
    <row r="1426" spans="1:1" ht="14.4">
      <c r="A1426" s="181" t="s">
        <v>1998</v>
      </c>
    </row>
    <row r="1427" spans="1:1" ht="14.4">
      <c r="A1427" s="181">
        <v>150866</v>
      </c>
    </row>
    <row r="1428" spans="1:1" ht="14.4">
      <c r="A1428" s="181" t="s">
        <v>472</v>
      </c>
    </row>
    <row r="1429" spans="1:1" ht="14.4">
      <c r="A1429" s="181" t="s">
        <v>4585</v>
      </c>
    </row>
    <row r="1430" spans="1:1" ht="14.4">
      <c r="A1430" s="181" t="s">
        <v>4587</v>
      </c>
    </row>
    <row r="1431" spans="1:1" ht="14.4">
      <c r="A1431" s="181" t="s">
        <v>4588</v>
      </c>
    </row>
    <row r="1432" spans="1:1" ht="14.4">
      <c r="A1432" s="181" t="s">
        <v>4004</v>
      </c>
    </row>
    <row r="1433" spans="1:1" ht="14.4">
      <c r="A1433" s="181" t="s">
        <v>4590</v>
      </c>
    </row>
    <row r="1434" spans="1:1" ht="14.4">
      <c r="A1434" s="181" t="s">
        <v>4591</v>
      </c>
    </row>
    <row r="1435" spans="1:1" ht="14.4">
      <c r="A1435" s="181" t="s">
        <v>4592</v>
      </c>
    </row>
    <row r="1436" spans="1:1" ht="14.4">
      <c r="A1436" s="180" t="s">
        <v>314</v>
      </c>
    </row>
    <row r="1437" spans="1:1" ht="14.4">
      <c r="A1437" s="181" t="s">
        <v>5149</v>
      </c>
    </row>
    <row r="1438" spans="1:1" ht="14.4">
      <c r="A1438" s="181" t="s">
        <v>5150</v>
      </c>
    </row>
    <row r="1439" spans="1:1" ht="14.4">
      <c r="A1439" s="180" t="s">
        <v>5151</v>
      </c>
    </row>
    <row r="1440" spans="1:1" ht="14.4">
      <c r="A1440" s="181" t="s">
        <v>5152</v>
      </c>
    </row>
    <row r="1441" spans="1:1" ht="14.4">
      <c r="A1441" s="181" t="s">
        <v>307</v>
      </c>
    </row>
    <row r="1442" spans="1:1" ht="14.4">
      <c r="A1442" s="181" t="s">
        <v>2026</v>
      </c>
    </row>
    <row r="1443" spans="1:1" ht="14.4">
      <c r="A1443" s="181" t="s">
        <v>5153</v>
      </c>
    </row>
    <row r="1444" spans="1:1" ht="14.4">
      <c r="A1444" s="181" t="s">
        <v>5154</v>
      </c>
    </row>
    <row r="1445" spans="1:1" ht="14.4">
      <c r="A1445" s="181" t="s">
        <v>5155</v>
      </c>
    </row>
    <row r="1446" spans="1:1" ht="14.4">
      <c r="A1446" s="181" t="s">
        <v>5156</v>
      </c>
    </row>
    <row r="1447" spans="1:1" ht="14.4">
      <c r="A1447" s="181" t="s">
        <v>5157</v>
      </c>
    </row>
    <row r="1448" spans="1:1" ht="14.4">
      <c r="A1448" s="181" t="s">
        <v>5158</v>
      </c>
    </row>
    <row r="1449" spans="1:1" ht="14.4">
      <c r="A1449" s="181" t="s">
        <v>5159</v>
      </c>
    </row>
    <row r="1450" spans="1:1" ht="14.4">
      <c r="A1450" s="181" t="s">
        <v>5160</v>
      </c>
    </row>
    <row r="1451" spans="1:1" ht="14.4">
      <c r="A1451" s="181" t="s">
        <v>2022</v>
      </c>
    </row>
    <row r="1452" spans="1:1" ht="14.4">
      <c r="A1452" s="181" t="s">
        <v>2025</v>
      </c>
    </row>
    <row r="1453" spans="1:1" ht="14.4">
      <c r="A1453" s="181" t="s">
        <v>498</v>
      </c>
    </row>
    <row r="1454" spans="1:1" ht="14.4">
      <c r="A1454" s="181" t="s">
        <v>892</v>
      </c>
    </row>
    <row r="1455" spans="1:1" ht="14.4">
      <c r="A1455" s="181" t="s">
        <v>5161</v>
      </c>
    </row>
    <row r="1456" spans="1:1" ht="14.4">
      <c r="A1456" s="181" t="s">
        <v>5162</v>
      </c>
    </row>
    <row r="1457" spans="1:1" ht="14.4">
      <c r="A1457" s="181" t="s">
        <v>5163</v>
      </c>
    </row>
    <row r="1458" spans="1:1" ht="14.4">
      <c r="A1458" s="181" t="s">
        <v>5164</v>
      </c>
    </row>
    <row r="1459" spans="1:1">
      <c r="A1459" s="9" t="s">
        <v>393</v>
      </c>
    </row>
    <row r="1460" spans="1:1">
      <c r="A1460" s="9" t="s">
        <v>4434</v>
      </c>
    </row>
    <row r="1461" spans="1:1">
      <c r="A1461" s="1685" t="s">
        <v>935</v>
      </c>
    </row>
    <row r="1462" spans="1:1">
      <c r="A1462" s="1685" t="s">
        <v>938</v>
      </c>
    </row>
    <row r="1463" spans="1:1">
      <c r="A1463" s="1685" t="s">
        <v>943</v>
      </c>
    </row>
    <row r="1464" spans="1:1">
      <c r="A1464" s="1685" t="s">
        <v>942</v>
      </c>
    </row>
    <row r="1465" spans="1:1">
      <c r="A1465" s="1685" t="s">
        <v>941</v>
      </c>
    </row>
    <row r="1466" spans="1:1">
      <c r="A1466" s="1685" t="s">
        <v>940</v>
      </c>
    </row>
    <row r="1467" spans="1:1">
      <c r="A1467" s="1685" t="s">
        <v>939</v>
      </c>
    </row>
    <row r="1468" spans="1:1">
      <c r="A1468" s="1685" t="s">
        <v>944</v>
      </c>
    </row>
    <row r="1469" spans="1:1">
      <c r="A1469" s="1686" t="s">
        <v>949</v>
      </c>
    </row>
    <row r="1470" spans="1:1">
      <c r="A1470" s="1686" t="s">
        <v>947</v>
      </c>
    </row>
    <row r="1471" spans="1:1">
      <c r="A1471" s="1686" t="s">
        <v>950</v>
      </c>
    </row>
    <row r="1472" spans="1:1">
      <c r="A1472" s="1686" t="s">
        <v>951</v>
      </c>
    </row>
    <row r="1473" spans="1:1">
      <c r="A1473" s="1686" t="s">
        <v>952</v>
      </c>
    </row>
    <row r="1474" spans="1:1">
      <c r="A1474" s="1686" t="s">
        <v>946</v>
      </c>
    </row>
    <row r="1475" spans="1:1">
      <c r="A1475" s="1686" t="s">
        <v>945</v>
      </c>
    </row>
    <row r="1476" spans="1:1">
      <c r="A1476" s="1686" t="s">
        <v>948</v>
      </c>
    </row>
    <row r="1477" spans="1:1">
      <c r="A1477" s="9" t="s">
        <v>3913</v>
      </c>
    </row>
    <row r="1478" spans="1:1">
      <c r="A1478" s="9" t="s">
        <v>3914</v>
      </c>
    </row>
    <row r="1479" spans="1:1">
      <c r="A1479" s="9" t="s">
        <v>3917</v>
      </c>
    </row>
    <row r="1480" spans="1:1">
      <c r="A1480" s="9" t="s">
        <v>5165</v>
      </c>
    </row>
  </sheetData>
  <autoFilter ref="A1:C1376" xr:uid="{A09A887B-8B87-452F-87FD-44EFA2D6ABBF}"/>
  <conditionalFormatting sqref="A2:A1338 A1340:A1364">
    <cfRule type="duplicateValues" dxfId="3" priority="4"/>
  </conditionalFormatting>
  <conditionalFormatting sqref="A1339">
    <cfRule type="duplicateValues" dxfId="2" priority="3"/>
  </conditionalFormatting>
  <conditionalFormatting sqref="A1365:A1373 A1376">
    <cfRule type="duplicateValues" dxfId="1" priority="2"/>
  </conditionalFormatting>
  <conditionalFormatting sqref="A1459:A1460 A1:A1373 A1376 A1477:A1048576">
    <cfRule type="duplicateValues" dxfId="0" priority="1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8B47-0105-47A0-B3ED-C033A03A6458}">
  <dimension ref="A1"/>
  <sheetViews>
    <sheetView workbookViewId="0">
      <selection activeCell="J35" sqref="J35"/>
    </sheetView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5A3C0B-1C3F-443F-AD6D-6E1FB108C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Summary</vt:lpstr>
      <vt:lpstr>Yogesh</vt:lpstr>
      <vt:lpstr>Ashraf</vt:lpstr>
      <vt:lpstr>Rahul</vt:lpstr>
      <vt:lpstr>Minesh</vt:lpstr>
      <vt:lpstr>Gajendra</vt:lpstr>
      <vt:lpstr>Pradeep</vt:lpstr>
      <vt:lpstr>Sasi</vt:lpstr>
      <vt:lpstr>Vinay</vt:lpstr>
      <vt:lpstr>Nitin</vt:lpstr>
      <vt:lpstr>Pankaj</vt:lpstr>
      <vt:lpstr>Tabelle1</vt:lpstr>
      <vt:lpstr>Customer</vt:lpstr>
      <vt:lpstr>Location</vt:lpstr>
      <vt:lpstr>Yogesh_copy</vt:lpstr>
      <vt:lpstr>Ashraf_copy</vt:lpstr>
      <vt:lpstr>Rahul_copy</vt:lpstr>
      <vt:lpstr>Minesh_copy</vt:lpstr>
      <vt:lpstr>Gajendra_copy</vt:lpstr>
      <vt:lpstr>Pradeep_copy</vt:lpstr>
      <vt:lpstr>Sasi_copy</vt:lpstr>
      <vt:lpstr>Nitin_copy</vt:lpstr>
      <vt:lpstr>Pankaj_copy</vt:lpstr>
      <vt:lpstr>Month Prod Names</vt:lpstr>
      <vt:lpstr>Machine Serial Numbers</vt:lpstr>
      <vt:lpstr>Sheet1</vt:lpstr>
      <vt:lpstr>_Hlk127452852</vt:lpstr>
      <vt:lpstr>Yogesh!_Hlk133227457</vt:lpstr>
      <vt:lpstr>Yogesh!_Hlk147505528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Aswath Narayan</dc:creator>
  <cp:keywords/>
  <dc:description/>
  <cp:lastModifiedBy>Kishore reddy</cp:lastModifiedBy>
  <cp:revision/>
  <dcterms:created xsi:type="dcterms:W3CDTF">2015-06-05T18:19:34Z</dcterms:created>
  <dcterms:modified xsi:type="dcterms:W3CDTF">2026-01-08T15:38:40Z</dcterms:modified>
  <cp:category/>
  <cp:contentStatus/>
</cp:coreProperties>
</file>